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bin" ContentType="application/vnd.openxmlformats-officedocument.spreadsheetml.printerSettings"/>
  <Default Extension="vml" ContentType="application/vnd.openxmlformats-officedocument.vmlDrawing"/>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media/image.bin" ContentType="image/jpeg"/>
  <Override PartName="/xl/media/image2.bin" ContentType="image/jpeg"/>
  <Override PartName="/xl/worksheets/sheet2.xml" ContentType="application/vnd.openxmlformats-officedocument.spreadsheetml.worksheet+xml"/>
  <Override PartName="/xl/media/image3.bin" ContentType="image/jpeg"/>
  <Override PartName="/xl/media/image4.bin" ContentType="image/jpeg"/>
  <Override PartName="/xl/theme/theme1.xml" ContentType="application/vnd.openxmlformats-officedocument.them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alcChain.xml" ContentType="application/vnd.openxmlformats-officedocument.spreadsheetml.calcChain+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b1318c0a02144935" /><Relationship Type="http://schemas.openxmlformats.org/package/2006/relationships/metadata/core-properties" Target="/package/services/metadata/core-properties/8d151a3c83a144239a923fccddb19d40.psmdcp" Id="Ra2cbe5459ef6403a" /></Relationships>
</file>

<file path=xl/workbook.xml><?xml version="1.0" encoding="utf-8"?>
<x:workbook xmlns:r="http://schemas.openxmlformats.org/officeDocument/2006/relationships" xmlns:x="http://schemas.openxmlformats.org/spreadsheetml/2006/main">
  <x:fileVersion appName="xl" lastEdited="5" lowestEdited="5" rupBuild="9303"/>
  <x:workbookPr codeName="ThisWorkbook" hidePivotFieldList="1" defaultThemeVersion="124226"/>
  <x:bookViews>
    <x:workbookView xWindow="480" yWindow="315" windowWidth="18720" windowHeight="7530" tabRatio="890" activeTab="0"/>
  </x:bookViews>
  <x:sheets>
    <x:sheet name="SETUP" sheetId="12" r:id="rId1"/>
    <x:sheet name="Executive Summary" sheetId="22" r:id="rId2"/>
    <x:sheet name="Model Matrix" sheetId="18" r:id="rId22"/>
    <x:sheet name="Revision Summary" sheetId="20" r:id="rId23"/>
    <x:sheet name="Revision History" sheetId="21" r:id="rId24"/>
    <x:sheet name="Quarterly History" sheetId="16" r:id="rId20"/>
    <x:sheet name="Rollover History" sheetId="17" r:id="rId21"/>
    <x:sheet name="Volume Trend" sheetId="2" r:id="rId18"/>
    <x:sheet name="Service History" sheetId="15" r:id="rId19"/>
    <x:sheet name="Replacements" sheetId="5" r:id="rId101"/>
    <x:sheet name="Cost Avoidance" sheetId="7" r:id="rId11"/>
    <x:sheet name="Easylink" sheetId="9" r:id="rId4"/>
    <x:sheet name="Surveys" sheetId="10" r:id="rId5"/>
    <x:sheet name="New Survey" sheetId="14" r:id="rId6"/>
  </x:sheets>
  <x:definedNames>
    <x:definedName name="_xlnm.Print_Titles" localSheetId="7">'Volume Trend'!$5:$5</x:definedName>
    <x:definedName name="_xlnm.Print_Area" localSheetId="7">'Volume Trend'!$A$1:$X$230</x:definedName>
    <x:definedName name="_xlnm.Print_Titles" localSheetId="8">'Service History'!$11:$11</x:definedName>
    <x:definedName name="_xlnm.Print_Titles" localSheetId="2">'Model Matrix'!$5:$5</x:definedName>
    <x:definedName name="_xlnm.Print_Titles">'Model Matrix'!$5:$5</x:definedName>
    <x:definedName name="_xlnm.Print_Titles" localSheetId="11">Replacements!$7:$7</x:definedName>
    <x:definedName name="_xlnm.Print_Titles" localSheetId="11">Easylink!$8:$8</x:definedName>
    <x:definedName name="_xlnm.Print_Titles">Easylink!$8:$8</x:definedName>
    <x:definedName name="_xlnm.Print_Area" localSheetId="11">'Rollover History'!$A$1:$F$32</x:definedName>
  </x:definedNames>
  <x:calcPr calcId="145621"/>
  <x:fileRecoveryPr repairLoad="1"/>
</x:workbook>
</file>

<file path=xl/calcChain.xml><?xml version="1.0" encoding="utf-8"?>
<x:calcChain xmlns:x="http://schemas.openxmlformats.org/spreadsheetml/2006/main">
  <x:c r="B4" i="5" l="1"/>
  <x:c r="I27" i="7" l="1"/>
  <x:c r="I26" i="7"/>
  <x:c r="I25" i="7"/>
  <x:c r="I24" i="7"/>
  <x:c r="I23" i="7"/>
  <x:c r="I22" i="7"/>
  <x:c r="I21" i="7"/>
  <x:c r="I20" i="7"/>
  <x:c r="I19" i="7"/>
  <x:c r="I18" i="7"/>
  <x:c r="I17" i="7"/>
  <x:c r="I16" i="7"/>
  <x:c r="I15" i="7"/>
  <x:c r="I14" i="7"/>
  <x:c r="I13" i="7"/>
  <x:c r="I12" i="7"/>
  <x:c r="I11" i="7"/>
  <x:c r="I10" i="7"/>
  <x:c r="I9" i="7"/>
  <x:c r="I8" i="7"/>
  <x:c r="I7" i="7"/>
  <x:c r="A29" i="9" l="1"/>
  <x:c r="A28" i="9"/>
  <x:c r="A27" i="9"/>
  <x:c r="A26" i="9"/>
  <x:c r="A25" i="9"/>
  <x:c r="A24" i="9"/>
  <x:c r="A23" i="9"/>
  <x:c r="G30" i="5"/>
  <x:c r="G29" i="5"/>
  <x:c r="G28" i="5"/>
  <x:c r="G27" i="5"/>
  <x:c r="G26" i="5"/>
  <x:c r="A22" i="9" l="1"/>
  <x:c r="A21" i="9"/>
  <x:c r="A20" i="9"/>
  <x:c r="A19" i="9"/>
  <x:c r="A18" i="9"/>
  <x:c r="A17" i="9"/>
  <x:c r="A16" i="9"/>
  <x:c r="A15" i="9"/>
  <x:c r="A14" i="9"/>
  <x:c r="A13" i="9" l="1"/>
  <x:c r="C6" i="9" l="1"/>
  <x:c r="G25" i="5" l="1"/>
  <x:c r="G24" i="5"/>
  <x:c r="G23" i="5"/>
  <x:c r="G22" i="5"/>
  <x:c r="G21" i="5"/>
  <x:c r="G20" i="5"/>
  <x:c r="G19" i="5"/>
  <x:c r="G18" i="5"/>
  <x:c r="G17" i="5"/>
  <x:c r="G16" i="5"/>
  <x:c r="G15" i="5"/>
  <x:c r="G14" i="5"/>
  <x:c r="G13" i="5"/>
  <x:c r="G12" i="5"/>
  <x:c r="G11" i="5"/>
  <x:c r="G10" i="5"/>
  <x:c r="G9" i="5"/>
  <x:c r="G8" i="5"/>
  <x:c r="C9" i="12" l="1"/>
  <x:c r="I28" i="7" l="1"/>
  <x:c r="A2" i="10" l="1"/>
  <x:c r="A2" i="5"/>
  <x:c r="A2" i="7" l="1"/>
  <x:c r="C7" i="9" l="1"/>
  <x:c r="A12" i="9"/>
  <x:c r="A11" i="9"/>
  <x:c r="A10" i="9"/>
  <x:c r="A9" i="9"/>
  <x:c r="A1" i="14" l="1"/>
  <x:c r="A2" i="14" l="1"/>
  <x:c r="G6" i="5" l="1"/>
  <x:c r="F27" i="7" l="1"/>
  <x:c r="F26" i="7"/>
  <x:c r="F25" i="7"/>
  <x:c r="F24" i="7"/>
  <x:c r="F23" i="7"/>
  <x:c r="F22" i="7"/>
  <x:c r="F21" i="7"/>
  <x:c r="F20" i="7"/>
  <x:c r="F19" i="7"/>
  <x:c r="F18" i="7"/>
  <x:c r="F17" i="7"/>
  <x:c r="F16" i="7"/>
  <x:c r="F15" i="7"/>
  <x:c r="F14" i="7"/>
  <x:c r="F13" i="7"/>
  <x:c r="F12" i="7"/>
  <x:c r="F11" i="7"/>
  <x:c r="F10" i="7"/>
  <x:c r="F9" i="7"/>
  <x:c r="F8" i="7"/>
  <x:c r="A2" i="9"/>
  <x:c r="A1" i="9" l="1"/>
  <x:c r="A1" i="10"/>
  <x:c r="I5" i="7" l="1"/>
  <x:c r="A1" i="7"/>
  <x:c r="A1" i="5"/>
</x:calcChain>
</file>

<file path=xl/comments1.xml><?xml version="1.0" encoding="utf-8"?>
<x:comments xmlns:x="http://schemas.openxmlformats.org/spreadsheetml/2006/main">
  <x:authors>
    <x:author>Brent</x:author>
  </x:authors>
</x:comments>
</file>

<file path=xl/sharedStrings.xml><?xml version="1.0" encoding="utf-8"?>
<x:sst xmlns:x="http://schemas.openxmlformats.org/spreadsheetml/2006/main" count="58" uniqueCount="47">
  <x:si>
    <x:t>Meter Group</x:t>
  </x:si>
  <x:si>
    <x:t>Start Date</x:t>
  </x:si>
  <x:si>
    <x:t>End Date</x:t>
  </x:si>
  <x:si>
    <x:t>Date</x:t>
  </x:si>
  <x:si>
    <x:t>Asset Cost If Purchased</x:t>
  </x:si>
  <x:si>
    <x:t>Comments</x:t>
  </x:si>
  <x:si>
    <x:t>Client Name:</x:t>
  </x:si>
  <x:si>
    <x:t>Period Ending:</x:t>
  </x:si>
  <x:si>
    <x:t>Enter Data Below:</x:t>
  </x:si>
  <x:si>
    <x:t>Contract Start Date:</x:t>
  </x:si>
  <x:si>
    <x:t>Savings Term</x:t>
  </x:si>
  <x:si>
    <x:t>Savings Type</x:t>
  </x:si>
  <x:si>
    <x:t>Total Savings</x:t>
  </x:si>
  <x:si>
    <x:t>Service Call Experience</x:t>
  </x:si>
  <x:si>
    <x:t>Account Management Needs</x:t>
  </x:si>
  <x:si>
    <x:t>Professionalism</x:t>
  </x:si>
  <x:si>
    <x:t>Par Level Management</x:t>
  </x:si>
  <x:si>
    <x:t>Servicing Companies Performance</x:t>
  </x:si>
  <x:si>
    <x:t>Submitted by</x:t>
  </x:si>
  <x:si>
    <x:t>E-Mail Address</x:t>
  </x:si>
  <x:si>
    <x:t>Fax Number</x:t>
  </x:si>
  <x:si>
    <x:t>Pages By User</x:t>
  </x:si>
  <x:si>
    <x:t>Total Users:</x:t>
  </x:si>
  <x:si>
    <x:t>Total Pages:</x:t>
  </x:si>
  <x:si>
    <x:t>Amount</x:t>
  </x:si>
  <x:si>
    <x:t>?</x:t>
  </x:si>
  <x:si>
    <x:t xml:space="preserve">Below, you will find a summary of your Internet Faxing service usage for the current billing period.  </x:t>
  </x:si>
  <x:si>
    <x:t>Rollover Savings Calculator</x:t>
  </x:si>
  <x:si>
    <x:t>Pre-FPR CPP</x:t>
  </x:si>
  <x:si>
    <x:t>Date Submitted</x:t>
  </x:si>
  <x:si>
    <x:t>Survey Completed by:</x:t>
  </x:si>
  <x:si>
    <x:t>E-Mail:</x:t>
  </x:si>
  <x:si>
    <x:t>Date:</x:t>
  </x:si>
  <x:si>
    <x:t>Criteria</x:t>
  </x:si>
  <x:si>
    <x:t>FPR Professionalism</x:t>
  </x:si>
  <x:si>
    <x:t>Par-Level Management</x:t>
  </x:si>
  <x:si>
    <x:t>Comments:</x:t>
  </x:si>
  <x:si>
    <x:t>Below, you will find a summary of the different areas where FPR was able to deliver solutions resulting in cost-avoidance.  Some examples of cost-avoidance solutions include color reduction/elimination strategies, vendor re-negotiation opportunities, and many others.</x:t>
  </x:si>
  <x:si>
    <x:t>Total Cost Avoidance:</x:t>
  </x:si>
  <x:si>
    <x:t>New Model</x:t>
  </x:si>
  <x:si>
    <x:t>Removed Model</x:t>
  </x:si>
  <x:si>
    <x:t>New Serial Number</x:t>
  </x:si>
  <x:si>
    <x:t>There are currently no cost-avoidance details to report.</x:t>
  </x:si>
  <x:si>
    <x:t>There is currently no Easylink usage.</x:t>
  </x:si>
  <x:si>
    <x:t>*This document is to be completed by FPR personnel in front of client.</x:t>
  </x:si>
  <x:si>
    <x:t>Additional Comments:</x:t>
  </x:si>
  <x:si>
    <x:t>Each period, FPR petitions your feedback regarding our overall delivery of service.  The historical results provided to us are detailed below.  On a scale from 1 (worst) to 10 (best), the results below indicate how you have rated us in the past, for the respective categories.</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</x:si>
</x:sst>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9">
    <x:numFmt numFmtId="164" formatCode="[$-409]mmmm\ d\,\ yyyy;@"/>
    <x:numFmt numFmtId="165" formatCode="$#,##0;[Red]($#,##0)"/>
    <x:numFmt numFmtId="166" formatCode="$#,##0;[Red]($#,##0)"/>
    <x:numFmt numFmtId="167" formatCode="0%;[Red](0%)"/>
    <x:numFmt numFmtId="168" formatCode="#,##0;[Red](#,##0)"/>
    <x:numFmt numFmtId="169" formatCode="0%;[Red](0%)"/>
    <x:numFmt numFmtId="170" formatCode="###&quot;-&quot;###&quot;-&quot;####"/>
    <x:numFmt numFmtId="171" formatCode="#,##0;[Red](#,##0)"/>
    <x:numFmt numFmtId="172" formatCode="$0.00000;[Red]($0.00000)"/>
    <x:numFmt numFmtId="173" formatCode="&quot;$&quot; #,##0.00;[Red](&quot;$&quot; #,##0.00)"/>
    <x:numFmt numFmtId="174" formatCode="##0.00%;[Red](##0.00%)"/>
    <x:numFmt numFmtId="175" formatCode="##0.0%;[Red](##0.0%)"/>
  </x:numFmts>
  <x:fonts count="26" x14ac:knownFonts="1">
    <x:font>
      <x:sz val="11"/>
      <x:color theme="1"/>
      <x:name val="Arial"/>
      <x:family val="2"/>
      <x:scheme val="minor"/>
    </x:font>
    <x:font>
      <x:sz val="11"/>
      <x:color theme="1"/>
      <x:name val="Arial"/>
      <x:family val="2"/>
    </x:font>
    <x:font>
      <x:sz val="8"/>
      <x:color indexed="8"/>
      <x:name val="Arial"/>
      <x:family val="2"/>
    </x:font>
    <x:font>
      <x:sz val="8"/>
      <x:color theme="1"/>
      <x:name val="Arial"/>
      <x:family val="2"/>
    </x:font>
    <x:font>
      <x:b/>
      <x:sz val="8"/>
      <x:color indexed="8"/>
      <x:name val="Arial"/>
      <x:family val="2"/>
    </x:font>
    <x:font>
      <x:b/>
      <x:u/>
      <x:sz val="8"/>
      <x:color indexed="8"/>
      <x:name val="Arial"/>
      <x:family val="2"/>
    </x:font>
    <x:font>
      <x:b/>
      <x:sz val="12"/>
      <x:color theme="1"/>
      <x:name val="Arial"/>
      <x:family val="2"/>
    </x:font>
    <x:font>
      <x:b/>
      <x:i/>
      <x:sz val="11"/>
      <x:color theme="1"/>
      <x:name val="Arial"/>
      <x:family val="2"/>
    </x:font>
    <x:font>
      <x:sz val="11"/>
      <x:color theme="0"/>
      <x:name val="Arial"/>
      <x:family val="2"/>
      <x:scheme val="minor"/>
    </x:font>
    <x:font>
      <x:b/>
      <x:sz val="11"/>
      <x:color theme="1"/>
      <x:name val="Arial"/>
      <x:family val="2"/>
    </x:font>
    <x:font>
      <x:b/>
      <x:sz val="14"/>
      <x:color theme="1"/>
      <x:name val="Arial"/>
      <x:family val="2"/>
    </x:font>
    <x:font>
      <x:b/>
      <x:sz val="12"/>
      <x:color theme="1"/>
      <x:name val="Arial"/>
      <x:family val="2"/>
      <x:scheme val="minor"/>
    </x:font>
    <x:font>
      <x:sz val="10"/>
      <x:color theme="1"/>
      <x:name val="Arial"/>
      <x:family val="2"/>
    </x:font>
    <x:font>
      <x:b/>
      <x:sz val="9"/>
      <x:name val="Arial"/>
      <x:family val="2"/>
    </x:font>
    <x:font>
      <x:b/>
      <x:i/>
      <x:sz val="10"/>
      <x:color theme="0" tint="-0.34998626667073579"/>
      <x:name val="Arial"/>
      <x:family val="2"/>
    </x:font>
    <x:font>
      <x:b/>
      <x:sz val="9"/>
      <x:color indexed="81"/>
      <x:name val="Arial"/>
      <x:family val="2"/>
    </x:font>
    <x:font>
      <x:sz val="11"/>
      <x:color rgb="FFFF0000"/>
      <x:name val="Arial"/>
      <x:family val="2"/>
      <x:scheme val="minor"/>
    </x:font>
    <x:font>
      <x:b/>
      <x:sz val="10"/>
      <x:name val="Arial"/>
      <x:family val="2"/>
    </x:font>
    <x:font>
      <x:b/>
      <x:sz val="10"/>
      <x:color theme="1"/>
      <x:name val="Arial"/>
      <x:family val="2"/>
    </x:font>
    <x:font>
      <x:sz val="8"/>
      <x:color rgb="FFFF0000"/>
      <x:name val="Arial"/>
      <x:family val="2"/>
    </x:font>
    <x:font>
      <x:i/>
      <x:sz val="8"/>
      <x:color theme="1"/>
      <x:name val="Arial"/>
      <x:family val="2"/>
    </x:font>
    <x:font>
      <x:sz val="10"/>
      <x:color theme="0"/>
      <x:name val="Arial"/>
      <x:family val="2"/>
    </x:font>
    <x:font>
      <x:b/>
      <x:sz val="9"/>
      <x:color rgb="FFFF0000"/>
      <x:name val="Arial"/>
      <x:family val="2"/>
    </x:font>
    <x:font>
      <x:b/>
      <x:sz val="7"/>
      <x:color rgb="FFC00000"/>
      <x:name val="Arial"/>
      <x:family val="2"/>
    </x:font>
    <x:font/>
    <x:font/>
    <x:font>
      <x:sz val="11"/>
      <x:color rgb="FFCC0000"/>
      <x:name val="Arial"/>
      <x:family val="2"/>
    </x:font>
    <x:font>
      <x:sz val="9"/>
      <x:name val="Arial"/>
      <x:family val="2"/>
    </x:font>
  </x:fonts>
  <x:fills count="5">
    <x:fill>
      <x:patternFill patternType="none"/>
    </x:fill>
    <x:fill>
      <x:patternFill patternType="gray125"/>
    </x:fill>
    <x:fill>
      <x:patternFill patternType="solid">
        <x:fgColor theme="0"/>
        <x:bgColor indexed="64"/>
      </x:patternFill>
    </x:fill>
    <x:fill>
      <x:gradientFill degree="90">
        <x:stop position="0">
          <x:color theme="4" tint="0.80001220740379042"/>
        </x:stop>
        <x:stop position="1">
          <x:color theme="4" tint="0.40000610370189521"/>
        </x:stop>
      </x:gradientFill>
    </x:fill>
    <x:fill>
      <x:patternFill patternType="solid">
        <x:fgColor theme="4" tint="0.79998168889431442"/>
        <x:bgColor indexed="64"/>
      </x:patternFill>
    </x:fill>
  </x:fills>
  <x:borders count="39">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x:bottom style="thin">
        <x:color indexed="64"/>
      </x:bottom>
      <x:diagonal/>
    </x:border>
    <x:border>
      <x:left/>
      <x:right/>
      <x:top/>
      <x:bottom style="thin">
        <x:color indexed="64"/>
      </x:bottom>
      <x:diagonal/>
    </x:border>
    <x:border>
      <x:left style="medium">
        <x:color indexed="64"/>
      </x:left>
      <x:right/>
      <x:top/>
      <x:bottom/>
      <x:diagonal/>
    </x:border>
    <x:border>
      <x:left/>
      <x:right style="medium">
        <x:color indexed="64"/>
      </x:right>
      <x:top/>
      <x:bottom/>
      <x:diagonal/>
    </x:border>
    <x:border>
      <x:left style="medium">
        <x:color indexed="64"/>
      </x:left>
      <x:right/>
      <x:top/>
      <x:bottom style="medium">
        <x:color indexed="64"/>
      </x:bottom>
      <x:diagonal/>
    </x:border>
    <x:border>
      <x:left/>
      <x:right/>
      <x:top/>
      <x:bottom style="medium">
        <x:color indexed="64"/>
      </x:bottom>
      <x:diagonal/>
    </x:border>
    <x:border>
      <x:left/>
      <x:right style="medium">
        <x:color indexed="64"/>
      </x:right>
      <x:top/>
      <x:bottom style="medium">
        <x:color indexed="64"/>
      </x:bottom>
      <x:diagonal/>
    </x:border>
    <x:border>
      <x:left style="medium">
        <x:color indexed="64"/>
      </x:left>
      <x:right/>
      <x:top style="medium">
        <x:color indexed="64"/>
      </x:top>
      <x:bottom/>
      <x:diagonal/>
    </x:border>
    <x:border>
      <x:left/>
      <x:right style="medium">
        <x:color indexed="64"/>
      </x:right>
      <x:top style="medium">
        <x:color indexed="64"/>
      </x:top>
      <x:bottom/>
      <x:diagonal/>
    </x:border>
    <x:border>
      <x:left style="thin">
        <x:color indexed="64"/>
      </x:left>
      <x:right/>
      <x:top style="thin">
        <x:color indexed="64"/>
      </x:top>
      <x:bottom/>
      <x:diagonal/>
    </x:border>
    <x:border>
      <x:left/>
      <x:right style="thin">
        <x:color indexed="64"/>
      </x:right>
      <x:top style="thin">
        <x:color indexed="64"/>
      </x:top>
      <x:bottom/>
      <x:diagonal/>
    </x:border>
    <x:border>
      <x:left style="medium">
        <x:color indexed="64"/>
      </x:left>
      <x:right/>
      <x:top style="medium">
        <x:color indexed="64"/>
      </x:top>
      <x:bottom style="thin">
        <x:color indexed="64"/>
      </x:bottom>
      <x:diagonal/>
    </x:border>
    <x:border>
      <x:left/>
      <x:right/>
      <x:top style="medium">
        <x:color indexed="64"/>
      </x:top>
      <x:bottom style="thin">
        <x:color indexed="64"/>
      </x:bottom>
      <x:diagonal/>
    </x:border>
    <x:border>
      <x:left/>
      <x:right style="thin">
        <x:color indexed="64"/>
      </x:right>
      <x:top style="medium">
        <x:color indexed="64"/>
      </x:top>
      <x:bottom style="thin">
        <x:color indexed="64"/>
      </x:bottom>
      <x:diagonal/>
    </x:border>
    <x:border>
      <x:left style="medium">
        <x:color indexed="64"/>
      </x:left>
      <x:right/>
      <x:top style="thin">
        <x:color indexed="64"/>
      </x:top>
      <x:bottom style="thin">
        <x:color indexed="64"/>
      </x:bottom>
      <x:diagonal/>
    </x:border>
    <x:border>
      <x:left style="thin">
        <x:color indexed="64"/>
      </x:left>
      <x:right style="medium">
        <x:color indexed="64"/>
      </x:right>
      <x:top style="thin">
        <x:color indexed="64"/>
      </x:top>
      <x:bottom style="thin">
        <x:color indexed="64"/>
      </x:bottom>
      <x:diagonal/>
    </x:border>
    <x:border>
      <x:left/>
      <x:right/>
      <x:top style="thin">
        <x:color indexed="64"/>
      </x:top>
      <x:bottom style="medium">
        <x:color indexed="64"/>
      </x:bottom>
      <x:diagonal/>
    </x:border>
    <x:border>
      <x:left style="medium">
        <x:color indexed="64"/>
      </x:left>
      <x:right/>
      <x:top/>
      <x:bottom style="thin">
        <x:color indexed="64"/>
      </x:bottom>
      <x:diagonal/>
    </x:border>
    <x:border>
      <x:left style="thin">
        <x:color indexed="64"/>
      </x:left>
      <x:right style="medium">
        <x:color indexed="64"/>
      </x:right>
      <x:top/>
      <x:bottom style="thin">
        <x:color indexed="64"/>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thin">
        <x:color indexed="64"/>
      </x:right>
      <x:top style="medium">
        <x:color indexed="64"/>
      </x:top>
      <x:bottom style="medium">
        <x:color indexed="64"/>
      </x:bottom>
      <x:diagonal/>
    </x:border>
    <x:border>
      <x:left style="thin">
        <x:color indexed="64"/>
      </x:left>
      <x:right style="thin">
        <x:color indexed="64"/>
      </x:right>
      <x:top style="medium">
        <x:color indexed="64"/>
      </x:top>
      <x:bottom style="medium">
        <x:color indexed="64"/>
      </x:bottom>
      <x:diagonal/>
    </x:border>
    <x:border>
      <x:left style="thin">
        <x:color indexed="64"/>
      </x:left>
      <x:right style="medium">
        <x:color indexed="64"/>
      </x:right>
      <x:top style="medium">
        <x:color indexed="64"/>
      </x:top>
      <x:bottom style="medium">
        <x:color indexed="64"/>
      </x:bottom>
      <x:diagonal/>
    </x:border>
    <x:border>
      <x:left style="thin">
        <x:color indexed="64"/>
      </x:left>
      <x:right style="thin">
        <x:color indexed="64"/>
      </x:right>
      <x:top/>
      <x:bottom/>
      <x:diagonal/>
    </x:border>
    <x:border>
      <x:left style="thin">
        <x:color indexed="64"/>
      </x:left>
      <x:right style="medium">
        <x:color indexed="64"/>
      </x:right>
      <x:top/>
      <x:bottom/>
      <x:diagonal/>
    </x:border>
    <x:border>
      <x:left/>
      <x:right style="medium">
        <x:color indexed="64"/>
      </x:right>
      <x:top style="thin">
        <x:color indexed="64"/>
      </x:top>
      <x:bottom style="thin">
        <x:color indexed="64"/>
      </x:bottom>
      <x:diagonal/>
    </x:border>
    <x:border>
      <x:left style="thin">
        <x:color indexed="64"/>
      </x:left>
      <x:right/>
      <x:top style="thin">
        <x:color indexed="64"/>
      </x:top>
      <x:bottom style="medium">
        <x:color indexed="64"/>
      </x:bottom>
      <x:diagonal/>
    </x:border>
    <x:border>
      <x:left/>
      <x:right style="medium">
        <x:color indexed="64"/>
      </x:right>
      <x:top style="thin">
        <x:color indexed="64"/>
      </x:top>
      <x:bottom style="medium">
        <x:color indexed="64"/>
      </x:bottom>
      <x:diagonal/>
    </x:border>
    <x:border>
      <x:left/>
      <x:right/>
      <x:top style="thin">
        <x:color indexed="64"/>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x:right/>
      <x:top style="thin">
        <x:color indexed="64"/>
      </x:top>
      <x:bottom/>
      <x:diagonal/>
    </x:border>
  </x:borders>
  <x:cellStyleXfs count="2">
    <x:xf numFmtId="0" fontId="3" fillId="0" borderId="0"/>
    <x:xf numFmtId="0" fontId="1" fillId="0" borderId="0"/>
  </x:cellStyleXfs>
  <x:cellXfs count="169">
    <x:xf numFmtId="0" fontId="3" fillId="0" borderId="0" xfId="0"/>
    <x:xf numFmtId="0" fontId="3" fillId="2" borderId="0" xfId="0" applyFont="1" applyFill="1"/>
    <x:xf numFmtId="0" fontId="3" fillId="2" borderId="0" xfId="0" applyFont="1" applyFill="1" applyBorder="1"/>
    <x:xf numFmtId="0" fontId="3" fillId="2" borderId="0" xfId="0" applyFont="1" applyFill="1" applyAlignment="1">
      <x:alignment horizontal="right"/>
    </x:xf>
    <x:xf numFmtId="0" fontId="9" fillId="2" borderId="0" xfId="0" applyFont="1" applyFill="1" applyAlignment="1">
      <x:alignment horizontal="right"/>
    </x:xf>
    <x:xf numFmtId="0" fontId="3" fillId="2" borderId="0" xfId="0" applyFont="1" applyFill="1" applyAlignment="1">
      <x:alignment horizontal="left"/>
    </x:xf>
    <x:xf numFmtId="3"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left" vertical="bottom" wrapText="1"/>
    </x:xf>
    <x:xf numFmtId="14" fontId="2" fillId="2" borderId="0" xfId="1" applyNumberFormat="1" applyFont="1" applyFill="1" applyBorder="1" applyAlignment="1">
      <x:alignment horizontal="center" vertical="bottom"/>
    </x:xf>
    <x:xf numFmtId="166" fontId="8" fillId="2" borderId="0" xfId="0" applyNumberFormat="1" applyFont="1" applyFill="1"/>
    <x:xf numFmtId="0" fontId="11" fillId="2" borderId="0" xfId="0" applyFont="1" applyFill="1" applyAlignment="1">
      <x:alignment horizontal="left"/>
    </x:xf>
    <x:xf numFmtId="0" fontId="3" fillId="2" borderId="0" xfId="0" applyFont="1" applyFill="1" applyAlignment="1">
      <x:alignment horizontal="center"/>
    </x:xf>
    <x:xf numFmtId="0" fontId="13" fillId="2" borderId="0" xfId="0" applyFont="1" applyFill="1" applyBorder="1" applyAlignment="1">
      <x:alignment horizontal="right"/>
    </x:xf>
    <x:xf numFmtId="0" fontId="13" fillId="2" borderId="0" xfId="0" applyFont="1" applyFill="1" applyAlignment="1">
      <x:alignment horizontal="left"/>
    </x:xf>
    <x:xf numFmtId="0" fontId="2" fillId="2" borderId="0" xfId="1" applyNumberFormat="1" applyFont="1" applyFill="1" applyBorder="1" applyAlignment="1">
      <x:alignment horizontal="center" vertical="bottom" wrapText="1"/>
    </x:xf>
    <x:xf numFmtId="166" fontId="3" fillId="2" borderId="0" xfId="0" applyNumberFormat="1" applyFont="1" applyFill="1" applyAlignment="1">
      <x:alignment horizontal="center" vertical="bottom"/>
    </x:xf>
    <x:xf numFmtId="166" fontId="2" fillId="2" borderId="0" xfId="1" applyNumberFormat="1" applyFont="1" applyFill="1" applyBorder="1" applyAlignment="1">
      <x:alignment horizontal="center" vertical="bottom" wrapText="1"/>
    </x:xf>
    <x:xf numFmtId="0" fontId="16" fillId="2" borderId="0" xfId="0" applyFont="1" applyFill="1"/>
    <x:xf numFmtId="0" fontId="7" fillId="2" borderId="0" xfId="0" applyFont="1" applyFill="1" applyAlignment="1">
      <x:alignment horizontal="center"/>
    </x:xf>
    <x:xf numFmtId="0" fontId="12" fillId="2" borderId="0" xfId="0" applyFont="1" applyFill="1"/>
    <x:xf numFmtId="3" fontId="2" fillId="2" borderId="0" xfId="1" applyNumberFormat="1" applyFont="1" applyFill="1" applyBorder="1" applyAlignment="1">
      <x:alignment horizontal="center" vertical="bottom" shrinkToFit="1"/>
    </x:xf>
    <x:xf numFmtId="0" fontId="18" fillId="2" borderId="0" xfId="0" applyFont="1" applyFill="1" applyAlignment="1">
      <x:alignment horizontal="left"/>
    </x:xf>
    <x:xf numFmtId="165" fontId="2" fillId="2" borderId="8" xfId="1" applyNumberFormat="1" applyFont="1" applyFill="1" applyBorder="1" applyAlignment="1">
      <x:alignment horizontal="center"/>
    </x:xf>
    <x:xf numFmtId="0" fontId="3" fillId="2" borderId="8" xfId="0" applyFont="1" applyFill="1" applyBorder="1" applyAlignment="1">
      <x:alignment horizontal="left"/>
    </x:xf>
    <x:xf numFmtId="3" fontId="3" fillId="2" borderId="0" xfId="1" applyNumberFormat="1" applyFont="1" applyFill="1" applyBorder="1" applyAlignment="1">
      <x:alignment horizontal="center" vertical="bottom" wrapText="1"/>
    </x:xf>
    <x:xf numFmtId="3" fontId="2" fillId="2" borderId="0" xfId="1" applyNumberFormat="1" applyFont="1" applyFill="1" applyBorder="1" applyAlignment="1">
      <x:alignment horizontal="center" vertical="top" wrapText="1"/>
    </x:xf>
    <x:xf numFmtId="0" fontId="1" fillId="2" borderId="6" xfId="0" applyFont="1" applyFill="1" applyBorder="1" applyAlignment="1">
      <x:alignment horizontal="right"/>
    </x:xf>
    <x:xf numFmtId="0" fontId="3" fillId="2" borderId="6" xfId="0" applyFont="1" applyFill="1" applyBorder="1"/>
    <x:xf numFmtId="0" fontId="18" fillId="2" borderId="0" xfId="0" applyFont="1" applyFill="1" applyAlignment="1">
      <x:alignment horizontal="right"/>
    </x:xf>
    <x:xf numFmtId="0" fontId="3" fillId="2" borderId="22" xfId="0" applyFont="1" applyFill="1" applyBorder="1"/>
    <x:xf numFmtId="0" fontId="3" fillId="2" borderId="2" xfId="0" applyFont="1" applyFill="1" applyBorder="1" applyAlignment="1">
      <x:alignment horizontal="center"/>
    </x:xf>
    <x:xf numFmtId="0" fontId="3" fillId="2" borderId="3" xfId="0" applyFont="1" applyFill="1" applyBorder="1" applyAlignment="1">
      <x:alignment horizontal="center"/>
    </x:xf>
    <x:xf numFmtId="0" fontId="3" fillId="2" borderId="31" xfId="0" applyFont="1" applyFill="1" applyBorder="1" applyAlignment="1">
      <x:alignment horizontal="center"/>
    </x:xf>
    <x:xf numFmtId="0" fontId="3" fillId="2" borderId="32" xfId="0" applyFont="1" applyFill="1" applyBorder="1" applyAlignment="1">
      <x:alignment horizontal="center"/>
    </x:xf>
    <x:xf numFmtId="0" fontId="3" fillId="2" borderId="21" xfId="0" applyFont="1" applyFill="1" applyBorder="1" applyAlignment="1">
      <x:alignment horizontal="center"/>
    </x:xf>
    <x:xf numFmtId="0" fontId="3" fillId="2" borderId="33" xfId="0" applyFont="1" applyFill="1" applyBorder="1" applyAlignment="1">
      <x:alignment horizontal="center"/>
    </x:xf>
    <x:xf numFmtId="0" fontId="20" fillId="2" borderId="6" xfId="0" applyFont="1" applyFill="1" applyBorder="1" applyAlignment="1">
      <x:alignment horizontal="right" vertical="bottom"/>
    </x:xf>
    <x:xf numFmtId="3" fontId="13" fillId="2" borderId="0" xfId="0" applyNumberFormat="1" applyFont="1" applyFill="1" applyBorder="1" applyAlignment="1">
      <x:alignment horizontal="left"/>
    </x:xf>
    <x:xf numFmtId="166" fontId="14" fillId="2" borderId="0" xfId="0" applyNumberFormat="1" applyFont="1" applyFill="1"/>
    <x:xf numFmtId="0" fontId="14" fillId="2" borderId="0" xfId="0" applyFont="1" applyFill="1" applyAlignment="1">
      <x:alignment horizontal="right"/>
    </x:xf>
    <x:xf numFmtId="0" fontId="21" fillId="2" borderId="0" xfId="0" applyFont="1" applyFill="1"/>
    <x:xf numFmtId="0" fontId="8" fillId="2" borderId="0" xfId="0" applyFont="1" applyFill="1"/>
    <x:xf numFmtId="0" fontId="2" fillId="2" borderId="7" xfId="1" applyFont="1" applyFill="1" applyBorder="1" applyAlignment="1">
      <x:alignment horizontal="left"/>
    </x:xf>
    <x:xf numFmtId="0" fontId="3" fillId="2" borderId="7" xfId="0" applyFont="1" applyFill="1" applyBorder="1" applyAlignment="1">
      <x:alignment horizontal="left"/>
    </x:xf>
    <x:xf numFmtId="0" fontId="5" fillId="3" borderId="3" xfId="1" applyFont="1" applyFill="1" applyBorder="1" applyAlignment="1">
      <x:alignment horizontal="center" wrapText="1"/>
    </x:xf>
    <x:xf numFmtId="0" fontId="5" fillId="3" borderId="4" xfId="1" applyFont="1" applyFill="1" applyBorder="1" applyAlignment="1">
      <x:alignment horizontal="center" wrapText="1"/>
    </x:xf>
    <x:xf numFmtId="0" fontId="5" fillId="3" borderId="2" xfId="1" applyFont="1" applyFill="1" applyBorder="1" applyAlignment="1">
      <x:alignment horizontal="center" wrapText="1"/>
    </x:xf>
    <x:xf numFmtId="0" fontId="5" fillId="3" borderId="3" xfId="1" applyFont="1" applyFill="1" applyBorder="1" applyAlignment="1">
      <x:alignment horizontal="left" wrapText="1"/>
    </x:xf>
    <x:xf numFmtId="38" fontId="2" fillId="4" borderId="34" xfId="1" applyNumberFormat="1" applyFont="1" applyFill="1" applyBorder="1" applyAlignment="1">
      <x:alignment horizontal="left" vertical="bottom" wrapText="1"/>
    </x:xf>
    <x:xf numFmtId="3" fontId="2" fillId="4" borderId="34" xfId="1" applyNumberFormat="1" applyFont="1" applyFill="1" applyBorder="1" applyAlignment="1">
      <x:alignment horizontal="center" vertical="bottom" wrapText="1"/>
    </x:xf>
    <x:xf numFmtId="38" fontId="2" fillId="4" borderId="0"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wrapText="1"/>
    </x:xf>
    <x:xf numFmtId="38" fontId="2" fillId="4" borderId="6"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shrinkToFit="1"/>
    </x:xf>
    <x:xf numFmtId="14" fontId="2" fillId="4" borderId="14" xfId="1" applyNumberFormat="1" applyFont="1" applyFill="1" applyBorder="1" applyAlignment="1">
      <x:alignment horizontal="center" vertical="bottom"/>
    </x:xf>
    <x:xf numFmtId="3" fontId="2" fillId="4" borderId="34" xfId="1" applyNumberFormat="1" applyFont="1" applyFill="1" applyBorder="1" applyAlignment="1">
      <x:alignment horizontal="center" vertical="bottom" shrinkToFit="1"/>
    </x:xf>
    <x:xf numFmtId="166" fontId="4" fillId="4" borderId="15" xfId="1" applyNumberFormat="1" applyFont="1" applyFill="1" applyBorder="1" applyAlignment="1">
      <x:alignment horizontal="center" vertical="bottom"/>
    </x:xf>
    <x:xf numFmtId="173" fontId="2" fillId="2" borderId="35" xfId="1" applyNumberFormat="1" applyFont="1" applyFill="1" applyBorder="1" applyAlignment="1">
      <x:alignment horizontal="center" vertical="bottom"/>
    </x:xf>
    <x:xf numFmtId="166" fontId="4" fillId="2" borderId="36" xfId="1" applyNumberFormat="1" applyFont="1" applyFill="1" applyBorder="1" applyAlignment="1">
      <x:alignment horizontal="center" vertical="bottom"/>
    </x:xf>
    <x:xf numFmtId="173" fontId="2" fillId="4" borderId="35" xfId="1" applyNumberFormat="1" applyFont="1" applyFill="1" applyBorder="1" applyAlignment="1">
      <x:alignment horizontal="center" vertical="bottom"/>
    </x:xf>
    <x:xf numFmtId="166" fontId="4" fillId="4" borderId="36" xfId="1" applyNumberFormat="1" applyFont="1" applyFill="1" applyBorder="1" applyAlignment="1">
      <x:alignment horizontal="center" vertical="bottom"/>
    </x:xf>
    <x:xf numFmtId="14" fontId="2" fillId="2" borderId="37" xfId="1" applyNumberFormat="1" applyFont="1" applyFill="1" applyBorder="1" applyAlignment="1">
      <x:alignment horizontal="center" vertical="bottom"/>
    </x:xf>
    <x:xf numFmtId="3" fontId="2" fillId="2" borderId="6" xfId="1" applyNumberFormat="1" applyFont="1" applyFill="1" applyBorder="1" applyAlignment="1">
      <x:alignment horizontal="center" vertical="bottom" wrapText="1"/>
    </x:xf>
    <x:xf numFmtId="3" fontId="2" fillId="2" borderId="6" xfId="1" applyNumberFormat="1" applyFont="1" applyFill="1" applyBorder="1" applyAlignment="1">
      <x:alignment horizontal="center" vertical="bottom" shrinkToFit="1"/>
    </x:xf>
    <x:xf numFmtId="38" fontId="2" fillId="2" borderId="6" xfId="1" applyNumberFormat="1" applyFont="1" applyFill="1" applyBorder="1" applyAlignment="1">
      <x:alignment horizontal="left" vertical="bottom" wrapText="1"/>
    </x:xf>
    <x:xf numFmtId="166" fontId="4" fillId="2" borderId="38" xfId="1" applyNumberFormat="1" applyFont="1" applyFill="1" applyBorder="1" applyAlignment="1">
      <x:alignment horizontal="center" vertical="bottom"/>
    </x:xf>
    <x:xf numFmtId="166" fontId="5" fillId="3" borderId="3" xfId="1" applyNumberFormat="1" applyFont="1" applyFill="1" applyBorder="1" applyAlignment="1">
      <x:alignment horizontal="center" wrapText="1"/>
    </x:xf>
    <x:xf numFmtId="14" fontId="2" fillId="4" borderId="37" xfId="1" applyNumberFormat="1" applyFont="1" applyFill="1" applyBorder="1" applyAlignment="1">
      <x:alignment horizontal="center" vertical="bottom"/>
    </x:xf>
    <x:xf numFmtId="3" fontId="2" fillId="4" borderId="6" xfId="1" applyNumberFormat="1" applyFont="1" applyFill="1" applyBorder="1" applyAlignment="1">
      <x:alignment horizontal="center" vertical="bottom"/>
    </x:xf>
    <x:xf numFmtId="14" fontId="2" fillId="4" borderId="6" xfId="1" applyNumberFormat="1" applyFont="1" applyFill="1" applyBorder="1" applyAlignment="1">
      <x:alignment horizontal="center" vertical="bottom"/>
    </x:xf>
    <x:xf numFmtId="166" fontId="2" fillId="4" borderId="6" xfId="1" applyNumberFormat="1" applyFont="1" applyFill="1" applyBorder="1" applyAlignment="1">
      <x:alignment horizontal="center" vertical="bottom" wrapText="1"/>
    </x:xf>
    <x:xf numFmtId="166" fontId="4" fillId="4" borderId="38" xfId="1" applyNumberFormat="1" applyFont="1" applyFill="1" applyBorder="1" applyAlignment="1">
      <x:alignment horizontal="center" vertical="bottom"/>
    </x:xf>
    <x:xf numFmtId="3" fontId="2" fillId="4" borderId="0" xfId="1" applyNumberFormat="1" applyFont="1" applyFill="1" applyBorder="1" applyAlignment="1">
      <x:alignment horizontal="center" vertical="bottom"/>
    </x:xf>
    <x:xf numFmtId="14" fontId="2" fillId="4" borderId="0" xfId="1" applyNumberFormat="1" applyFont="1" applyFill="1" applyBorder="1" applyAlignment="1">
      <x:alignment horizontal="center" vertical="bottom"/>
    </x:xf>
    <x:xf numFmtId="166" fontId="2" fillId="4" borderId="0" xfId="1" applyNumberFormat="1" applyFont="1" applyFill="1" applyBorder="1" applyAlignment="1">
      <x:alignment horizontal="center" vertical="bottom" wrapText="1"/>
    </x:xf>
    <x:xf numFmtId="14" fontId="2" fillId="4" borderId="14" xfId="1" applyNumberFormat="1" applyFont="1" applyFill="1" applyBorder="1" applyAlignment="1">
      <x:alignment horizontal="left" vertical="bottom"/>
    </x:xf>
    <x:xf numFmtId="3" fontId="2" fillId="4" borderId="34" xfId="1" applyNumberFormat="1" applyFont="1" applyFill="1" applyBorder="1" applyAlignment="1">
      <x:alignment horizontal="center" vertical="bottom"/>
    </x:xf>
    <x:xf numFmtId="14" fontId="2" fillId="4" borderId="34" xfId="1" applyNumberFormat="1" applyFont="1" applyFill="1" applyBorder="1" applyAlignment="1">
      <x:alignment horizontal="center" vertical="bottom"/>
    </x:xf>
    <x:xf numFmtId="166" fontId="2" fillId="4" borderId="34" xfId="1" applyNumberFormat="1" applyFont="1" applyFill="1" applyBorder="1" applyAlignment="1">
      <x:alignment horizontal="center" vertical="bottom" wrapText="1"/>
    </x:xf>
    <x:xf numFmtId="3" fontId="4" fillId="2" borderId="36" xfId="1" applyNumberFormat="1" applyFont="1" applyFill="1" applyBorder="1" applyAlignment="1">
      <x:alignment horizontal="center" vertical="bottom"/>
    </x:xf>
    <x:xf numFmtId="38" fontId="2" fillId="4" borderId="34" xfId="1" applyNumberFormat="1" applyFont="1" applyFill="1" applyBorder="1" applyAlignment="1">
      <x:alignment horizontal="center" vertical="bottom"/>
    </x:xf>
    <x:xf numFmtId="0" fontId="2"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x:xf>
    <x:xf numFmtId="38" fontId="2" fillId="4" borderId="0" xfId="1" applyNumberFormat="1" applyFont="1" applyFill="1" applyBorder="1" applyAlignment="1">
      <x:alignment horizontal="center" vertical="bottom"/>
    </x:xf>
    <x:xf numFmtId="0" fontId="2" fillId="4" borderId="0" xfId="1" applyNumberFormat="1" applyFont="1" applyFill="1" applyBorder="1" applyAlignment="1">
      <x:alignment horizontal="center" vertical="bottom" wrapText="1"/>
    </x:xf>
    <x:xf numFmtId="3" fontId="4" fillId="4" borderId="36" xfId="1" applyNumberFormat="1" applyFont="1" applyFill="1" applyBorder="1" applyAlignment="1">
      <x:alignment horizontal="center" vertical="bottom"/>
    </x:xf>
    <x:xf numFmtId="38" fontId="2" fillId="4" borderId="6" xfId="1" applyNumberFormat="1" applyFont="1" applyFill="1" applyBorder="1" applyAlignment="1">
      <x:alignment horizontal="center" vertical="bottom"/>
    </x:xf>
    <x:xf numFmtId="0" fontId="2" fillId="4" borderId="6" xfId="1" applyNumberFormat="1" applyFont="1" applyFill="1" applyBorder="1" applyAlignment="1">
      <x:alignment horizontal="center" vertical="bottom" wrapText="1"/>
    </x:xf>
    <x:xf numFmtId="3" fontId="4" fillId="4" borderId="38" xfId="1" applyNumberFormat="1" applyFont="1" applyFill="1" applyBorder="1" applyAlignment="1">
      <x:alignment horizontal="center" vertical="bottom"/>
    </x:xf>
    <x:xf numFmtId="164" fontId="3" fillId="2" borderId="35" xfId="1" applyNumberFormat="1" applyFont="1" applyFill="1" applyBorder="1" applyAlignment="1">
      <x:alignment horizontal="center" vertical="top"/>
    </x:xf>
    <x:xf numFmtId="3" fontId="3" fillId="2" borderId="36" xfId="1" applyNumberFormat="1" applyFont="1" applyFill="1" applyBorder="1" applyAlignment="1">
      <x:alignment horizontal="center" vertical="top" wrapText="1"/>
    </x:xf>
    <x:xf numFmtId="164" fontId="2" fillId="2" borderId="37" xfId="1" applyNumberFormat="1" applyFont="1" applyFill="1" applyBorder="1" applyAlignment="1">
      <x:alignment horizontal="center" vertical="bottom"/>
    </x:xf>
    <x:xf numFmtId="164" fontId="2" fillId="4" borderId="14" xfId="1" applyNumberFormat="1" applyFont="1" applyFill="1" applyBorder="1" applyAlignment="1">
      <x:alignment horizontal="center" vertical="bottom"/>
    </x:xf>
    <x:xf numFmtId="3" fontId="4"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wrapText="1"/>
    </x:xf>
    <x:xf numFmtId="171" fontId="2" fillId="4" borderId="35" xfId="1" applyNumberFormat="1" applyFont="1" applyFill="1" applyBorder="1" applyAlignment="1">
      <x:alignment horizontal="center" vertical="top"/>
    </x:xf>
    <x:xf numFmtId="0" fontId="3" fillId="4" borderId="0" xfId="1" applyNumberFormat="1" applyFont="1" applyFill="1" applyBorder="1" applyAlignment="1">
      <x:alignment horizontal="center" vertical="top" wrapText="1"/>
    </x:xf>
    <x:xf numFmtId="3" fontId="3" fillId="4" borderId="36" xfId="1" applyNumberFormat="1" applyFont="1" applyFill="1" applyBorder="1" applyAlignment="1">
      <x:alignment horizontal="center" vertical="top" wrapText="1"/>
    </x:xf>
    <x:xf numFmtId="0" fontId="3" fillId="3" borderId="27" xfId="0" applyFont="1" applyFill="1" applyBorder="1" applyAlignment="1">
      <x:alignment horizontal="center"/>
    </x:xf>
    <x:xf numFmtId="0" fontId="3" fillId="3" borderId="28" xfId="0" applyFont="1" applyFill="1" applyBorder="1" applyAlignment="1">
      <x:alignment horizontal="center"/>
    </x:xf>
    <x:xf numFmtId="0" fontId="5" fillId="3" borderId="12" xfId="1" applyFont="1" applyFill="1" applyBorder="1" applyAlignment="1">
      <x:alignment horizontal="left" wrapText="1"/>
    </x:xf>
    <x:xf numFmtId="0" fontId="5" fillId="3" borderId="13" xfId="1" applyFont="1" applyFill="1" applyBorder="1" applyAlignment="1">
      <x:alignment horizontal="center" wrapText="1"/>
    </x:xf>
    <x:xf numFmtId="164" fontId="17" fillId="4" borderId="1" xfId="0" applyNumberFormat="1" applyFont="1" applyFill="1" applyBorder="1" applyAlignment="1">
      <x:alignment horizontal="left"/>
    </x:xf>
    <x:xf numFmtId="0" fontId="2" fillId="4" borderId="12" xfId="1" applyFont="1" applyFill="1" applyBorder="1" applyAlignment="1">
      <x:alignment horizontal="left"/>
    </x:xf>
    <x:xf numFmtId="165" fontId="2" fillId="4" borderId="13" xfId="1" applyNumberFormat="1" applyFont="1" applyFill="1" applyBorder="1" applyAlignment="1">
      <x:alignment horizontal="center"/>
    </x:xf>
    <x:xf numFmtId="0" fontId="2" fillId="4" borderId="35" xfId="1" applyFont="1" applyFill="1" applyBorder="1" applyAlignment="1">
      <x:alignment horizontal="left"/>
    </x:xf>
    <x:xf numFmtId="165" fontId="2" fillId="4" borderId="8" xfId="1" applyNumberFormat="1" applyFont="1" applyFill="1" applyBorder="1" applyAlignment="1">
      <x:alignment horizontal="center"/>
    </x:xf>
    <x:xf numFmtId="0" fontId="2" fillId="2" borderId="9" xfId="1" applyFont="1" applyFill="1" applyBorder="1" applyAlignment="1">
      <x:alignment horizontal="left"/>
    </x:xf>
    <x:xf numFmtId="165" fontId="2" fillId="2" borderId="11" xfId="1" applyNumberFormat="1" applyFont="1" applyFill="1" applyBorder="1" applyAlignment="1">
      <x:alignment horizontal="center"/>
    </x:xf>
    <x:xf numFmtId="0" fontId="3" fillId="4" borderId="1" xfId="0" applyFont="1" applyFill="1" applyBorder="1" applyAlignment="1">
      <x:alignment horizontal="center" vertical="bottom"/>
    </x:xf>
    <x:xf numFmtId="0" fontId="3" fillId="4" borderId="20" xfId="0" applyFont="1" applyFill="1" applyBorder="1" applyAlignment="1">
      <x:alignment horizontal="center" vertical="bottom"/>
    </x:xf>
    <x:xf numFmtId="0" fontId="3" fillId="4" borderId="5" xfId="0" applyFont="1" applyFill="1" applyBorder="1" applyAlignment="1">
      <x:alignment horizontal="center" vertical="bottom"/>
    </x:xf>
    <x:xf numFmtId="0" fontId="3" fillId="4" borderId="23" xfId="0" applyFont="1" applyFill="1" applyBorder="1" applyAlignment="1">
      <x:alignment horizontal="center" vertical="bottom"/>
    </x:xf>
    <x:xf numFmtId="0" fontId="3" fillId="4" borderId="29" xfId="0" applyFont="1" applyFill="1" applyBorder="1" applyAlignment="1">
      <x:alignment horizontal="center" vertical="bottom"/>
    </x:xf>
    <x:xf numFmtId="0" fontId="3" fillId="4" borderId="30" xfId="0" applyFont="1" applyFill="1" applyBorder="1" applyAlignment="1">
      <x:alignment horizontal="center" vertical="bottom"/>
    </x:xf>
    <x:xf numFmtId="164" fontId="2" fillId="4" borderId="34" xfId="1" applyNumberFormat="1" applyFont="1" applyFill="1" applyBorder="1" applyAlignment="1">
      <x:alignment horizontal="center" vertical="bottom" shrinkToFit="1"/>
    </x:xf>
    <x:xf numFmtId="0" fontId="2" fillId="4" borderId="0" xfId="1" applyFont="1" applyFill="1" applyBorder="1" applyAlignment="1">
      <x:alignment horizontal="center" vertical="bottom" shrinkToFit="1"/>
    </x:xf>
    <x:xf numFmtId="14" fontId="2" fillId="2" borderId="0" xfId="1" applyNumberFormat="1" applyFont="1" applyFill="1" applyBorder="1" applyAlignment="1">
      <x:alignment horizontal="center" vertical="bottom" shrinkToFit="1"/>
    </x:xf>
    <x:xf numFmtId="0" fontId="2" fillId="2" borderId="6" xfId="1" applyFont="1" applyFill="1" applyBorder="1" applyAlignment="1">
      <x:alignment horizontal="center" vertical="bottom" shrinkToFit="1"/>
    </x:xf>
    <x:xf numFmtId="3" fontId="4" fillId="2" borderId="6" xfId="1" applyNumberFormat="1" applyFont="1" applyFill="1" applyBorder="1" applyAlignment="1">
      <x:alignment horizontal="center" vertical="bottom" wrapText="1"/>
    </x:xf>
    <x:xf numFmtId="3" fontId="4" fillId="2" borderId="38" xfId="1" applyNumberFormat="1" applyFont="1" applyFill="1" applyBorder="1" applyAlignment="1">
      <x:alignment horizontal="center" vertical="bottom" wrapText="1"/>
    </x:xf>
    <x:xf numFmtId="0" fontId="23" fillId="2" borderId="0" xfId="0" applyFont="1" applyFill="1"/>
    <x:xf numFmtId="0" fontId="7" fillId="2" borderId="0" xfId="0" applyFont="1" applyFill="1" applyAlignment="1">
      <x:alignment horizontal="center"/>
    </x:xf>
    <x:xf numFmtId="0" fontId="7" fillId="0" borderId="0" xfId="0" applyFont="1" applyAlignment="1">
      <x:alignment horizontal="center"/>
    </x:xf>
    <x:xf numFmtId="0" fontId="6" fillId="2" borderId="0" xfId="0" applyFont="1" applyFill="1" applyAlignment="1">
      <x:alignment horizontal="center"/>
    </x:xf>
    <x:xf numFmtId="0" fontId="6" fillId="0" borderId="0" xfId="0" applyFont="1" applyAlignment="1">
      <x:alignment horizontal="center"/>
    </x:xf>
    <x:xf numFmtId="0" fontId="12" fillId="2" borderId="0" xfId="0" applyFont="1" applyFill="1" applyAlignment="1">
      <x:alignment vertical="bottom" wrapText="1"/>
    </x:xf>
    <x:xf numFmtId="0" fontId="3" fillId="0" borderId="0" xfId="0" applyFont="1" applyAlignment="1">
      <x:alignment vertical="bottom" wrapText="1"/>
    </x:xf>
    <x:xf numFmtId="0" fontId="3" fillId="0" borderId="0" xfId="0" applyAlignment="1"/>
    <x:xf numFmtId="0" fontId="12" fillId="2" borderId="0" xfId="0" applyFont="1" applyFill="1" applyAlignment="1">
      <x:alignment horizontal="center" wrapText="1"/>
    </x:xf>
    <x:xf numFmtId="0" fontId="3" fillId="0" borderId="0" xfId="0" applyFont="1" applyBorder="1" applyAlignment="1">
      <x:alignment wrapText="1"/>
    </x:xf>
    <x:xf numFmtId="0" fontId="3" fillId="0" borderId="0" xfId="0" applyAlignment="1">
      <x:alignment horizontal="center"/>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22" fillId="2" borderId="0" xfId="0" applyFont="1" applyFill="1" applyAlignment="1">
      <x:alignment horizontal="center"/>
    </x:xf>
    <x:xf numFmtId="0" fontId="22" fillId="0" borderId="0" xfId="0" applyFont="1" applyAlignment="1">
      <x:alignment horizontal="center"/>
    </x:xf>
    <x:xf numFmtId="0" fontId="10" fillId="2" borderId="0" xfId="0" applyFont="1" applyFill="1" applyAlignment="1">
      <x:alignment horizontal="center"/>
    </x:xf>
    <x:xf numFmtId="0" fontId="10" fillId="0" borderId="0" xfId="0" applyFont="1" applyAlignment="1">
      <x:alignment horizontal="center"/>
    </x:xf>
    <x:xf numFmtId="0" fontId="9" fillId="2" borderId="0" xfId="0" applyFont="1" applyFill="1" applyAlignment="1">
      <x:alignment horizontal="center"/>
    </x:xf>
    <x:xf numFmtId="0" fontId="9" fillId="0" borderId="0" xfId="0" applyFont="1" applyAlignment="1">
      <x:alignment horizontal="center"/>
    </x:xf>
    <x:xf numFmtId="0" fontId="18" fillId="3" borderId="24" xfId="0" applyFont="1" applyFill="1" applyBorder="1" applyAlignment="1">
      <x:alignment horizontal="center"/>
    </x:xf>
    <x:xf numFmtId="0" fontId="3" fillId="3" borderId="25" xfId="0" applyFont="1" applyFill="1" applyBorder="1" applyAlignment="1"/>
    <x:xf numFmtId="0" fontId="3" fillId="3" borderId="26" xfId="0" applyFont="1" applyFill="1" applyBorder="1" applyAlignment="1"/>
    <x:xf numFmtId="0" fontId="18" fillId="4" borderId="16" xfId="0" applyFont="1" applyFill="1" applyBorder="1" applyAlignment="1">
      <x:alignment horizontal="right" vertical="bottom"/>
    </x:xf>
    <x:xf numFmtId="0" fontId="3" fillId="4" borderId="17" xfId="0" applyFont="1" applyFill="1" applyBorder="1" applyAlignment="1">
      <x:alignment vertical="bottom"/>
    </x:xf>
    <x:xf numFmtId="0" fontId="3" fillId="4" borderId="18" xfId="0" applyFont="1" applyFill="1" applyBorder="1" applyAlignment="1">
      <x:alignment vertical="bottom"/>
    </x:xf>
    <x:xf numFmtId="0" fontId="19" fillId="2" borderId="10" xfId="0" applyFont="1" applyFill="1" applyBorder="1" applyAlignment="1">
      <x:alignment horizontal="center"/>
    </x:xf>
    <x:xf numFmtId="0" fontId="3" fillId="0" borderId="10" xfId="0" applyFont="1" applyBorder="1" applyAlignment="1">
      <x:alignment horizontal="center"/>
    </x:xf>
    <x:xf numFmtId="0" fontId="6" fillId="2" borderId="0" xfId="0" applyFont="1" applyFill="1" applyAlignment="1">
      <x:alignment horizontal="left"/>
    </x:xf>
    <x:xf numFmtId="167" fontId="24" fillId="0" borderId="1" xfId="0" applyFont="1" applyFill="0" applyBorder="1" applyAlignment="1">
      <x:alignment horizontal="center" shrinkToFit="1"/>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7" fontId="3" fillId="0" borderId="0" xfId="0" applyFont="1" applyFill="1" applyBorder="0" applyAlignment="1">
      <x:alignment horizontal="center"/>
    </x:xf>
    <x:xf numFmtId="168" fontId="3" fillId="4" borderId="0" xfId="0" applyFont="1" applyFill="1" applyBorder="0" applyAlignment="1">
      <x:alignment horizontal="center"/>
    </x:xf>
    <x:xf numFmtId="0" fontId="13" fillId="2" borderId="4" xfId="0" applyFont="1" applyFill="1" applyAlignment="1">
      <x:alignment horizontal="left"/>
    </x:xf>
    <x:xf numFmtId="167" fontId="13" fillId="2" borderId="3" xfId="0" applyFont="1" applyFill="1" applyBorder="1" applyAlignment="1">
      <x:alignment horizontal="left"/>
    </x:xf>
    <x:xf numFmtId="169" fontId="3" fillId="0" borderId="0" xfId="0" applyFont="1" applyFill="0" applyBorder="0" applyAlignment="1">
      <x:alignment horizontal="center"/>
    </x:xf>
    <x:xf numFmtId="0" fontId="13" fillId="0" borderId="0" xfId="0" applyFont="1" applyFill="0" applyBorder="0" applyAlignment="1">
      <x:alignment horizontal="right"/>
    </x:xf>
    <x:xf numFmtId="169" fontId="3" fillId="4" borderId="0" xfId="0" applyFont="1" applyFill="1" applyBorder="0" applyAlignment="1">
      <x:alignment horizontal="center"/>
    </x:xf>
    <x:xf numFmtId="169" fontId="13" fillId="0" borderId="0" xfId="0" applyFont="1" applyFill="0" applyBorder="0" applyAlignment="1">
      <x:alignment horizontal="center"/>
    </x:xf>
    <x:xf numFmtId="166" fontId="13" fillId="0" borderId="0" xfId="0" applyFont="1" applyFill="0" applyBorder="0" applyAlignment="1">
      <x:alignment horizontal="center"/>
    </x:xf>
    <x:xf numFmtId="169" fontId="3" fillId="4" borderId="36" xfId="0" applyFont="1" applyFill="1" applyBorder="1" applyAlignment="1">
      <x:alignment horizontal="center" vertical="bottom"/>
    </x:xf>
    <x:xf numFmtId="0" fontId="3" fillId="4" borderId="35" xfId="0" applyFont="1" applyFill="1" applyBorder="1" applyAlignment="1">
      <x:alignment horizontal="center" vertical="bottom"/>
    </x:xf>
    <x:xf numFmtId="169" fontId="3" fillId="0" borderId="36" xfId="0" applyFont="1" applyFill="0" applyBorder="1" applyAlignment="1">
      <x:alignment horizontal="center" vertical="bottom"/>
    </x:xf>
    <x:xf numFmtId="0" fontId="3" fillId="0" borderId="35" xfId="0" applyFont="1" applyFill="0" applyBorder="1" applyAlignment="1">
      <x:alignment horizontal="center" vertical="bottom"/>
    </x:xf>
    <x:xf numFmtId="170" fontId="3" fillId="0" borderId="0" xfId="0" applyFont="1" applyFill="0" applyBorder="0" applyAlignment="1">
      <x:alignment horizontal="center"/>
    </x:xf>
    <x:xf numFmtId="170" fontId="3" fillId="4" borderId="0" xfId="0" applyFont="1" applyFill="1" applyBorder="0" applyAlignment="1">
      <x:alignment horizontal="center"/>
    </x:xf>
    <x:xf numFmtId="165" fontId="4" fillId="0" borderId="39" xfId="0" applyFont="1" applyFill="1" applyBorder="1" applyAlignment="1">
      <x:alignment horizontal="center"/>
    </x:xf>
    <x:xf numFmtId="166" fontId="13" fillId="0" borderId="39" xfId="0" applyFont="1" applyFill="0" applyBorder="1" applyAlignment="1">
      <x:alignment horizontal="center"/>
    </x:xf>
    <x:xf numFmtId="171" fontId="3" fillId="0" borderId="0" xfId="0" applyFont="1" applyFill="0" applyBorder="0" applyAlignment="1">
      <x:alignment horizontal="center"/>
    </x:xf>
    <x:xf numFmtId="171" fontId="3" fillId="4" borderId="0" xfId="0" applyFont="1" applyFill="1" applyBorder="0" applyAlignment="1">
      <x:alignment horizontal="center"/>
    </x:xf>
    <x:xf numFmtId="0" fontId="5" fillId="3" borderId="3" xfId="1" applyFont="1" applyFill="1" applyBorder="1" applyAlignment="1">
      <x:alignment horizontal="left" wrapText="0"/>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71" fontId="3" fillId="4" borderId="0" xfId="0" applyFont="1" applyFill="1" applyBorder="0" applyAlignment="1">
      <x:alignment horizontal="center"/>
    </x:xf>
    <x:xf numFmtId="168" fontId="3" fillId="4" borderId="0" xfId="0" applyFont="1" applyFill="1" applyBorder="0" applyAlignment="1">
      <x:alignment horizontal="center"/>
    </x:xf>
    <x:xf numFmtId="167" fontId="3" fillId="0" borderId="0" xfId="0" applyFont="1" applyFill="1" applyBorder="1" applyAlignment="1">
      <x:alignment horizontal="center" shrinkToFit="1"/>
    </x:xf>
    <x:xf numFmtId="168" fontId="3" fillId="0" borderId="0" xfId="0" applyFont="1" applyFill="1" applyBorder="0" applyAlignment="1">
      <x:alignment horizontal="center" shrinkToFit="1"/>
    </x:xf>
    <x:xf numFmtId="169" fontId="3" fillId="0" borderId="0" xfId="0" applyFont="1" applyFill="1" applyBorder="0" applyAlignment="1">
      <x:alignment horizontal="center" shrinkToFit="1"/>
    </x:xf>
    <x:xf numFmtId="167" fontId="3" fillId="0" borderId="0" xfId="0" applyFont="1" applyFill="1" applyBorder="0" applyAlignment="1">
      <x:alignment horizontal="center" shrinkToFit="1"/>
    </x:xf>
    <x:xf numFmtId="171" fontId="3" fillId="0" borderId="0" xfId="0" applyFont="1" applyFill="1" applyBorder="0" applyAlignment="1">
      <x:alignment horizontal="center" shrinkToFit="1"/>
    </x:xf>
    <x:xf numFmtId="168" fontId="3" fillId="0" borderId="0" xfId="0" applyFont="1" applyFill="1" applyBorder="0" applyAlignment="1">
      <x:alignment horizontal="center" shrinkToFit="1"/>
    </x:xf>
    <x:xf numFmtId="0" fontId="3" fillId="0" borderId="0" xfId="0" applyFont="1" applyFill="1" applyBorder="0" applyAlignment="1">
      <x:alignment horizontal="center" shrinkToFit="1"/>
    </x:xf>
    <x:xf numFmtId="0" fontId="3" fillId="4" borderId="0" xfId="0" applyFont="1" applyFill="1" applyBorder="0" applyAlignment="1">
      <x:alignment horizontal="center" shrinkToFit="1"/>
    </x:xf>
    <x:xf numFmtId="0" fontId="6" fillId="0" borderId="39" xfId="0" applyFont="1" applyFill="1" applyBorder="1" applyAlignment="1">
      <x:alignment horizontal="left" wrapText="0"/>
    </x:xf>
    <x:xf numFmtId="0" fontId="13" fillId="0" borderId="0" xfId="0" applyFont="1" applyFill="1" applyBorder="1" applyAlignment="1">
      <x:alignment horizontal="left" wrapText="0"/>
    </x:xf>
    <x:xf numFmtId="0" fontId="22" fillId="0" borderId="0" xfId="0" applyFont="1" applyFill="1" applyBorder="1" applyAlignment="1">
      <x:alignment horizontal="left" wrapText="0"/>
    </x:xf>
    <x:xf numFmtId="0" fontId="22" fillId="4" borderId="0" xfId="0" applyFont="1" applyFill="1" applyBorder="1" applyAlignment="1">
      <x:alignment horizontal="left" wrapText="0"/>
    </x:xf>
    <x:xf numFmtId="172" fontId="3" fillId="4" borderId="8" xfId="0" applyFont="1" applyFill="1" applyBorder="1" applyAlignment="1">
      <x:alignment horizontal="center" wrapText="0"/>
    </x:xf>
    <x:xf numFmtId="172" fontId="3" fillId="0" borderId="8" xfId="0" applyFont="1" applyFill="1" applyBorder="1" applyAlignment="1">
      <x:alignment horizontal="center" wrapText="0"/>
    </x:xf>
    <x:xf numFmtId="0" fontId="27" fillId="0" borderId="0" xfId="0" applyFont="1" applyFill="1" applyBorder="1" applyAlignment="1">
      <x:alignment horizontal="left" wrapText="1"/>
    </x:xf>
    <x:xf numFmtId="172" fontId="3" fillId="4" borderId="0" xfId="0" applyFont="1" applyFill="1" applyBorder="1" applyAlignment="1">
      <x:alignment horizontal="center" wrapText="0"/>
    </x:xf>
    <x:xf numFmtId="172" fontId="3" fillId="0" borderId="0" xfId="0" applyFont="1" applyFill="1" applyBorder="1" applyAlignment="1">
      <x:alignment horizontal="center" wrapText="0"/>
    </x:xf>
    <x:xf numFmtId="173" fontId="2" fillId="2" borderId="36" xfId="1" applyNumberFormat="1" applyFont="1" applyFill="1" applyBorder="1" applyAlignment="1">
      <x:alignment horizontal="center" vertical="bottom"/>
    </x:xf>
    <x:xf numFmtId="173" fontId="2" fillId="4" borderId="36" xfId="1" applyNumberFormat="1" applyFont="1" applyFill="1" applyBorder="1" applyAlignment="1">
      <x:alignment horizontal="center" vertical="bottom"/>
    </x:xf>
    <x:xf numFmtId="173" fontId="13" fillId="2" borderId="0" xfId="1" applyNumberFormat="1" applyFont="1" applyFill="1" applyBorder="1" applyAlignment="1">
      <x:alignment horizontal="center" vertical="bottom"/>
    </x:xf>
    <x:xf numFmtId="171" fontId="4" fillId="0" borderId="39" xfId="0" applyFont="1" applyFill="1" applyBorder="1" applyAlignment="1">
      <x:alignment horizontal="center"/>
    </x:xf>
    <x:xf numFmtId="174" fontId="3" fillId="0" borderId="0" xfId="0" applyFont="1" applyFill="1" applyBorder="0" applyAlignment="1">
      <x:alignment horizontal="center"/>
    </x:xf>
    <x:xf numFmtId="174" fontId="3" fillId="4" borderId="0" xfId="0" applyFont="1" applyFill="1" applyBorder="0" applyAlignment="1">
      <x:alignment horizontal="center"/>
    </x:xf>
    <x:xf numFmtId="175" fontId="14" fillId="0" borderId="0" xfId="0" applyFont="1" applyFill="0" applyBorder="0" applyAlignment="1">
      <x:alignment horizontal="right"/>
    </x:xf>
    <x:xf numFmtId="173" fontId="13" fillId="0" borderId="39" xfId="0" applyFont="1" applyFill="1" applyBorder="1" applyAlignment="1">
      <x:alignment horizontal="right" vertical="top"/>
    </x:xf>
    <x:xf numFmtId="173" fontId="13" fillId="0" borderId="0" xfId="0" applyFont="1" applyFill="1" applyBorder="0" applyAlignment="1">
      <x:alignment horizontal="right" vertical="top"/>
    </x:xf>
    <x:xf numFmtId="0" fontId="3" fillId="0" borderId="39" xfId="0" applyFont="1" applyFill="1" applyBorder="0" applyAlignment="1">
      <x:alignment horizontal="left"/>
    </x:xf>
    <x:xf numFmtId="173" fontId="4" fillId="2" borderId="36" xfId="0" applyFont="1" applyFill="1" applyBorder="1" applyAlignment="1">
      <x:alignment horizontal="right"/>
    </x:xf>
    <x:xf numFmtId="173" fontId="4" fillId="4" borderId="36" xfId="0" applyFont="1" applyFill="1" applyBorder="0" applyAlignment="1">
      <x:alignment horizontal="right"/>
    </x:xf>
    <x:xf numFmtId="173" fontId="2" fillId="4" borderId="35" xfId="1" applyNumberFormat="1" applyFont="1" applyFill="1" applyBorder="1" applyAlignment="1">
      <x:alignment horizontal="left" vertical="bottom"/>
    </x:xf>
    <x:xf numFmtId="164" fontId="4" fillId="2" borderId="20" xfId="1" applyNumberFormat="1" applyFont="1" applyFill="1" applyBorder="1" applyAlignment="1">
      <x:alignment horizontal="center" vertical="bottom"/>
    </x:xf>
    <x:xf numFmtId="173" fontId="2" fillId="4" borderId="35" xfId="0" applyFont="1" applyFill="1" applyBorder="0" applyAlignment="1">
      <x:alignment horizontal="left"/>
    </x:xf>
    <x:xf numFmtId="173" fontId="2" fillId="0" borderId="0" xfId="0" applyFont="1" applyFill="1" applyBorder="0" applyAlignment="1">
      <x:alignment horizontal="center"/>
    </x:xf>
    <x:xf numFmtId="173" fontId="2" fillId="4" borderId="0" xfId="0" applyFont="1" applyFill="1" applyBorder="0" applyAlignment="1">
      <x:alignment horizontal="center"/>
    </x:xf>
  </x:cellXfs>
  <x:cellStyles count="2">
    <x:cellStyle name="Normal" xfId="0" builtinId="0"/>
    <x:cellStyle name="Normal 2" xfId="1"/>
  </x:cellStyles>
  <x:dxfs count="20">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s>
  <x:tableStyles count="0" defaultTableStyle="TableStyleMedium2" defaultPivotStyle="PivotStyleLight16"/>
  <x:extLst>
    <x:ext xmlns:x14="http://schemas.microsoft.com/office/spreadsheetml/2009/9/main" uri="{EB79DEF2-80B8-43e5-95BD-54CBDDF9020C}"/>
  </x:extLst>
</x:styleSheet>
</file>

<file path=xl/_rels/workbook.xml.rels>&#65279;<?xml version="1.0" encoding="utf-8"?><Relationships xmlns="http://schemas.openxmlformats.org/package/2006/relationships"><Relationship Type="http://schemas.openxmlformats.org/officeDocument/2006/relationships/styles" Target="/xl/styles.xml" Id="rId8" /><Relationship Type="http://schemas.openxmlformats.org/officeDocument/2006/relationships/worksheet" Target="/xl/worksheets/sheet1.xml" Id="rId18" /><Relationship Type="http://schemas.openxmlformats.org/officeDocument/2006/relationships/worksheet" Target="/xl/worksheets/sheet2.xml" Id="rId11" /><Relationship Type="http://schemas.openxmlformats.org/officeDocument/2006/relationships/theme" Target="/xl/theme/theme1.xml" Id="rId7" /><Relationship Type="http://schemas.openxmlformats.org/officeDocument/2006/relationships/worksheet" Target="/xl/worksheets/sheet3.xml" Id="rId101" /><Relationship Type="http://schemas.openxmlformats.org/officeDocument/2006/relationships/worksheet" Target="/xl/worksheets/sheet4.xml" Id="rId1" /><Relationship Type="http://schemas.openxmlformats.org/officeDocument/2006/relationships/worksheet" Target="/xl/worksheets/sheet5.xml" Id="rId6" /><Relationship Type="http://schemas.openxmlformats.org/officeDocument/2006/relationships/worksheet" Target="/xl/worksheets/sheet6.xml" Id="rId5" /><Relationship Type="http://schemas.openxmlformats.org/officeDocument/2006/relationships/calcChain" Target="/xl/calcChain.xml" Id="rId10" /><Relationship Type="http://schemas.openxmlformats.org/officeDocument/2006/relationships/worksheet" Target="/xl/worksheets/sheet7.xml" Id="rId4" /><Relationship Type="http://schemas.openxmlformats.org/officeDocument/2006/relationships/sharedStrings" Target="/xl/sharedStrings.xml" Id="rId9" /><Relationship Type="http://schemas.openxmlformats.org/officeDocument/2006/relationships/worksheet" Target="/xl/worksheets/sheet8.xml" Id="rId19" /><Relationship Type="http://schemas.openxmlformats.org/officeDocument/2006/relationships/worksheet" Target="/xl/worksheets/sheet9.xml" Id="rId20" /><Relationship Type="http://schemas.openxmlformats.org/officeDocument/2006/relationships/worksheet" Target="/xl/worksheets/sheet10.xml" Id="rId21" /><Relationship Type="http://schemas.openxmlformats.org/officeDocument/2006/relationships/worksheet" Target="/xl/worksheets/sheet11.xml" Id="rId22" /><Relationship Type="http://schemas.openxmlformats.org/officeDocument/2006/relationships/worksheet" Target="/xl/worksheets/sheet12.xml" Id="rId23" /><Relationship Type="http://schemas.openxmlformats.org/officeDocument/2006/relationships/worksheet" Target="/xl/worksheets/sheet13.xml" Id="rId24" /><Relationship Type="http://schemas.openxmlformats.org/officeDocument/2006/relationships/worksheet" Target="/xl/worksheets/sheet14.xml" Id="rId2" /></Relationships>
</file>

<file path=xl/drawings/_rels/vmldrawing.vml.rels>&#65279;<?xml version="1.0" encoding="utf-8"?><Relationships xmlns="http://schemas.openxmlformats.org/package/2006/relationships"><Relationship Type="http://schemas.openxmlformats.org/officeDocument/2006/relationships/image" Target="/xl/media/image.bin" Id="rId2" /><Relationship Type="http://schemas.openxmlformats.org/officeDocument/2006/relationships/image" Target="/xl/media/image2.bin" Id="rId1" /></Relationships>
</file>

<file path=xl/drawings/_rels/vmldrawing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7.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8.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9.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0.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1.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2.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4.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xl/printerSettings/printerSettings1.bin" Id="rId1" /><Relationship Type="http://schemas.openxmlformats.org/officeDocument/2006/relationships/comments" Target="/xl/comments1.xml" Id="rId4" /><Relationship Type="http://schemas.openxmlformats.org/officeDocument/2006/relationships/vmlDrawing" Target="/xl/drawings/vmldrawing.vml" Id="rId3" /><Relationship Type="http://schemas.openxmlformats.org/officeDocument/2006/relationships/vmlDrawing" Target="/xl/drawings/vmldrawing2.vml" Id="rId2" /><Relationship Type="http://schemas.openxmlformats.org/officeDocument/2006/relationships/printerSettings" Target="/xl/printerSettings/printerSettings2.bin" Id="rId18" /></Relationships>
</file>

<file path=xl/worksheets/_rels/sheet2.xml.rels>&#65279;<?xml version="1.0" encoding="utf-8"?><Relationships xmlns="http://schemas.openxmlformats.org/package/2006/relationships"><Relationship Type="http://schemas.openxmlformats.org/officeDocument/2006/relationships/vmlDrawing" Target="/xl/drawings/vmldrawing3.vml" Id="rId3" /><Relationship Type="http://schemas.openxmlformats.org/officeDocument/2006/relationships/vmlDrawing" Target="/xl/drawings/vmldrawing4.vml" Id="rId2" /></Relationships>
</file>

<file path=xl/worksheets/_rels/sheet3.xml.rels>&#65279;<?xml version="1.0" encoding="utf-8"?><Relationships xmlns="http://schemas.openxmlformats.org/package/2006/relationships"><Relationship Type="http://schemas.openxmlformats.org/officeDocument/2006/relationships/vmlDrawing" Target="/xl/drawings/vmldrawing5.vml" Id="rId2" /><Relationship Type="http://schemas.openxmlformats.org/officeDocument/2006/relationships/printerSettings" Target="/xl/printerSettings/printerSettings3.bin" Id="rId1" /></Relationships>
</file>

<file path=xl/worksheets/_rels/sheet4.xml.rels>&#65279;<?xml version="1.0" encoding="utf-8"?><Relationships xmlns="http://schemas.openxmlformats.org/package/2006/relationships"><Relationship Type="http://schemas.openxmlformats.org/officeDocument/2006/relationships/vmlDrawing" Target="/xl/drawings/vmldrawing6.vml" Id="rId2" /><Relationship Type="http://schemas.openxmlformats.org/officeDocument/2006/relationships/printerSettings" Target="/xl/printerSettings/printerSettings4.bin" Id="rId1" /></Relationships>
</file>

<file path=xl/worksheets/_rels/sheet5.xml.rels>&#65279;<?xml version="1.0" encoding="utf-8"?><Relationships xmlns="http://schemas.openxmlformats.org/package/2006/relationships"><Relationship Type="http://schemas.openxmlformats.org/officeDocument/2006/relationships/vmlDrawing" Target="/xl/drawings/vmldrawing7.vml" Id="rId2" /><Relationship Type="http://schemas.openxmlformats.org/officeDocument/2006/relationships/printerSettings" Target="/xl/printerSettings/printerSettings5.bin" Id="rId1" /></Relationships>
</file>

<file path=xl/worksheets/_rels/sheet6.xml.rels>&#65279;<?xml version="1.0" encoding="utf-8"?><Relationships xmlns="http://schemas.openxmlformats.org/package/2006/relationships"><Relationship Type="http://schemas.openxmlformats.org/officeDocument/2006/relationships/vmlDrawing" Target="/xl/drawings/vmldrawing8.vml" Id="rId2" /><Relationship Type="http://schemas.openxmlformats.org/officeDocument/2006/relationships/printerSettings" Target="/xl/printerSettings/printerSettings6.bin" Id="rId1" /></Relationships>
</file>

<file path=xl/worksheets/_rels/sheet7.xml.rels>&#65279;<?xml version="1.0" encoding="utf-8"?><Relationships xmlns="http://schemas.openxmlformats.org/package/2006/relationships"><Relationship Type="http://schemas.openxmlformats.org/officeDocument/2006/relationships/vmlDrawing" Target="/xl/drawings/vmldrawing9.vml" Id="rId2" /><Relationship Type="http://schemas.openxmlformats.org/officeDocument/2006/relationships/printerSettings" Target="/xl/printerSettings/printerSettings7.bin" Id="rId1" /></Relationships>
</file>

<file path=xl/worksheets/_rels/sheet8.xml.rels>&#65279;<?xml version="1.0" encoding="utf-8"?><Relationships xmlns="http://schemas.openxmlformats.org/package/2006/relationships"><Relationship Type="http://schemas.openxmlformats.org/officeDocument/2006/relationships/vmlDrawing" Target="/xl/drawings/vmldrawing10.vml" Id="rId2" /></Relationships>
</file>

<file path=xl/worksheets/_rels/sheet9.xml.rels>&#65279;<?xml version="1.0" encoding="utf-8"?><Relationships xmlns="http://schemas.openxmlformats.org/package/2006/relationships"><Relationship Type="http://schemas.openxmlformats.org/officeDocument/2006/relationships/vmlDrawing" Target="/xl/drawings/vmldrawing11.vml" Id="rId2" /><Relationship Type="http://schemas.openxmlformats.org/officeDocument/2006/relationships/printerSettings" Target="/xl/printerSettings/printerSettings8.bin" Id="rId1" /></Relationships>
</file>

<file path=xl/worksheets/_rels/sheet10.xml.rels>&#65279;<?xml version="1.0" encoding="utf-8"?><Relationships xmlns="http://schemas.openxmlformats.org/package/2006/relationships"><Relationship Type="http://schemas.openxmlformats.org/officeDocument/2006/relationships/vmlDrawing" Target="/xl/drawings/vmldrawing12.vml" Id="rId2" /><Relationship Type="http://schemas.openxmlformats.org/officeDocument/2006/relationships/printerSettings" Target="/xl/printerSettings/printerSettings9.bin" Id="rId1" /></Relationships>
</file>

<file path=xl/worksheets/_rels/sheet11.xml.rels>&#65279;<?xml version="1.0" encoding="utf-8"?><Relationships xmlns="http://schemas.openxmlformats.org/package/2006/relationships"><Relationship Type="http://schemas.openxmlformats.org/officeDocument/2006/relationships/vmlDrawing" Target="/xl/drawings/vmldrawing13.vml" Id="rId2" /></Relationships>
</file>

<file path=xl/worksheets/_rels/sheet12.xml.rels>&#65279;<?xml version="1.0" encoding="utf-8"?><Relationships xmlns="http://schemas.openxmlformats.org/package/2006/relationships"><Relationship Type="http://schemas.openxmlformats.org/officeDocument/2006/relationships/vmlDrawing" Target="/xl/drawings/vmldrawing14.vml" Id="rId2" /><Relationship Type="http://schemas.openxmlformats.org/officeDocument/2006/relationships/printerSettings" Target="/xl/printerSettings/printerSettings10.bin" Id="rId1" /></Relationships>
</file>

<file path=xl/worksheets/_rels/sheet13.xml.rels>&#65279;<?xml version="1.0" encoding="utf-8"?><Relationships xmlns="http://schemas.openxmlformats.org/package/2006/relationships"><Relationship Type="http://schemas.openxmlformats.org/officeDocument/2006/relationships/vmlDrawing" Target="/xl/drawings/vmldrawing15.vml" Id="rId2" /><Relationship Type="http://schemas.openxmlformats.org/officeDocument/2006/relationships/printerSettings" Target="/xl/printerSettings/printerSettings11.bin" Id="rId1" /></Relationships>
</file>

<file path=xl/worksheets/_rels/sheet14.xml.rels>&#65279;<?xml version="1.0" encoding="utf-8"?><Relationships xmlns="http://schemas.openxmlformats.org/package/2006/relationships"><Relationship Type="http://schemas.openxmlformats.org/officeDocument/2006/relationships/vmlDrawing" Target="/xl/drawings/vmldrawing16.vml" Id="rId2" /><Relationship Type="http://schemas.openxmlformats.org/officeDocument/2006/relationships/printerSettings" Target="/xl/printerSettings/printerSettings12.bin" Id="rId1"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X30"/>
  <x:sheetViews>
    <x:sheetView showGridLines="0" view="pageLayout" zoomScaleNormal="66" workbookViewId="0">
      <x:selection activeCell="A4" sqref="A4"/>
    </x:sheetView>
  </x:sheetViews>
  <x:sheetFormatPr defaultRowHeight="15" x14ac:dyDescent="0.25"/>
  <x:cols>
    <x:col min="1" max="1" width="5.422223" style="1" customWidth="1"/>
    <x:col min="2" max="2" width="7.140625" style="1" customWidth="1"/>
    <x:col min="3" max="3" width="11.140625" style="1" customWidth="1"/>
    <x:col min="4" max="4" width="7.5703125" style="1" customWidth="1"/>
    <x:col min="5" max="5" width="8.28515625" style="1" customWidth="1"/>
    <x:col min="6" max="6" width="14.42578125" style="1" customWidth="1"/>
    <x:col min="7" max="7" width="9" style="1" customWidth="1"/>
    <x:col min="8" max="8" width="6.42578125" style="1" customWidth="1"/>
    <x:col min="9" max="9" width="7.5703125" style="1" customWidth="1"/>
    <x:col min="10" max="10" width="6.42578125" style="1" customWidth="1"/>
    <x:col min="11" max="11" width="5.42578125" style="1" customWidth="1"/>
    <x:col min="12" max="12" width="6.140625" style="1" customWidth="1"/>
    <x:col min="13" max="13" width="8.42578125" style="1" customWidth="1"/>
    <x:col min="14" max="14" width="6.28515625" style="1" customWidth="1"/>
    <x:col min="15" max="15" width="8.42578125" style="1" customWidth="1"/>
    <x:col min="16" max="16" width="6.42578125" style="1" customWidth="1"/>
    <x:col min="17" max="17" width="8.28515625" style="1" customWidth="1"/>
    <x:col min="18" max="18" width="7.85546875" style="1" customWidth="1"/>
    <x:col min="19" max="19" width="7.85546875" style="1" customWidth="1"/>
    <x:col min="20" max="20" width="6.7109375" style="1" customWidth="1"/>
    <x:col min="21" max="21" width="8.42578125" style="1" customWidth="1"/>
    <x:col min="22" max="22" width="15.5703125" style="1" customWidth="1"/>
    <x:col min="23" max="23" width="1.7109375" style="1" customWidth="1"/>
    <x:col min="24" max="24" width="27.5703125" style="1" customWidth="1"/>
    <x:col min="25" max="25" width="0.11" style="1" customWidth="1"/>
    <x:col min="26" max="26" width="0.11" customWidth="1"/>
  </x:cols>
  <x:sheetData>
    <x:row r="1" spans="1:25" s="1" ht="15.75" x14ac:dyDescent="0.25">
      <x:c r="A1" s="125" t="str">
        <x:f ca="1">SETUP!$B$2</x:f>
        <x:v>?</x:v>
      </x:c>
      <x:c r="B1" s="126"/>
      <x:c r="C1" s="126"/>
      <x:c r="D1" s="126"/>
      <x:c r="E1" s="126"/>
      <x:c r="F1" s="126"/>
      <x:c r="G1" s="126"/>
      <x:c r="H1" s="126"/>
      <x:c r="I1" s="126"/>
      <x:c r="J1" s="126"/>
      <x:c r="K1" s="126"/>
      <x:c r="L1" s="126"/>
      <x:c r="M1" s="126"/>
      <x:c r="N1" s="126"/>
      <x:c r="O1" s="126"/>
      <x:c r="P1" s="126"/>
      <x:c r="Q1" s="126"/>
      <x:c r="R1" s="126"/>
      <x:c r="S1" s="126"/>
      <x:c r="T1" s="126"/>
      <x:c r="U1" s="126"/>
      <x:c r="V1" s="126"/>
      <x:c r="W1" s="126"/>
      <x:c r="X1" s="129"/>
    </x:row>
    <x:row r="2" spans="1:25" s="1" x14ac:dyDescent="0.25">
      <x:c r="A2" s="123" t="str">
        <x:f ca="1">"Volume Trend Summary for Period Ending "&amp;TEXT(SETUP!B4,"MMMMMMMMM DD, YYYY")&amp;""</x:f>
        <x:v>Volume Trend Summary for Period Ending ?</x:v>
      </x:c>
      <x:c r="B2" s="124"/>
      <x:c r="C2" s="124"/>
      <x:c r="D2" s="124"/>
      <x:c r="E2" s="124"/>
      <x:c r="F2" s="124"/>
      <x:c r="G2" s="124"/>
      <x:c r="H2" s="124"/>
      <x:c r="I2" s="124"/>
      <x:c r="J2" s="124"/>
      <x:c r="K2" s="124"/>
      <x:c r="L2" s="124"/>
      <x:c r="M2" s="124"/>
      <x:c r="N2" s="124"/>
      <x:c r="O2" s="124"/>
      <x:c r="P2" s="124"/>
      <x:c r="Q2" s="124"/>
      <x:c r="R2" s="124"/>
      <x:c r="S2" s="124"/>
      <x:c r="T2" s="124"/>
      <x:c r="U2" s="124"/>
      <x:c r="V2" s="124"/>
      <x:c r="W2" s="124"/>
      <x:c r="X2" s="129"/>
    </x:row>
    <x:row r="4" spans="1:25" x14ac:dyDescent="0.25">
      <x:c r="A4" s="124"/>
      <x:c r="C4" s="124"/>
      <x:c r="D4" s="124"/>
      <x:c r="E4" s="124"/>
      <x:c r="F4" s="124"/>
      <x:c r="G4" s="124"/>
      <x:c r="H4" s="124"/>
      <x:c r="I4" s="124"/>
      <x:c r="J4" s="124"/>
      <x:c r="K4" s="124"/>
      <x:c r="L4" s="124"/>
      <x:c r="M4" s="124"/>
      <x:c r="N4" s="124"/>
      <x:c r="O4" s="124"/>
      <x:c r="P4" s="124"/>
      <x:c r="Q4" s="124"/>
      <x:c r="R4" s="124"/>
      <x:c r="S4" s="124"/>
      <x:c r="T4" s="124"/>
      <x:c r="U4" s="124"/>
      <x:c r="V4" s="124"/>
      <x:c r="W4" s="124"/>
      <x:c r="AA4" s="187" t="n">
        <x:v>.35</x:v>
      </x:c>
    </x:row>
    <x:row r="3" spans="1:10" ht="15.5" customHeight="1" x14ac:dyDescent="0.25">
      <x:c r="A3" s="19"/>
      <x:c r="B3" s="19"/>
      <x:c r="C3" s="19"/>
      <x:c r="D3" s="19"/>
      <x:c r="E3" s="19"/>
      <x:c r="F3" s="19"/>
      <x:c r="G3" s="19"/>
      <x:c r="H3" s="19"/>
      <x:c r="I3" s="19"/>
      <x:c r="J3" s="19"/>
      <x:c r="K3" s="19"/>
      <x:c r="L3" s="19"/>
      <x:c r="M3" s="19"/>
      <x:c r="N3" s="19"/>
      <x:c r="O3" s="19"/>
      <x:c r="P3" s="19"/>
      <x:c r="Q3" s="19"/>
      <x:c r="R3" s="19"/>
      <x:c r="S3" s="19" t="n">
        <x:f ca="1"/>
      </x:c>
      <x:c r="T3" s="19"/>
      <x:c r="U3" s="19" t="n">
        <x:f ca="1"/>
      </x:c>
      <x:c r="V3" s="19" t="n">
        <x:f ca="1"/>
      </x:c>
      <x:c r="W3" s="19"/>
      <x:c r="X3" s="19"/>
    </x:row>
    <x:row r="4" spans="1:25" ht="15.5" customHeight="1" x14ac:dyDescent="0.25">
      <x:c r="A4" s="194">
        <x:v>B/W Copies and B/W Laser Prints</x:v>
      </x:c>
    </x:row>
    <x:row r="5" spans="1:25" s="12" customFormat="1" ht="37.35" customHeight="1" x14ac:dyDescent="0.25">
      <x:c r="A5" s="47" t="str">
        <x:v>Line #</x:v>
      </x:c>
      <x:c r="B5" s="45" t="str">
        <x:v>Device ID</x:v>
      </x:c>
      <x:c r="C5" s="45" t="str">
        <x:v>Model </x:v>
      </x:c>
      <x:c r="D5" s="45" t="str">
        <x:v>Meter Type</x:v>
      </x:c>
      <x:c r="E5" s="45" t="str">
        <x:v>Serial Number</x:v>
      </x:c>
      <x:c r="F5" s="45" t="str">
        <x:v>Device Status</x:v>
      </x:c>
      <x:c r="G5" s="45" t="str">
        <x:v>Location</x:v>
      </x:c>
      <x:c r="H5" s="45" t="str">
        <x:v>Bldg</x:v>
      </x:c>
      <x:c r="I5" s="45" t="str">
        <x:v>Dept.</x:v>
      </x:c>
      <x:c r="J5" s="45" t="str">
        <x:v>Floor</x:v>
      </x:c>
      <x:c r="K5" s="45" t="str">
        <x:v>User</x:v>
      </x:c>
      <x:c r="L5" s="45" t="str">
        <x:v>Cost Center</x:v>
      </x:c>
      <x:c r="M5" s="45" t="str">
        <x:v>Start Date</x:v>
      </x:c>
      <x:c r="N5" s="45" t="str">
        <x:v>Start Meter</x:v>
      </x:c>
      <x:c r="O5" s="45" t="str">
        <x:v>End Date</x:v>
      </x:c>
      <x:c r="P5" s="45" t="str">
        <x:v>End Meter</x:v>
      </x:c>
      <x:c r="Q5" s="45" t="str">
        <x:v>% of Total Usage</x:v>
      </x:c>
      <x:c r="R5" s="45" t="str">
        <x:v>% Usage By Meter Group</x:v>
      </x:c>
      <x:c r="S5" s="45" t="str">
        <x:v>Volume Last Period</x:v>
      </x:c>
      <x:c r="T5" s="45" t="str">
        <x:v>% Change</x:v>
      </x:c>
      <x:c r="U5" s="45" t="str">
        <x:v>Volume Current Period</x:v>
      </x:c>
      <x:c r="V5" s="45" t="str">
        <x:v>Avg. Monthly Vol.</x:v>
      </x:c>
      <x:c r="W5" s="45"/>
      <x:c r="X5" s="46" t="str">
        <x:v>Comments</x:v>
      </x:c>
    </x:row>
    <x:row r="6" spans="1:25" s="12" x14ac:dyDescent="0.25">
      <x:c r="A6" s="90" t="str">
        <x:v>1</x:v>
      </x:c>
      <x:c r="B6" s="191" t="str">
        <x:v>FPR55367</x:v>
      </x:c>
      <x:c r="C6" s="191" t="str">
        <x:v>HP LJ M630 MFP</x:v>
      </x:c>
      <x:c r="D6" s="191" t="str">
        <x:v>B/W Copies and B/W Laser Prints</x:v>
      </x:c>
      <x:c r="E6" s="191" t="str">
        <x:v>MXBCHBL06M</x:v>
      </x:c>
      <x:c r="F6" s="191" t="str">
        <x:v>Active</x:v>
      </x:c>
      <x:c r="G6" s="191" t="str">
        <x:v>Corporate</x:v>
      </x:c>
      <x:c r="H6" s="191" t="str">
        <x:v/>
      </x:c>
      <x:c r="I6" s="191" t="str">
        <x:v>Finance</x:v>
      </x:c>
      <x:c r="J6" s="191" t="str">
        <x:v>2</x:v>
      </x:c>
      <x:c r="K6" s="191" t="str">
        <x:v/>
      </x:c>
      <x:c r="L6" s="191" t="str">
        <x:v>Corporate</x:v>
      </x:c>
      <x:c r="M6" s="191" t="str">
        <x:v>6/30/2018</x:v>
      </x:c>
      <x:c r="N6" s="189" t="n">
        <x:v>224389.00</x:v>
      </x:c>
      <x:c r="O6" s="191" t="str">
        <x:v>10/30/2018</x:v>
      </x:c>
      <x:c r="P6" s="189" t="n">
        <x:v>256375.00</x:v>
      </x:c>
      <x:c r="Q6" s="206" t="n">
        <x:v>0.1016</x:v>
      </x:c>
      <x:c r="R6" s="206" t="n">
        <x:v>0.1179</x:v>
      </x:c>
      <x:c r="S6" s="189" t="n">
        <x:v>21668.00</x:v>
      </x:c>
      <x:c r="T6" s="187" t="n">
        <x:f ca="1">=IF(AND(U6=0,S6&gt;0),-100%,IF(OR(S6=0,S6="-"),"-",IF(AND(S6=0,U6=0),0%,IF(S6&lt;U6,SUM(U6-S6)/S6,IF(S6&gt;U6,SUM(-1*(S6-U6)/S6),"")))))</x:f>
        <x:v/>
      </x:c>
      <x:c r="U6" s="189" t="n">
        <x:v>31986.00</x:v>
      </x:c>
      <x:c r="V6" s="189" t="n">
        <x:f ca="1">=SUM(U6/ round((O6- M6)/30.42,0))</x:f>
        <x:v/>
      </x:c>
      <x:c r="W6" s="195">
        <x:f ca="1">=IF(T6="","",IF(T6="-","",IF(U6=0,"",IF(OR(T6&gt; AA4 ,T6&lt;-AA4),"*",""))))</x:f>
        <x:v/>
      </x:c>
      <x:c r="X6" s="91" t="str">
        <x:v/>
      </x:c>
    </x:row>
    <x:row r="7" spans="1:25" s="12" x14ac:dyDescent="0.25">
      <x:c r="A7" s="96" t="str">
        <x:v>2</x:v>
      </x:c>
      <x:c r="B7" s="192" t="str">
        <x:v>FPR55386</x:v>
      </x:c>
      <x:c r="C7" s="192" t="str">
        <x:v>HP LJ M521dn</x:v>
      </x:c>
      <x:c r="D7" s="192" t="str">
        <x:v>B/W Copies and B/W Laser Prints</x:v>
      </x:c>
      <x:c r="E7" s="192" t="str">
        <x:v>CNB7G731YG</x:v>
      </x:c>
      <x:c r="F7" s="192" t="str">
        <x:v>Active</x:v>
      </x:c>
      <x:c r="G7" s="192" t="str">
        <x:v>Duncanville</x:v>
      </x:c>
      <x:c r="H7" s="192" t="str">
        <x:v/>
      </x:c>
      <x:c r="I7" s="192" t="str">
        <x:v>Real Estate</x:v>
      </x:c>
      <x:c r="J7" s="192" t="str">
        <x:v/>
      </x:c>
      <x:c r="K7" s="192" t="str">
        <x:v/>
      </x:c>
      <x:c r="L7" s="192" t="str">
        <x:v>Duncanville</x:v>
      </x:c>
      <x:c r="M7" s="192" t="str">
        <x:v>6/30/2018</x:v>
      </x:c>
      <x:c r="N7" s="183" t="n">
        <x:v>106864.00</x:v>
      </x:c>
      <x:c r="O7" s="192" t="str">
        <x:v>10/30/2018</x:v>
      </x:c>
      <x:c r="P7" s="183" t="n">
        <x:v>121616.00</x:v>
      </x:c>
      <x:c r="Q7" s="207" t="n">
        <x:v>0.0469</x:v>
      </x:c>
      <x:c r="R7" s="207" t="n">
        <x:v>0.0544</x:v>
      </x:c>
      <x:c r="S7" s="183" t="n">
        <x:v>9580.00</x:v>
      </x:c>
      <x:c r="T7" s="182" t="n">
        <x:f ca="1">=IF(AND(U7=0,S7&gt;0),-100%,IF(OR(S7=0,S7="-"),"-",IF(AND(S7=0,U7=0),0%,IF(S7&lt;U7,SUM(U7-S7)/S7,IF(S7&gt;U7,SUM(-1*(S7-U7)/S7),"")))))</x:f>
        <x:v/>
      </x:c>
      <x:c r="U7" s="183" t="n">
        <x:v>14752.00</x:v>
      </x:c>
      <x:c r="V7" s="183" t="n">
        <x:f ca="1">=SUM(U7/ round((O7- M7)/30.42,0))</x:f>
        <x:v/>
      </x:c>
      <x:c r="W7" s="196">
        <x:f ca="1">=IF(T7="","",IF(T7="-","",IF(U7=0,"",IF(OR(T7&gt;AA4,T7&lt;-AA4),"*",""))))</x:f>
        <x:v/>
      </x:c>
      <x:c r="X7" s="98" t="str">
        <x:v/>
      </x:c>
    </x:row>
    <x:row r="8" spans="1:25" s="12" x14ac:dyDescent="0.25">
      <x:c r="A8" s="90" t="str">
        <x:v>3</x:v>
      </x:c>
      <x:c r="B8" s="191" t="str">
        <x:v>FPR55407</x:v>
      </x:c>
      <x:c r="C8" s="191" t="str">
        <x:v>HP LJ M521dn</x:v>
      </x:c>
      <x:c r="D8" s="191" t="str">
        <x:v>B/W Copies and B/W Laser Prints</x:v>
      </x:c>
      <x:c r="E8" s="191" t="str">
        <x:v>XXXXXXXXXX</x:v>
      </x:c>
      <x:c r="F8" s="191" t="str">
        <x:v>Active</x:v>
      </x:c>
      <x:c r="G8" s="191" t="str">
        <x:v>Waxahachie</x:v>
      </x:c>
      <x:c r="H8" s="191" t="str">
        <x:v/>
      </x:c>
      <x:c r="I8" s="191" t="str">
        <x:v>Teller</x:v>
      </x:c>
      <x:c r="J8" s="191" t="str">
        <x:v/>
      </x:c>
      <x:c r="K8" s="191" t="str">
        <x:v/>
      </x:c>
      <x:c r="L8" s="191" t="str">
        <x:v>Waxahachie</x:v>
      </x:c>
      <x:c r="M8" s="191" t="str">
        <x:v>6/30/2018</x:v>
      </x:c>
      <x:c r="N8" s="189" t="n">
        <x:v>190161.00</x:v>
      </x:c>
      <x:c r="O8" s="191" t="str">
        <x:v>10/24/2018</x:v>
      </x:c>
      <x:c r="P8" s="189" t="n">
        <x:v>203829.00</x:v>
      </x:c>
      <x:c r="Q8" s="206" t="n">
        <x:v>0.0434</x:v>
      </x:c>
      <x:c r="R8" s="206" t="n">
        <x:v>0.0504</x:v>
      </x:c>
      <x:c r="S8" s="189" t="n">
        <x:v>9057.00</x:v>
      </x:c>
      <x:c r="T8" s="187" t="n">
        <x:f ca="1">=IF(AND(U8=0,S8&gt;0),-100%,IF(OR(S8=0,S8="-"),"-",IF(AND(S8=0,U8=0),0%,IF(S8&lt;U8,SUM(U8-S8)/S8,IF(S8&gt;U8,SUM(-1*(S8-U8)/S8),"")))))</x:f>
        <x:v/>
      </x:c>
      <x:c r="U8" s="189" t="n">
        <x:v>13668.00</x:v>
      </x:c>
      <x:c r="V8" s="189" t="n">
        <x:f ca="1">=SUM(U8/ round((O8- M8)/30.42,0))</x:f>
        <x:v/>
      </x:c>
      <x:c r="W8" s="195">
        <x:f ca="1">=IF(T8="","",IF(T8="-","",IF(U8=0,"",IF(OR(T8&gt;AA4,T8&lt;-AA4),"*",""))))</x:f>
        <x:v/>
      </x:c>
      <x:c r="X8" s="91" t="str">
        <x:v/>
      </x:c>
    </x:row>
    <x:row r="9" spans="1:25" s="12" x14ac:dyDescent="0.25">
      <x:c r="A9" s="96" t="str">
        <x:v>4</x:v>
      </x:c>
      <x:c r="B9" s="192" t="str">
        <x:v>FPR55499</x:v>
      </x:c>
      <x:c r="C9" s="192" t="str">
        <x:v>HP LJ M425</x:v>
      </x:c>
      <x:c r="D9" s="192" t="str">
        <x:v>B/W Copies and B/W Laser Prints</x:v>
      </x:c>
      <x:c r="E9" s="192" t="str">
        <x:v>CNF8H5J3K0</x:v>
      </x:c>
      <x:c r="F9" s="192" t="str">
        <x:v>Active</x:v>
      </x:c>
      <x:c r="G9" s="192" t="str">
        <x:v>Corporate</x:v>
      </x:c>
      <x:c r="H9" s="192" t="str">
        <x:v/>
      </x:c>
      <x:c r="I9" s="192" t="str">
        <x:v>Drive Thru</x:v>
      </x:c>
      <x:c r="J9" s="192" t="str">
        <x:v>1</x:v>
      </x:c>
      <x:c r="K9" s="192" t="str">
        <x:v/>
      </x:c>
      <x:c r="L9" s="192" t="str">
        <x:v>Corporate</x:v>
      </x:c>
      <x:c r="M9" s="192" t="str">
        <x:v>6/30/2018</x:v>
      </x:c>
      <x:c r="N9" s="183" t="n">
        <x:v>113474.00</x:v>
      </x:c>
      <x:c r="O9" s="192" t="str">
        <x:v>10/30/2018</x:v>
      </x:c>
      <x:c r="P9" s="183" t="n">
        <x:v>126402.00</x:v>
      </x:c>
      <x:c r="Q9" s="207" t="n">
        <x:v>0.0411</x:v>
      </x:c>
      <x:c r="R9" s="207" t="n">
        <x:v>0.0477</x:v>
      </x:c>
      <x:c r="S9" s="183" t="n">
        <x:v>10237.00</x:v>
      </x:c>
      <x:c r="T9" s="182" t="n">
        <x:f ca="1">=IF(AND(U9=0,S9&gt;0),-100%,IF(OR(S9=0,S9="-"),"-",IF(AND(S9=0,U9=0),0%,IF(S9&lt;U9,SUM(U9-S9)/S9,IF(S9&gt;U9,SUM(-1*(S9-U9)/S9),"")))))</x:f>
        <x:v/>
      </x:c>
      <x:c r="U9" s="183" t="n">
        <x:v>12928.00</x:v>
      </x:c>
      <x:c r="V9" s="183" t="n">
        <x:f ca="1">=SUM(U9/ round((O9- M9)/30.42,0))</x:f>
        <x:v/>
      </x:c>
      <x:c r="W9" s="196">
        <x:f ca="1">=IF(T9="","",IF(T9="-","",IF(U9=0,"",IF(OR(T9&gt;AA4,T9&lt;-AA4),"*",""))))</x:f>
        <x:v/>
      </x:c>
      <x:c r="X9" s="98" t="str">
        <x:v/>
      </x:c>
    </x:row>
    <x:row r="10" spans="1:25" s="12" x14ac:dyDescent="0.25">
      <x:c r="A10" s="90" t="str">
        <x:v>5</x:v>
      </x:c>
      <x:c r="B10" s="191" t="str">
        <x:v>FPR55324</x:v>
      </x:c>
      <x:c r="C10" s="191" t="str">
        <x:v>HP LJ M630 MFP</x:v>
      </x:c>
      <x:c r="D10" s="191" t="str">
        <x:v>B/W Copies and B/W Laser Prints</x:v>
      </x:c>
      <x:c r="E10" s="191" t="str">
        <x:v>MXBCHBL013</x:v>
      </x:c>
      <x:c r="F10" s="191" t="str">
        <x:v>Active</x:v>
      </x:c>
      <x:c r="G10" s="191" t="str">
        <x:v>Corporate</x:v>
      </x:c>
      <x:c r="H10" s="191" t="str">
        <x:v/>
      </x:c>
      <x:c r="I10" s="191" t="str">
        <x:v>Collections</x:v>
      </x:c>
      <x:c r="J10" s="191" t="str">
        <x:v>2</x:v>
      </x:c>
      <x:c r="K10" s="191" t="str">
        <x:v/>
      </x:c>
      <x:c r="L10" s="191" t="str">
        <x:v>Corporate</x:v>
      </x:c>
      <x:c r="M10" s="191" t="str">
        <x:v>6/30/2018</x:v>
      </x:c>
      <x:c r="N10" s="189" t="n">
        <x:v>194407.00</x:v>
      </x:c>
      <x:c r="O10" s="191" t="str">
        <x:v>10/30/2018</x:v>
      </x:c>
      <x:c r="P10" s="189" t="n">
        <x:v>207041.00</x:v>
      </x:c>
      <x:c r="Q10" s="206" t="n">
        <x:v>0.0401</x:v>
      </x:c>
      <x:c r="R10" s="206" t="n">
        <x:v>0.0466</x:v>
      </x:c>
      <x:c r="S10" s="189" t="n">
        <x:v>12785.00</x:v>
      </x:c>
      <x:c r="T10" s="187" t="n">
        <x:f ca="1">=IF(AND(U10=0,S10&gt;0),-100%,IF(OR(S10=0,S10="-"),"-",IF(AND(S10=0,U10=0),0%,IF(S10&lt;U10,SUM(U10-S10)/S10,IF(S10&gt;U10,SUM(-1*(S10-U10)/S10),"")))))</x:f>
        <x:v/>
      </x:c>
      <x:c r="U10" s="189" t="n">
        <x:v>12634.00</x:v>
      </x:c>
      <x:c r="V10" s="189" t="n">
        <x:f ca="1">=SUM(U10/ round((O10- M10)/30.42,0))</x:f>
        <x:v/>
      </x:c>
      <x:c r="W10" s="195">
        <x:f ca="1">=IF(T10="","",IF(T10="-","",IF(U10=0,"",IF(OR(T10&gt;AA4,T10&lt;-AA4),"*",""))))</x:f>
        <x:v/>
      </x:c>
      <x:c r="X10" s="91" t="str">
        <x:v/>
      </x:c>
    </x:row>
    <x:row r="11" spans="1:25" s="12" x14ac:dyDescent="0.25">
      <x:c r="A11" s="96" t="str">
        <x:v>6</x:v>
      </x:c>
      <x:c r="B11" s="192" t="str">
        <x:v>FPR55416</x:v>
      </x:c>
      <x:c r="C11" s="192" t="str">
        <x:v>HP LJ M521dn</x:v>
      </x:c>
      <x:c r="D11" s="192" t="str">
        <x:v>B/W Copies and B/W Laser Prints</x:v>
      </x:c>
      <x:c r="E11" s="192" t="str">
        <x:v>CNB7G74J56</x:v>
      </x:c>
      <x:c r="F11" s="192" t="str">
        <x:v>Active</x:v>
      </x:c>
      <x:c r="G11" s="192" t="str">
        <x:v>Corporate</x:v>
      </x:c>
      <x:c r="H11" s="192" t="str">
        <x:v/>
      </x:c>
      <x:c r="I11" s="192" t="str">
        <x:v>Accounting</x:v>
      </x:c>
      <x:c r="J11" s="192" t="str">
        <x:v>2</x:v>
      </x:c>
      <x:c r="K11" s="192" t="str">
        <x:v/>
      </x:c>
      <x:c r="L11" s="192" t="str">
        <x:v>Corporate</x:v>
      </x:c>
      <x:c r="M11" s="192" t="str">
        <x:v>6/30/2018</x:v>
      </x:c>
      <x:c r="N11" s="183" t="n">
        <x:v>64782.00</x:v>
      </x:c>
      <x:c r="O11" s="192" t="str">
        <x:v>10/31/2018</x:v>
      </x:c>
      <x:c r="P11" s="183" t="n">
        <x:v>74862.00</x:v>
      </x:c>
      <x:c r="Q11" s="207" t="n">
        <x:v>0.032</x:v>
      </x:c>
      <x:c r="R11" s="207" t="n">
        <x:v>0.0372</x:v>
      </x:c>
      <x:c r="S11" s="183" t="n">
        <x:v>7538.00</x:v>
      </x:c>
      <x:c r="T11" s="182" t="n">
        <x:f ca="1">=IF(AND(U11=0,S11&gt;0),-100%,IF(OR(S11=0,S11="-"),"-",IF(AND(S11=0,U11=0),0%,IF(S11&lt;U11,SUM(U11-S11)/S11,IF(S11&gt;U11,SUM(-1*(S11-U11)/S11),"")))))</x:f>
        <x:v/>
      </x:c>
      <x:c r="U11" s="183" t="n">
        <x:v>10080.00</x:v>
      </x:c>
      <x:c r="V11" s="183" t="n">
        <x:f ca="1">=SUM(U11/ round((O11- M11)/30.42,0))</x:f>
        <x:v/>
      </x:c>
      <x:c r="W11" s="196">
        <x:f ca="1">=IF(T11="","",IF(T11="-","",IF(U11=0,"",IF(OR(T11&gt;AA4,T11&lt;-AA4),"*",""))))</x:f>
        <x:v/>
      </x:c>
      <x:c r="X11" s="98" t="str">
        <x:v/>
      </x:c>
    </x:row>
    <x:row r="12" spans="1:25" s="12" x14ac:dyDescent="0.25">
      <x:c r="A12" s="90" t="str">
        <x:v>7</x:v>
      </x:c>
      <x:c r="B12" s="191" t="str">
        <x:v>FPR55392</x:v>
      </x:c>
      <x:c r="C12" s="191" t="str">
        <x:v>HP CLJ M575</x:v>
      </x:c>
      <x:c r="D12" s="191" t="str">
        <x:v>B/W Copies and B/W Laser Prints</x:v>
      </x:c>
      <x:c r="E12" s="191" t="str">
        <x:v>MXBCD530ZM</x:v>
      </x:c>
      <x:c r="F12" s="191" t="str">
        <x:v>Active</x:v>
      </x:c>
      <x:c r="G12" s="191" t="str">
        <x:v>Corporate</x:v>
      </x:c>
      <x:c r="H12" s="191" t="str">
        <x:v/>
      </x:c>
      <x:c r="I12" s="191" t="str">
        <x:v/>
      </x:c>
      <x:c r="J12" s="191" t="str">
        <x:v>1</x:v>
      </x:c>
      <x:c r="K12" s="191" t="str">
        <x:v/>
      </x:c>
      <x:c r="L12" s="191" t="str">
        <x:v>Corporate</x:v>
      </x:c>
      <x:c r="M12" s="191" t="str">
        <x:v>6/30/2018</x:v>
      </x:c>
      <x:c r="N12" s="189" t="n">
        <x:v>442556.00</x:v>
      </x:c>
      <x:c r="O12" s="191" t="str">
        <x:v>10/30/2018</x:v>
      </x:c>
      <x:c r="P12" s="189" t="n">
        <x:v>451914.00</x:v>
      </x:c>
      <x:c r="Q12" s="206" t="n">
        <x:v>0.0297</x:v>
      </x:c>
      <x:c r="R12" s="206" t="n">
        <x:v>0.0345</x:v>
      </x:c>
      <x:c r="S12" s="189" t="n">
        <x:v>8429.00</x:v>
      </x:c>
      <x:c r="T12" s="187" t="n">
        <x:f ca="1">=IF(AND(U12=0,S12&gt;0),-100%,IF(OR(S12=0,S12="-"),"-",IF(AND(S12=0,U12=0),0%,IF(S12&lt;U12,SUM(U12-S12)/S12,IF(S12&gt;U12,SUM(-1*(S12-U12)/S12),"")))))</x:f>
        <x:v/>
      </x:c>
      <x:c r="U12" s="189" t="n">
        <x:v>9358.00</x:v>
      </x:c>
      <x:c r="V12" s="189" t="n">
        <x:f ca="1">=SUM(U12/ round((O12- M12)/30.42,0))</x:f>
        <x:v/>
      </x:c>
      <x:c r="W12" s="195">
        <x:f ca="1">=IF(T12="","",IF(T12="-","",IF(U12=0,"",IF(OR(T12&gt;AA4,T12&lt;-AA4),"*",""))))</x:f>
        <x:v/>
      </x:c>
      <x:c r="X12" s="91" t="str">
        <x:v/>
      </x:c>
    </x:row>
    <x:row r="13" spans="1:25" s="12" x14ac:dyDescent="0.25">
      <x:c r="A13" s="96" t="str">
        <x:v>8</x:v>
      </x:c>
      <x:c r="B13" s="192" t="str">
        <x:v>FPR55323</x:v>
      </x:c>
      <x:c r="C13" s="192" t="str">
        <x:v>HP LJ M425</x:v>
      </x:c>
      <x:c r="D13" s="192" t="str">
        <x:v>B/W Copies and B/W Laser Prints</x:v>
      </x:c>
      <x:c r="E13" s="192" t="str">
        <x:v>CNF8H5C83Z</x:v>
      </x:c>
      <x:c r="F13" s="192" t="str">
        <x:v>Active</x:v>
      </x:c>
      <x:c r="G13" s="192" t="str">
        <x:v>Duncanville</x:v>
      </x:c>
      <x:c r="H13" s="192" t="str">
        <x:v/>
      </x:c>
      <x:c r="I13" s="192" t="str">
        <x:v>Teller</x:v>
      </x:c>
      <x:c r="J13" s="192" t="str">
        <x:v/>
      </x:c>
      <x:c r="K13" s="192" t="str">
        <x:v/>
      </x:c>
      <x:c r="L13" s="192" t="str">
        <x:v>Duncanville</x:v>
      </x:c>
      <x:c r="M13" s="192" t="str">
        <x:v>6/30/2018</x:v>
      </x:c>
      <x:c r="N13" s="183" t="n">
        <x:v>79366.00</x:v>
      </x:c>
      <x:c r="O13" s="192" t="str">
        <x:v>10/30/2018</x:v>
      </x:c>
      <x:c r="P13" s="183" t="n">
        <x:v>87720.00</x:v>
      </x:c>
      <x:c r="Q13" s="207" t="n">
        <x:v>0.0265</x:v>
      </x:c>
      <x:c r="R13" s="207" t="n">
        <x:v>0.0308</x:v>
      </x:c>
      <x:c r="S13" s="183" t="n">
        <x:v>6305.00</x:v>
      </x:c>
      <x:c r="T13" s="182" t="n">
        <x:f ca="1">=IF(AND(U13=0,S13&gt;0),-100%,IF(OR(S13=0,S13="-"),"-",IF(AND(S13=0,U13=0),0%,IF(S13&lt;U13,SUM(U13-S13)/S13,IF(S13&gt;U13,SUM(-1*(S13-U13)/S13),"")))))</x:f>
        <x:v/>
      </x:c>
      <x:c r="U13" s="183" t="n">
        <x:v>8354.00</x:v>
      </x:c>
      <x:c r="V13" s="183" t="n">
        <x:f ca="1">=SUM(U13/ round((O13- M13)/30.42,0))</x:f>
        <x:v/>
      </x:c>
      <x:c r="W13" s="196">
        <x:f ca="1">=IF(T13="","",IF(T13="-","",IF(U13=0,"",IF(OR(T13&gt;AA4,T13&lt;-AA4),"*",""))))</x:f>
        <x:v/>
      </x:c>
      <x:c r="X13" s="98" t="str">
        <x:v/>
      </x:c>
    </x:row>
    <x:row r="14" spans="1:25" s="12" x14ac:dyDescent="0.25">
      <x:c r="A14" s="90" t="str">
        <x:v>9</x:v>
      </x:c>
      <x:c r="B14" s="191" t="str">
        <x:v>FPR55426</x:v>
      </x:c>
      <x:c r="C14" s="191" t="str">
        <x:v>HP LJ M402n</x:v>
      </x:c>
      <x:c r="D14" s="191" t="str">
        <x:v>B/W Copies and B/W Laser Prints</x:v>
      </x:c>
      <x:c r="E14" s="191" t="str">
        <x:v>PHBHB67862</x:v>
      </x:c>
      <x:c r="F14" s="191" t="str">
        <x:v>Active</x:v>
      </x:c>
      <x:c r="G14" s="191" t="str">
        <x:v>Corporate</x:v>
      </x:c>
      <x:c r="H14" s="191" t="str">
        <x:v/>
      </x:c>
      <x:c r="I14" s="191" t="str">
        <x:v/>
      </x:c>
      <x:c r="J14" s="191" t="str">
        <x:v>1</x:v>
      </x:c>
      <x:c r="K14" s="191" t="str">
        <x:v/>
      </x:c>
      <x:c r="L14" s="191" t="str">
        <x:v/>
      </x:c>
      <x:c r="M14" s="191" t="str">
        <x:v>6/30/2018</x:v>
      </x:c>
      <x:c r="N14" s="189" t="n">
        <x:v>22629.00</x:v>
      </x:c>
      <x:c r="O14" s="191" t="str">
        <x:v>11/9/2018</x:v>
      </x:c>
      <x:c r="P14" s="189" t="n">
        <x:v>30794.00</x:v>
      </x:c>
      <x:c r="Q14" s="206" t="n">
        <x:v>0.0259</x:v>
      </x:c>
      <x:c r="R14" s="206" t="n">
        <x:v>0.0301</x:v>
      </x:c>
      <x:c r="S14" s="189" t="n">
        <x:v>6790.00</x:v>
      </x:c>
      <x:c r="T14" s="187" t="n">
        <x:f ca="1">=IF(AND(U14=0,S14&gt;0),-100%,IF(OR(S14=0,S14="-"),"-",IF(AND(S14=0,U14=0),0%,IF(S14&lt;U14,SUM(U14-S14)/S14,IF(S14&gt;U14,SUM(-1*(S14-U14)/S14),"")))))</x:f>
        <x:v/>
      </x:c>
      <x:c r="U14" s="189" t="n">
        <x:v>8165.00</x:v>
      </x:c>
      <x:c r="V14" s="189" t="n">
        <x:f ca="1">=SUM(U14/ round((O14- M14)/30.42,0))</x:f>
        <x:v/>
      </x:c>
      <x:c r="W14" s="195">
        <x:f ca="1">=IF(T14="","",IF(T14="-","",IF(U14=0,"",IF(OR(T14&gt;AA4,T14&lt;-AA4),"*",""))))</x:f>
        <x:v/>
      </x:c>
      <x:c r="X14" s="91" t="str">
        <x:v/>
      </x:c>
    </x:row>
    <x:row r="15" spans="1:25" s="12" x14ac:dyDescent="0.25">
      <x:c r="A15" s="96" t="str">
        <x:v>10</x:v>
      </x:c>
      <x:c r="B15" s="192" t="str">
        <x:v>FPR55396</x:v>
      </x:c>
      <x:c r="C15" s="192" t="str">
        <x:v>HP LJ M521dn</x:v>
      </x:c>
      <x:c r="D15" s="192" t="str">
        <x:v>B/W Copies and B/W Laser Prints</x:v>
      </x:c>
      <x:c r="E15" s="192" t="str">
        <x:v>CNB7G3PJSY</x:v>
      </x:c>
      <x:c r="F15" s="192" t="str">
        <x:v>Active</x:v>
      </x:c>
      <x:c r="G15" s="192" t="str">
        <x:v>Duncanville</x:v>
      </x:c>
      <x:c r="H15" s="192" t="str">
        <x:v/>
      </x:c>
      <x:c r="I15" s="192" t="str">
        <x:v/>
      </x:c>
      <x:c r="J15" s="192" t="str">
        <x:v/>
      </x:c>
      <x:c r="K15" s="192" t="str">
        <x:v/>
      </x:c>
      <x:c r="L15" s="192" t="str">
        <x:v>Duncanville</x:v>
      </x:c>
      <x:c r="M15" s="192" t="str">
        <x:v>6/30/2018</x:v>
      </x:c>
      <x:c r="N15" s="183" t="n">
        <x:v>110667.00</x:v>
      </x:c>
      <x:c r="O15" s="192" t="str">
        <x:v>11/10/2018</x:v>
      </x:c>
      <x:c r="P15" s="183" t="n">
        <x:v>118719.00</x:v>
      </x:c>
      <x:c r="Q15" s="207" t="n">
        <x:v>0.0256</x:v>
      </x:c>
      <x:c r="R15" s="207" t="n">
        <x:v>0.0297</x:v>
      </x:c>
      <x:c r="S15" s="183" t="n">
        <x:v>6065.00</x:v>
      </x:c>
      <x:c r="T15" s="182" t="n">
        <x:f ca="1">=IF(AND(U15=0,S15&gt;0),-100%,IF(OR(S15=0,S15="-"),"-",IF(AND(S15=0,U15=0),0%,IF(S15&lt;U15,SUM(U15-S15)/S15,IF(S15&gt;U15,SUM(-1*(S15-U15)/S15),"")))))</x:f>
        <x:v/>
      </x:c>
      <x:c r="U15" s="183" t="n">
        <x:v>8052.00</x:v>
      </x:c>
      <x:c r="V15" s="183" t="n">
        <x:f ca="1">=SUM(U15/ round((O15- M15)/30.42,0))</x:f>
        <x:v/>
      </x:c>
      <x:c r="W15" s="196">
        <x:f ca="1">=IF(T15="","",IF(T15="-","",IF(U15=0,"",IF(OR(T15&gt;AA4,T15&lt;-AA4),"*",""))))</x:f>
        <x:v/>
      </x:c>
      <x:c r="X15" s="98" t="str">
        <x:v/>
      </x:c>
    </x:row>
    <x:row r="16" spans="1:25" s="12" x14ac:dyDescent="0.25">
      <x:c r="A16" s="90" t="str">
        <x:v>11</x:v>
      </x:c>
      <x:c r="B16" s="191" t="str">
        <x:v>FPR55366</x:v>
      </x:c>
      <x:c r="C16" s="191" t="str">
        <x:v>HP LJ M525</x:v>
      </x:c>
      <x:c r="D16" s="191" t="str">
        <x:v>B/W Copies and B/W Laser Prints</x:v>
      </x:c>
      <x:c r="E16" s="191" t="str">
        <x:v>MXFCH5P0GC</x:v>
      </x:c>
      <x:c r="F16" s="191" t="str">
        <x:v>Active</x:v>
      </x:c>
      <x:c r="G16" s="191" t="str">
        <x:v>Corporate</x:v>
      </x:c>
      <x:c r="H16" s="191" t="str">
        <x:v/>
      </x:c>
      <x:c r="I16" s="191" t="str">
        <x:v>Call Center</x:v>
      </x:c>
      <x:c r="J16" s="191" t="str">
        <x:v>2</x:v>
      </x:c>
      <x:c r="K16" s="191" t="str">
        <x:v/>
      </x:c>
      <x:c r="L16" s="191" t="str">
        <x:v>Corporate</x:v>
      </x:c>
      <x:c r="M16" s="191" t="str">
        <x:v>6/30/2018</x:v>
      </x:c>
      <x:c r="N16" s="189" t="n">
        <x:v>71586.00</x:v>
      </x:c>
      <x:c r="O16" s="191" t="str">
        <x:v>10/30/2018</x:v>
      </x:c>
      <x:c r="P16" s="189" t="n">
        <x:v>79168.00</x:v>
      </x:c>
      <x:c r="Q16" s="206" t="n">
        <x:v>0.0241</x:v>
      </x:c>
      <x:c r="R16" s="206" t="n">
        <x:v>0.028</x:v>
      </x:c>
      <x:c r="S16" s="189" t="n">
        <x:v>5504.00</x:v>
      </x:c>
      <x:c r="T16" s="187" t="n">
        <x:f ca="1">=IF(AND(U16=0,S16&gt;0),-100%,IF(OR(S16=0,S16="-"),"-",IF(AND(S16=0,U16=0),0%,IF(S16&lt;U16,SUM(U16-S16)/S16,IF(S16&gt;U16,SUM(-1*(S16-U16)/S16),"")))))</x:f>
        <x:v/>
      </x:c>
      <x:c r="U16" s="189" t="n">
        <x:v>7582.00</x:v>
      </x:c>
      <x:c r="V16" s="189" t="n">
        <x:f ca="1">=SUM(U16/ round((O16- M16)/30.42,0))</x:f>
        <x:v/>
      </x:c>
      <x:c r="W16" s="195">
        <x:f ca="1">=IF(T16="","",IF(T16="-","",IF(U16=0,"",IF(OR(T16&gt;AA4,T16&lt;-AA4),"*",""))))</x:f>
        <x:v/>
      </x:c>
      <x:c r="X16" s="91" t="str">
        <x:v/>
      </x:c>
    </x:row>
    <x:row r="17" spans="1:25" s="12" x14ac:dyDescent="0.25">
      <x:c r="A17" s="96" t="str">
        <x:v>12</x:v>
      </x:c>
      <x:c r="B17" s="192" t="str">
        <x:v>FPR55405</x:v>
      </x:c>
      <x:c r="C17" s="192" t="str">
        <x:v>HP LJ M525</x:v>
      </x:c>
      <x:c r="D17" s="192" t="str">
        <x:v>B/W Copies and B/W Laser Prints</x:v>
      </x:c>
      <x:c r="E17" s="192" t="str">
        <x:v>MXFCH3B199</x:v>
      </x:c>
      <x:c r="F17" s="192" t="str">
        <x:v>Active</x:v>
      </x:c>
      <x:c r="G17" s="192" t="str">
        <x:v>Gainesville</x:v>
      </x:c>
      <x:c r="H17" s="192" t="str">
        <x:v/>
      </x:c>
      <x:c r="I17" s="192" t="str">
        <x:v>Teller</x:v>
      </x:c>
      <x:c r="J17" s="192" t="str">
        <x:v/>
      </x:c>
      <x:c r="K17" s="192" t="str">
        <x:v/>
      </x:c>
      <x:c r="L17" s="192" t="str">
        <x:v>Gainesville</x:v>
      </x:c>
      <x:c r="M17" s="192" t="str">
        <x:v>6/30/2018</x:v>
      </x:c>
      <x:c r="N17" s="183" t="n">
        <x:v>62536.00</x:v>
      </x:c>
      <x:c r="O17" s="192" t="str">
        <x:v>10/30/2018</x:v>
      </x:c>
      <x:c r="P17" s="183" t="n">
        <x:v>69336.00</x:v>
      </x:c>
      <x:c r="Q17" s="207" t="n">
        <x:v>0.0216</x:v>
      </x:c>
      <x:c r="R17" s="207" t="n">
        <x:v>0.0251</x:v>
      </x:c>
      <x:c r="S17" s="183" t="n">
        <x:v>5185.00</x:v>
      </x:c>
      <x:c r="T17" s="182" t="n">
        <x:f ca="1">=IF(AND(U17=0,S17&gt;0),-100%,IF(OR(S17=0,S17="-"),"-",IF(AND(S17=0,U17=0),0%,IF(S17&lt;U17,SUM(U17-S17)/S17,IF(S17&gt;U17,SUM(-1*(S17-U17)/S17),"")))))</x:f>
        <x:v/>
      </x:c>
      <x:c r="U17" s="183" t="n">
        <x:v>6800.00</x:v>
      </x:c>
      <x:c r="V17" s="183" t="n">
        <x:f ca="1">=SUM(U17/ round((O17- M17)/30.42,0))</x:f>
        <x:v/>
      </x:c>
      <x:c r="W17" s="196">
        <x:f ca="1">=IF(T17="","",IF(T17="-","",IF(U17=0,"",IF(OR(T17&gt;AA4,T17&lt;-AA4),"*",""))))</x:f>
        <x:v/>
      </x:c>
      <x:c r="X17" s="98" t="str">
        <x:v/>
      </x:c>
    </x:row>
    <x:row r="18" spans="1:25" s="12" x14ac:dyDescent="0.25">
      <x:c r="A18" s="90" t="str">
        <x:v>13</x:v>
      </x:c>
      <x:c r="B18" s="191" t="str">
        <x:v>FPR55369</x:v>
      </x:c>
      <x:c r="C18" s="191" t="str">
        <x:v>HP LJ M521dn</x:v>
      </x:c>
      <x:c r="D18" s="191" t="str">
        <x:v>B/W Copies and B/W Laser Prints</x:v>
      </x:c>
      <x:c r="E18" s="191" t="str">
        <x:v>CNB7G737C4</x:v>
      </x:c>
      <x:c r="F18" s="191" t="str">
        <x:v>Active</x:v>
      </x:c>
      <x:c r="G18" s="191" t="str">
        <x:v>Corporate</x:v>
      </x:c>
      <x:c r="H18" s="191" t="str">
        <x:v/>
      </x:c>
      <x:c r="I18" s="191" t="str">
        <x:v>Collections</x:v>
      </x:c>
      <x:c r="J18" s="191" t="str">
        <x:v>1</x:v>
      </x:c>
      <x:c r="K18" s="191" t="str">
        <x:v/>
      </x:c>
      <x:c r="L18" s="191" t="str">
        <x:v>Corporate</x:v>
      </x:c>
      <x:c r="M18" s="191" t="str">
        <x:v>6/30/2018</x:v>
      </x:c>
      <x:c r="N18" s="189" t="n">
        <x:v>110599.00</x:v>
      </x:c>
      <x:c r="O18" s="191" t="str">
        <x:v>10/30/2018</x:v>
      </x:c>
      <x:c r="P18" s="189" t="n">
        <x:v>116693.00</x:v>
      </x:c>
      <x:c r="Q18" s="206" t="n">
        <x:v>0.0194</x:v>
      </x:c>
      <x:c r="R18" s="206" t="n">
        <x:v>0.0225</x:v>
      </x:c>
      <x:c r="S18" s="189" t="n">
        <x:v>5922.00</x:v>
      </x:c>
      <x:c r="T18" s="187" t="n">
        <x:f ca="1">=IF(AND(U18=0,S18&gt;0),-100%,IF(OR(S18=0,S18="-"),"-",IF(AND(S18=0,U18=0),0%,IF(S18&lt;U18,SUM(U18-S18)/S18,IF(S18&gt;U18,SUM(-1*(S18-U18)/S18),"")))))</x:f>
        <x:v/>
      </x:c>
      <x:c r="U18" s="189" t="n">
        <x:v>6094.00</x:v>
      </x:c>
      <x:c r="V18" s="189" t="n">
        <x:f ca="1">=SUM(U18/ round((O18- M18)/30.42,0))</x:f>
        <x:v/>
      </x:c>
      <x:c r="W18" s="195">
        <x:f ca="1">=IF(T18="","",IF(T18="-","",IF(U18=0,"",IF(OR(T18&gt;AA4,T18&lt;-AA4),"*",""))))</x:f>
        <x:v/>
      </x:c>
      <x:c r="X18" s="91" t="str">
        <x:v/>
      </x:c>
    </x:row>
    <x:row r="19" spans="1:25" s="12" x14ac:dyDescent="0.25">
      <x:c r="A19" s="96" t="str">
        <x:v>14</x:v>
      </x:c>
      <x:c r="B19" s="192" t="str">
        <x:v>FPR55427</x:v>
      </x:c>
      <x:c r="C19" s="192" t="str">
        <x:v>HP LJ M402n</x:v>
      </x:c>
      <x:c r="D19" s="192" t="str">
        <x:v>B/W Copies and B/W Laser Prints</x:v>
      </x:c>
      <x:c r="E19" s="192" t="str">
        <x:v>PHBHB67859</x:v>
      </x:c>
      <x:c r="F19" s="192" t="str">
        <x:v>Active</x:v>
      </x:c>
      <x:c r="G19" s="192" t="str">
        <x:v>Corporate</x:v>
      </x:c>
      <x:c r="H19" s="192" t="str">
        <x:v/>
      </x:c>
      <x:c r="I19" s="192" t="str">
        <x:v/>
      </x:c>
      <x:c r="J19" s="192" t="str">
        <x:v>1</x:v>
      </x:c>
      <x:c r="K19" s="192" t="str">
        <x:v/>
      </x:c>
      <x:c r="L19" s="192" t="str">
        <x:v/>
      </x:c>
      <x:c r="M19" s="192" t="str">
        <x:v>6/30/2018</x:v>
      </x:c>
      <x:c r="N19" s="183" t="n">
        <x:v>17718.00</x:v>
      </x:c>
      <x:c r="O19" s="192" t="str">
        <x:v>11/9/2018</x:v>
      </x:c>
      <x:c r="P19" s="183" t="n">
        <x:v>23723.00</x:v>
      </x:c>
      <x:c r="Q19" s="207" t="n">
        <x:v>0.0191</x:v>
      </x:c>
      <x:c r="R19" s="207" t="n">
        <x:v>0.0221</x:v>
      </x:c>
      <x:c r="S19" s="183" t="n">
        <x:v>6059.00</x:v>
      </x:c>
      <x:c r="T19" s="182" t="n">
        <x:f ca="1">=IF(AND(U19=0,S19&gt;0),-100%,IF(OR(S19=0,S19="-"),"-",IF(AND(S19=0,U19=0),0%,IF(S19&lt;U19,SUM(U19-S19)/S19,IF(S19&gt;U19,SUM(-1*(S19-U19)/S19),"")))))</x:f>
        <x:v/>
      </x:c>
      <x:c r="U19" s="183" t="n">
        <x:v>6005.00</x:v>
      </x:c>
      <x:c r="V19" s="183" t="n">
        <x:f ca="1">=SUM(U19/ round((O19- M19)/30.42,0))</x:f>
        <x:v/>
      </x:c>
      <x:c r="W19" s="196">
        <x:f ca="1">=IF(T19="","",IF(T19="-","",IF(U19=0,"",IF(OR(T19&gt;AA4,T19&lt;-AA4),"*",""))))</x:f>
        <x:v/>
      </x:c>
      <x:c r="X19" s="98" t="str">
        <x:v/>
      </x:c>
    </x:row>
    <x:row r="20" spans="1:25" s="12" x14ac:dyDescent="0.25">
      <x:c r="A20" s="90" t="str">
        <x:v>15</x:v>
      </x:c>
      <x:c r="B20" s="191" t="str">
        <x:v>FPR55327</x:v>
      </x:c>
      <x:c r="C20" s="191" t="str">
        <x:v>HP LJ M525</x:v>
      </x:c>
      <x:c r="D20" s="191" t="str">
        <x:v>B/W Copies and B/W Laser Prints</x:v>
      </x:c>
      <x:c r="E20" s="191" t="str">
        <x:v>MXFCH5P0FV</x:v>
      </x:c>
      <x:c r="F20" s="191" t="str">
        <x:v>Active</x:v>
      </x:c>
      <x:c r="G20" s="191" t="str">
        <x:v>Sherman</x:v>
      </x:c>
      <x:c r="H20" s="191" t="str">
        <x:v/>
      </x:c>
      <x:c r="I20" s="191" t="str">
        <x:v>Teller Line</x:v>
      </x:c>
      <x:c r="J20" s="191" t="str">
        <x:v/>
      </x:c>
      <x:c r="K20" s="191" t="str">
        <x:v/>
      </x:c>
      <x:c r="L20" s="191" t="str">
        <x:v>Sherman</x:v>
      </x:c>
      <x:c r="M20" s="191" t="str">
        <x:v>6/30/2018</x:v>
      </x:c>
      <x:c r="N20" s="189" t="n">
        <x:v>66414.00</x:v>
      </x:c>
      <x:c r="O20" s="191" t="str">
        <x:v>10/30/2018</x:v>
      </x:c>
      <x:c r="P20" s="189" t="n">
        <x:v>71937.00</x:v>
      </x:c>
      <x:c r="Q20" s="206" t="n">
        <x:v>0.0175</x:v>
      </x:c>
      <x:c r="R20" s="206" t="n">
        <x:v>0.0204</x:v>
      </x:c>
      <x:c r="S20" s="189" t="n">
        <x:v>6775.00</x:v>
      </x:c>
      <x:c r="T20" s="187" t="n">
        <x:f ca="1">=IF(AND(U20=0,S20&gt;0),-100%,IF(OR(S20=0,S20="-"),"-",IF(AND(S20=0,U20=0),0%,IF(S20&lt;U20,SUM(U20-S20)/S20,IF(S20&gt;U20,SUM(-1*(S20-U20)/S20),"")))))</x:f>
        <x:v/>
      </x:c>
      <x:c r="U20" s="189" t="n">
        <x:v>5523.00</x:v>
      </x:c>
      <x:c r="V20" s="189" t="n">
        <x:f ca="1">=SUM(U20/ round((O20- M20)/30.42,0))</x:f>
        <x:v/>
      </x:c>
      <x:c r="W20" s="195">
        <x:f ca="1">=IF(T20="","",IF(T20="-","",IF(U20=0,"",IF(OR(T20&gt;AA4,T20&lt;-AA4),"*",""))))</x:f>
        <x:v/>
      </x:c>
      <x:c r="X20" s="91" t="str">
        <x:v/>
      </x:c>
    </x:row>
    <x:row r="21" spans="1:25" s="12" x14ac:dyDescent="0.25">
      <x:c r="A21" s="96" t="str">
        <x:v>16</x:v>
      </x:c>
      <x:c r="B21" s="192" t="str">
        <x:v>FPR55429</x:v>
      </x:c>
      <x:c r="C21" s="192" t="str">
        <x:v>HP LJ M402n</x:v>
      </x:c>
      <x:c r="D21" s="192" t="str">
        <x:v>B/W Copies and B/W Laser Prints</x:v>
      </x:c>
      <x:c r="E21" s="192" t="str">
        <x:v>PHBHB67860</x:v>
      </x:c>
      <x:c r="F21" s="192" t="str">
        <x:v>Active</x:v>
      </x:c>
      <x:c r="G21" s="192" t="str">
        <x:v>Corporate</x:v>
      </x:c>
      <x:c r="H21" s="192" t="str">
        <x:v/>
      </x:c>
      <x:c r="I21" s="192" t="str">
        <x:v/>
      </x:c>
      <x:c r="J21" s="192" t="str">
        <x:v>1</x:v>
      </x:c>
      <x:c r="K21" s="192" t="str">
        <x:v/>
      </x:c>
      <x:c r="L21" s="192" t="str">
        <x:v/>
      </x:c>
      <x:c r="M21" s="192" t="str">
        <x:v>6/30/2018</x:v>
      </x:c>
      <x:c r="N21" s="183" t="n">
        <x:v>13684.00</x:v>
      </x:c>
      <x:c r="O21" s="192" t="str">
        <x:v>11/9/2018</x:v>
      </x:c>
      <x:c r="P21" s="183" t="n">
        <x:v>19204.00</x:v>
      </x:c>
      <x:c r="Q21" s="207" t="n">
        <x:v>0.0175</x:v>
      </x:c>
      <x:c r="R21" s="207" t="n">
        <x:v>0.0204</x:v>
      </x:c>
      <x:c r="S21" s="183" t="n">
        <x:v>2845.00</x:v>
      </x:c>
      <x:c r="T21" s="182" t="n">
        <x:f ca="1">=IF(AND(U21=0,S21&gt;0),-100%,IF(OR(S21=0,S21="-"),"-",IF(AND(S21=0,U21=0),0%,IF(S21&lt;U21,SUM(U21-S21)/S21,IF(S21&gt;U21,SUM(-1*(S21-U21)/S21),"")))))</x:f>
        <x:v/>
      </x:c>
      <x:c r="U21" s="183" t="n">
        <x:v>5520.00</x:v>
      </x:c>
      <x:c r="V21" s="183" t="n">
        <x:f ca="1">=SUM(U21/ round((O21- M21)/30.42,0))</x:f>
        <x:v/>
      </x:c>
      <x:c r="W21" s="196">
        <x:f ca="1">=IF(T21="","",IF(T21="-","",IF(U21=0,"",IF(OR(T21&gt;AA4,T21&lt;-AA4),"*",""))))</x:f>
        <x:v/>
      </x:c>
      <x:c r="X21" s="98" t="str">
        <x:v/>
      </x:c>
    </x:row>
    <x:row r="22" spans="1:25" s="12" x14ac:dyDescent="0.25">
      <x:c r="A22" s="90" t="str">
        <x:v>17</x:v>
      </x:c>
      <x:c r="B22" s="191" t="str">
        <x:v>FPR55322</x:v>
      </x:c>
      <x:c r="C22" s="191" t="str">
        <x:v>HP LJ M425</x:v>
      </x:c>
      <x:c r="D22" s="191" t="str">
        <x:v>B/W Copies and B/W Laser Prints</x:v>
      </x:c>
      <x:c r="E22" s="191" t="str">
        <x:v>CNF8H5J477</x:v>
      </x:c>
      <x:c r="F22" s="191" t="str">
        <x:v>Active</x:v>
      </x:c>
      <x:c r="G22" s="191" t="str">
        <x:v>Oak Cliff</x:v>
      </x:c>
      <x:c r="H22" s="191" t="str">
        <x:v/>
      </x:c>
      <x:c r="I22" s="191" t="str">
        <x:v>Teller</x:v>
      </x:c>
      <x:c r="J22" s="191" t="str">
        <x:v/>
      </x:c>
      <x:c r="K22" s="191" t="str">
        <x:v/>
      </x:c>
      <x:c r="L22" s="191" t="str">
        <x:v>Oak Cliff</x:v>
      </x:c>
      <x:c r="M22" s="191" t="str">
        <x:v>6/30/2018</x:v>
      </x:c>
      <x:c r="N22" s="189" t="n">
        <x:v>57531.00</x:v>
      </x:c>
      <x:c r="O22" s="191" t="str">
        <x:v>10/31/2018</x:v>
      </x:c>
      <x:c r="P22" s="189" t="n">
        <x:v>62986.00</x:v>
      </x:c>
      <x:c r="Q22" s="206" t="n">
        <x:v>0.0173</x:v>
      </x:c>
      <x:c r="R22" s="206" t="n">
        <x:v>0.0201</x:v>
      </x:c>
      <x:c r="S22" s="189" t="n">
        <x:v>4487.00</x:v>
      </x:c>
      <x:c r="T22" s="187" t="n">
        <x:f ca="1">=IF(AND(U22=0,S22&gt;0),-100%,IF(OR(S22=0,S22="-"),"-",IF(AND(S22=0,U22=0),0%,IF(S22&lt;U22,SUM(U22-S22)/S22,IF(S22&gt;U22,SUM(-1*(S22-U22)/S22),"")))))</x:f>
        <x:v/>
      </x:c>
      <x:c r="U22" s="189" t="n">
        <x:v>5455.00</x:v>
      </x:c>
      <x:c r="V22" s="189" t="n">
        <x:f ca="1">=SUM(U22/ round((O22- M22)/30.42,0))</x:f>
        <x:v/>
      </x:c>
      <x:c r="W22" s="195">
        <x:f ca="1">=IF(T22="","",IF(T22="-","",IF(U22=0,"",IF(OR(T22&gt;AA4,T22&lt;-AA4),"*",""))))</x:f>
        <x:v/>
      </x:c>
      <x:c r="X22" s="91" t="str">
        <x:v/>
      </x:c>
    </x:row>
    <x:row r="23" spans="1:25" s="12" x14ac:dyDescent="0.25">
      <x:c r="A23" s="96" t="str">
        <x:v>18</x:v>
      </x:c>
      <x:c r="B23" s="192" t="str">
        <x:v>FPR55425</x:v>
      </x:c>
      <x:c r="C23" s="192" t="str">
        <x:v>HP LJ M402n</x:v>
      </x:c>
      <x:c r="D23" s="192" t="str">
        <x:v>B/W Copies and B/W Laser Prints</x:v>
      </x:c>
      <x:c r="E23" s="192" t="str">
        <x:v>PHBHB67875</x:v>
      </x:c>
      <x:c r="F23" s="192" t="str">
        <x:v>Active</x:v>
      </x:c>
      <x:c r="G23" s="192" t="str">
        <x:v>Corporate</x:v>
      </x:c>
      <x:c r="H23" s="192" t="str">
        <x:v/>
      </x:c>
      <x:c r="I23" s="192" t="str">
        <x:v/>
      </x:c>
      <x:c r="J23" s="192" t="str">
        <x:v>1</x:v>
      </x:c>
      <x:c r="K23" s="192" t="str">
        <x:v/>
      </x:c>
      <x:c r="L23" s="192" t="str">
        <x:v/>
      </x:c>
      <x:c r="M23" s="192" t="str">
        <x:v>6/30/2018</x:v>
      </x:c>
      <x:c r="N23" s="183" t="n">
        <x:v>15890.00</x:v>
      </x:c>
      <x:c r="O23" s="192" t="str">
        <x:v>11/9/2018</x:v>
      </x:c>
      <x:c r="P23" s="183" t="n">
        <x:v>21313.00</x:v>
      </x:c>
      <x:c r="Q23" s="207" t="n">
        <x:v>0.0172</x:v>
      </x:c>
      <x:c r="R23" s="207" t="n">
        <x:v>0.02</x:v>
      </x:c>
      <x:c r="S23" s="183" t="n">
        <x:v>3956.00</x:v>
      </x:c>
      <x:c r="T23" s="182" t="n">
        <x:f ca="1">=IF(AND(U23=0,S23&gt;0),-100%,IF(OR(S23=0,S23="-"),"-",IF(AND(S23=0,U23=0),0%,IF(S23&lt;U23,SUM(U23-S23)/S23,IF(S23&gt;U23,SUM(-1*(S23-U23)/S23),"")))))</x:f>
        <x:v/>
      </x:c>
      <x:c r="U23" s="183" t="n">
        <x:v>5423.00</x:v>
      </x:c>
      <x:c r="V23" s="183" t="n">
        <x:f ca="1">=SUM(U23/ round((O23- M23)/30.42,0))</x:f>
        <x:v/>
      </x:c>
      <x:c r="W23" s="196">
        <x:f ca="1">=IF(T23="","",IF(T23="-","",IF(U23=0,"",IF(OR(T23&gt;AA4,T23&lt;-AA4),"*",""))))</x:f>
        <x:v/>
      </x:c>
      <x:c r="X23" s="98" t="str">
        <x:v/>
      </x:c>
    </x:row>
    <x:row r="24" spans="1:25" s="12" x14ac:dyDescent="0.25">
      <x:c r="A24" s="90" t="str">
        <x:v>19</x:v>
      </x:c>
      <x:c r="B24" s="191" t="str">
        <x:v>FPR55316</x:v>
      </x:c>
      <x:c r="C24" s="191" t="str">
        <x:v>HP LJ M401dn</x:v>
      </x:c>
      <x:c r="D24" s="191" t="str">
        <x:v>B/W Copies and B/W Laser Prints</x:v>
      </x:c>
      <x:c r="E24" s="191" t="str">
        <x:v>PHGFB82824</x:v>
      </x:c>
      <x:c r="F24" s="191" t="str">
        <x:v>Active</x:v>
      </x:c>
      <x:c r="G24" s="191" t="str">
        <x:v>Duncanville</x:v>
      </x:c>
      <x:c r="H24" s="191" t="str">
        <x:v/>
      </x:c>
      <x:c r="I24" s="191" t="str">
        <x:v>Last Office on Right</x:v>
      </x:c>
      <x:c r="J24" s="191" t="str">
        <x:v/>
      </x:c>
      <x:c r="K24" s="191" t="str">
        <x:v>Shakema</x:v>
      </x:c>
      <x:c r="L24" s="191" t="str">
        <x:v>Duncanville</x:v>
      </x:c>
      <x:c r="M24" s="191" t="str">
        <x:v>6/30/2018</x:v>
      </x:c>
      <x:c r="N24" s="189" t="n">
        <x:v>38244.00</x:v>
      </x:c>
      <x:c r="O24" s="191" t="str">
        <x:v>11/10/2018</x:v>
      </x:c>
      <x:c r="P24" s="189" t="n">
        <x:v>43061.00</x:v>
      </x:c>
      <x:c r="Q24" s="206" t="n">
        <x:v>0.0153</x:v>
      </x:c>
      <x:c r="R24" s="206" t="n">
        <x:v>0.0178</x:v>
      </x:c>
      <x:c r="S24" s="189" t="n">
        <x:v>3773.00</x:v>
      </x:c>
      <x:c r="T24" s="187" t="n">
        <x:f ca="1">=IF(AND(U24=0,S24&gt;0),-100%,IF(OR(S24=0,S24="-"),"-",IF(AND(S24=0,U24=0),0%,IF(S24&lt;U24,SUM(U24-S24)/S24,IF(S24&gt;U24,SUM(-1*(S24-U24)/S24),"")))))</x:f>
        <x:v/>
      </x:c>
      <x:c r="U24" s="189" t="n">
        <x:v>4817.00</x:v>
      </x:c>
      <x:c r="V24" s="189" t="n">
        <x:f ca="1">=SUM(U24/ round((O24- M24)/30.42,0))</x:f>
        <x:v/>
      </x:c>
      <x:c r="W24" s="195">
        <x:f ca="1">=IF(T24="","",IF(T24="-","",IF(U24=0,"",IF(OR(T24&gt;AA4,T24&lt;-AA4),"*",""))))</x:f>
        <x:v/>
      </x:c>
      <x:c r="X24" s="91" t="str">
        <x:v/>
      </x:c>
    </x:row>
    <x:row r="25" spans="1:25" s="12" x14ac:dyDescent="0.25">
      <x:c r="A25" s="96" t="str">
        <x:v>20</x:v>
      </x:c>
      <x:c r="B25" s="192" t="str">
        <x:v>FPR55312</x:v>
      </x:c>
      <x:c r="C25" s="192" t="str">
        <x:v>HP LJ M401dn</x:v>
      </x:c>
      <x:c r="D25" s="192" t="str">
        <x:v>B/W Copies and B/W Laser Prints</x:v>
      </x:c>
      <x:c r="E25" s="192" t="str">
        <x:v>PHGFB82820</x:v>
      </x:c>
      <x:c r="F25" s="192" t="str">
        <x:v>Active</x:v>
      </x:c>
      <x:c r="G25" s="192" t="str">
        <x:v>Corporate</x:v>
      </x:c>
      <x:c r="H25" s="192" t="str">
        <x:v/>
      </x:c>
      <x:c r="I25" s="192" t="str">
        <x:v>Receptionist</x:v>
      </x:c>
      <x:c r="J25" s="192" t="str">
        <x:v>2</x:v>
      </x:c>
      <x:c r="K25" s="192" t="str">
        <x:v/>
      </x:c>
      <x:c r="L25" s="192" t="str">
        <x:v>Corporate</x:v>
      </x:c>
      <x:c r="M25" s="192" t="str">
        <x:v>6/30/2018</x:v>
      </x:c>
      <x:c r="N25" s="183" t="n">
        <x:v>16453.00</x:v>
      </x:c>
      <x:c r="O25" s="192" t="str">
        <x:v>10/31/2018</x:v>
      </x:c>
      <x:c r="P25" s="183" t="n">
        <x:v>21194.00</x:v>
      </x:c>
      <x:c r="Q25" s="207" t="n">
        <x:v>0.0151</x:v>
      </x:c>
      <x:c r="R25" s="207" t="n">
        <x:v>0.0175</x:v>
      </x:c>
      <x:c r="S25" s="183" t="n">
        <x:v>3815.00</x:v>
      </x:c>
      <x:c r="T25" s="182" t="n">
        <x:f ca="1">=IF(AND(U25=0,S25&gt;0),-100%,IF(OR(S25=0,S25="-"),"-",IF(AND(S25=0,U25=0),0%,IF(S25&lt;U25,SUM(U25-S25)/S25,IF(S25&gt;U25,SUM(-1*(S25-U25)/S25),"")))))</x:f>
        <x:v/>
      </x:c>
      <x:c r="U25" s="183" t="n">
        <x:v>4741.00</x:v>
      </x:c>
      <x:c r="V25" s="183" t="n">
        <x:f ca="1">=SUM(U25/ round((O25- M25)/30.42,0))</x:f>
        <x:v/>
      </x:c>
      <x:c r="W25" s="196">
        <x:f ca="1">=IF(T25="","",IF(T25="-","",IF(U25=0,"",IF(OR(T25&gt;AA4,T25&lt;-AA4),"*",""))))</x:f>
        <x:v/>
      </x:c>
      <x:c r="X25" s="98" t="str">
        <x:v/>
      </x:c>
    </x:row>
    <x:row r="26" spans="1:25" s="12" x14ac:dyDescent="0.25">
      <x:c r="A26" s="90" t="str">
        <x:v>21</x:v>
      </x:c>
      <x:c r="B26" s="191" t="str">
        <x:v>FPR55423</x:v>
      </x:c>
      <x:c r="C26" s="191" t="str">
        <x:v>HP LJ M425</x:v>
      </x:c>
      <x:c r="D26" s="191" t="str">
        <x:v>B/W Copies and B/W Laser Prints</x:v>
      </x:c>
      <x:c r="E26" s="191" t="str">
        <x:v>CNB6D3S04P</x:v>
      </x:c>
      <x:c r="F26" s="191" t="str">
        <x:v>Active</x:v>
      </x:c>
      <x:c r="G26" s="191" t="str">
        <x:v>Frankford</x:v>
      </x:c>
      <x:c r="H26" s="191" t="str">
        <x:v/>
      </x:c>
      <x:c r="I26" s="191" t="str">
        <x:v>Back Office</x:v>
      </x:c>
      <x:c r="J26" s="191" t="str">
        <x:v/>
      </x:c>
      <x:c r="K26" s="191" t="str">
        <x:v>Jason Ranck</x:v>
      </x:c>
      <x:c r="L26" s="191" t="str">
        <x:v/>
      </x:c>
      <x:c r="M26" s="191" t="str">
        <x:v>6/30/2018</x:v>
      </x:c>
      <x:c r="N26" s="189" t="n">
        <x:v>19750.00</x:v>
      </x:c>
      <x:c r="O26" s="191" t="str">
        <x:v>10/30/2018</x:v>
      </x:c>
      <x:c r="P26" s="189" t="n">
        <x:v>24330.00</x:v>
      </x:c>
      <x:c r="Q26" s="206" t="n">
        <x:v>0.0145</x:v>
      </x:c>
      <x:c r="R26" s="206" t="n">
        <x:v>0.0169</x:v>
      </x:c>
      <x:c r="S26" s="189" t="n">
        <x:v>3807.00</x:v>
      </x:c>
      <x:c r="T26" s="187" t="n">
        <x:f ca="1">=IF(AND(U26=0,S26&gt;0),-100%,IF(OR(S26=0,S26="-"),"-",IF(AND(S26=0,U26=0),0%,IF(S26&lt;U26,SUM(U26-S26)/S26,IF(S26&gt;U26,SUM(-1*(S26-U26)/S26),"")))))</x:f>
        <x:v/>
      </x:c>
      <x:c r="U26" s="189" t="n">
        <x:v>4580.00</x:v>
      </x:c>
      <x:c r="V26" s="189" t="n">
        <x:f ca="1">=SUM(U26/ round((O26- M26)/30.42,0))</x:f>
        <x:v/>
      </x:c>
      <x:c r="W26" s="195">
        <x:f ca="1">=IF(T26="","",IF(T26="-","",IF(U26=0,"",IF(OR(T26&gt;AA4,T26&lt;-AA4),"*",""))))</x:f>
        <x:v/>
      </x:c>
      <x:c r="X26" s="91" t="str">
        <x:v/>
      </x:c>
    </x:row>
    <x:row r="27" spans="1:25" s="12" x14ac:dyDescent="0.25">
      <x:c r="A27" s="96" t="str">
        <x:v>22</x:v>
      </x:c>
      <x:c r="B27" s="192" t="str">
        <x:v>FPR55326</x:v>
      </x:c>
      <x:c r="C27" s="192" t="str">
        <x:v>HP CLJ M575</x:v>
      </x:c>
      <x:c r="D27" s="192" t="str">
        <x:v>B/W Copies and B/W Laser Prints</x:v>
      </x:c>
      <x:c r="E27" s="192" t="str">
        <x:v>MXBCD6P06H</x:v>
      </x:c>
      <x:c r="F27" s="192" t="str">
        <x:v>Active</x:v>
      </x:c>
      <x:c r="G27" s="192" t="str">
        <x:v>Corporate</x:v>
      </x:c>
      <x:c r="H27" s="192" t="str">
        <x:v/>
      </x:c>
      <x:c r="I27" s="192" t="str">
        <x:v/>
      </x:c>
      <x:c r="J27" s="192" t="str">
        <x:v/>
      </x:c>
      <x:c r="K27" s="192" t="str">
        <x:v/>
      </x:c>
      <x:c r="L27" s="192" t="str">
        <x:v>Corporate</x:v>
      </x:c>
      <x:c r="M27" s="192" t="str">
        <x:v>6/30/2018</x:v>
      </x:c>
      <x:c r="N27" s="183" t="n">
        <x:v>82481.00</x:v>
      </x:c>
      <x:c r="O27" s="192" t="str">
        <x:v>10/30/2018</x:v>
      </x:c>
      <x:c r="P27" s="183" t="n">
        <x:v>86878.00</x:v>
      </x:c>
      <x:c r="Q27" s="207" t="n">
        <x:v>0.014</x:v>
      </x:c>
      <x:c r="R27" s="207" t="n">
        <x:v>0.0162</x:v>
      </x:c>
      <x:c r="S27" s="183" t="n">
        <x:v>3097.00</x:v>
      </x:c>
      <x:c r="T27" s="182" t="n">
        <x:f ca="1">=IF(AND(U27=0,S27&gt;0),-100%,IF(OR(S27=0,S27="-"),"-",IF(AND(S27=0,U27=0),0%,IF(S27&lt;U27,SUM(U27-S27)/S27,IF(S27&gt;U27,SUM(-1*(S27-U27)/S27),"")))))</x:f>
        <x:v/>
      </x:c>
      <x:c r="U27" s="183" t="n">
        <x:v>4397.00</x:v>
      </x:c>
      <x:c r="V27" s="183" t="n">
        <x:f ca="1">=SUM(U27/ round((O27- M27)/30.42,0))</x:f>
        <x:v/>
      </x:c>
      <x:c r="W27" s="196">
        <x:f ca="1">=IF(T27="","",IF(T27="-","",IF(U27=0,"",IF(OR(T27&gt;AA4,T27&lt;-AA4),"*",""))))</x:f>
        <x:v/>
      </x:c>
      <x:c r="X27" s="98" t="str">
        <x:v/>
      </x:c>
    </x:row>
    <x:row r="28" spans="1:25" s="12" x14ac:dyDescent="0.25">
      <x:c r="A28" s="90" t="str">
        <x:v>23</x:v>
      </x:c>
      <x:c r="B28" s="191" t="str">
        <x:v>FPR55420</x:v>
      </x:c>
      <x:c r="C28" s="191" t="str">
        <x:v>HP LJ P3015</x:v>
      </x:c>
      <x:c r="D28" s="191" t="str">
        <x:v>B/W Copies and B/W Laser Prints</x:v>
      </x:c>
      <x:c r="E28" s="191" t="str">
        <x:v>VNBCB6W0DP</x:v>
      </x:c>
      <x:c r="F28" s="191" t="str">
        <x:v>Active</x:v>
      </x:c>
      <x:c r="G28" s="191" t="str">
        <x:v>Duncanville</x:v>
      </x:c>
      <x:c r="H28" s="191" t="str">
        <x:v/>
      </x:c>
      <x:c r="I28" s="191" t="str">
        <x:v>Teller</x:v>
      </x:c>
      <x:c r="J28" s="191" t="str">
        <x:v/>
      </x:c>
      <x:c r="K28" s="191" t="str">
        <x:v/>
      </x:c>
      <x:c r="L28" s="191" t="str">
        <x:v>Duncanville</x:v>
      </x:c>
      <x:c r="M28" s="191" t="str">
        <x:v>6/30/2018</x:v>
      </x:c>
      <x:c r="N28" s="189" t="n">
        <x:v>70695.00</x:v>
      </x:c>
      <x:c r="O28" s="191" t="str">
        <x:v>10/30/2018</x:v>
      </x:c>
      <x:c r="P28" s="189" t="n">
        <x:v>75034.00</x:v>
      </x:c>
      <x:c r="Q28" s="206" t="n">
        <x:v>0.0138</x:v>
      </x:c>
      <x:c r="R28" s="206" t="n">
        <x:v>0.016</x:v>
      </x:c>
      <x:c r="S28" s="189" t="n">
        <x:v>3421.00</x:v>
      </x:c>
      <x:c r="T28" s="187" t="n">
        <x:f ca="1">=IF(AND(U28=0,S28&gt;0),-100%,IF(OR(S28=0,S28="-"),"-",IF(AND(S28=0,U28=0),0%,IF(S28&lt;U28,SUM(U28-S28)/S28,IF(S28&gt;U28,SUM(-1*(S28-U28)/S28),"")))))</x:f>
        <x:v/>
      </x:c>
      <x:c r="U28" s="189" t="n">
        <x:v>4339.00</x:v>
      </x:c>
      <x:c r="V28" s="189" t="n">
        <x:f ca="1">=SUM(U28/ round((O28- M28)/30.42,0))</x:f>
        <x:v/>
      </x:c>
      <x:c r="W28" s="195">
        <x:f ca="1">=IF(T28="","",IF(T28="-","",IF(U28=0,"",IF(OR(T28&gt;AA4,T28&lt;-AA4),"*",""))))</x:f>
        <x:v/>
      </x:c>
      <x:c r="X28" s="91" t="str">
        <x:v/>
      </x:c>
    </x:row>
    <x:row r="29" spans="1:25" s="12" x14ac:dyDescent="0.25">
      <x:c r="A29" s="96" t="str">
        <x:v>24</x:v>
      </x:c>
      <x:c r="B29" s="192" t="str">
        <x:v>FPR55362</x:v>
      </x:c>
      <x:c r="C29" s="192" t="str">
        <x:v>HP LJ M630 MFP</x:v>
      </x:c>
      <x:c r="D29" s="192" t="str">
        <x:v>B/W Copies and B/W Laser Prints</x:v>
      </x:c>
      <x:c r="E29" s="192" t="str">
        <x:v>MXBCGCV0K7</x:v>
      </x:c>
      <x:c r="F29" s="192" t="str">
        <x:v>Active</x:v>
      </x:c>
      <x:c r="G29" s="192" t="str">
        <x:v>Oak Cliff</x:v>
      </x:c>
      <x:c r="H29" s="192" t="str">
        <x:v/>
      </x:c>
      <x:c r="I29" s="192" t="str">
        <x:v>Copy Room</x:v>
      </x:c>
      <x:c r="J29" s="192" t="str">
        <x:v/>
      </x:c>
      <x:c r="K29" s="192" t="str">
        <x:v/>
      </x:c>
      <x:c r="L29" s="192" t="str">
        <x:v>Oak Cliff</x:v>
      </x:c>
      <x:c r="M29" s="192" t="str">
        <x:v>6/30/2018</x:v>
      </x:c>
      <x:c r="N29" s="183" t="n">
        <x:v>55933.00</x:v>
      </x:c>
      <x:c r="O29" s="192" t="str">
        <x:v>10/30/2018</x:v>
      </x:c>
      <x:c r="P29" s="183" t="n">
        <x:v>60198.00</x:v>
      </x:c>
      <x:c r="Q29" s="207" t="n">
        <x:v>0.0135</x:v>
      </x:c>
      <x:c r="R29" s="207" t="n">
        <x:v>0.0157</x:v>
      </x:c>
      <x:c r="S29" s="183" t="n">
        <x:v>5268.00</x:v>
      </x:c>
      <x:c r="T29" s="182" t="n">
        <x:f ca="1">=IF(AND(U29=0,S29&gt;0),-100%,IF(OR(S29=0,S29="-"),"-",IF(AND(S29=0,U29=0),0%,IF(S29&lt;U29,SUM(U29-S29)/S29,IF(S29&gt;U29,SUM(-1*(S29-U29)/S29),"")))))</x:f>
        <x:v/>
      </x:c>
      <x:c r="U29" s="183" t="n">
        <x:v>4265.00</x:v>
      </x:c>
      <x:c r="V29" s="183" t="n">
        <x:f ca="1">=SUM(U29/ round((O29- M29)/30.42,0))</x:f>
        <x:v/>
      </x:c>
      <x:c r="W29" s="196">
        <x:f ca="1">=IF(T29="","",IF(T29="-","",IF(U29=0,"",IF(OR(T29&gt;AA4,T29&lt;-AA4),"*",""))))</x:f>
        <x:v/>
      </x:c>
      <x:c r="X29" s="98" t="str">
        <x:v/>
      </x:c>
    </x:row>
    <x:row r="30" spans="1:25" s="12" x14ac:dyDescent="0.25">
      <x:c r="A30" s="90" t="str">
        <x:v>25</x:v>
      </x:c>
      <x:c r="B30" s="191" t="str">
        <x:v>FPR55301</x:v>
      </x:c>
      <x:c r="C30" s="191" t="str">
        <x:v>HP LJ M401n</x:v>
      </x:c>
      <x:c r="D30" s="191" t="str">
        <x:v>B/W Copies and B/W Laser Prints</x:v>
      </x:c>
      <x:c r="E30" s="191" t="str">
        <x:v>PHGDC61368</x:v>
      </x:c>
      <x:c r="F30" s="191" t="str">
        <x:v>Active</x:v>
      </x:c>
      <x:c r="G30" s="191" t="str">
        <x:v>Duncanville</x:v>
      </x:c>
      <x:c r="H30" s="191" t="str">
        <x:v/>
      </x:c>
      <x:c r="I30" s="191" t="str">
        <x:v/>
      </x:c>
      <x:c r="J30" s="191" t="str">
        <x:v/>
      </x:c>
      <x:c r="K30" s="191" t="str">
        <x:v>Tamika</x:v>
      </x:c>
      <x:c r="L30" s="191" t="str">
        <x:v>Duncanville</x:v>
      </x:c>
      <x:c r="M30" s="191" t="str">
        <x:v>6/30/2018</x:v>
      </x:c>
      <x:c r="N30" s="189" t="n">
        <x:v>29376.00</x:v>
      </x:c>
      <x:c r="O30" s="191" t="str">
        <x:v>11/10/2018</x:v>
      </x:c>
      <x:c r="P30" s="189" t="n">
        <x:v>33424.00</x:v>
      </x:c>
      <x:c r="Q30" s="206" t="n">
        <x:v>0.0129</x:v>
      </x:c>
      <x:c r="R30" s="206" t="n">
        <x:v>0.0149</x:v>
      </x:c>
      <x:c r="S30" s="189" t="n">
        <x:v>2628.00</x:v>
      </x:c>
      <x:c r="T30" s="187" t="n">
        <x:f ca="1">=IF(AND(U30=0,S30&gt;0),-100%,IF(OR(S30=0,S30="-"),"-",IF(AND(S30=0,U30=0),0%,IF(S30&lt;U30,SUM(U30-S30)/S30,IF(S30&gt;U30,SUM(-1*(S30-U30)/S30),"")))))</x:f>
        <x:v/>
      </x:c>
      <x:c r="U30" s="189" t="n">
        <x:v>4048.00</x:v>
      </x:c>
      <x:c r="V30" s="189" t="n">
        <x:f ca="1">=SUM(U30/ round((O30- M30)/30.42,0))</x:f>
        <x:v/>
      </x:c>
      <x:c r="W30" s="195">
        <x:f ca="1">=IF(T30="","",IF(T30="-","",IF(U30=0,"",IF(OR(T30&gt;AA4,T30&lt;-AA4),"*",""))))</x:f>
        <x:v/>
      </x:c>
      <x:c r="X30" s="91" t="str">
        <x:v/>
      </x:c>
    </x:row>
    <x:row r="31" spans="1:25" s="12" x14ac:dyDescent="0.25">
      <x:c r="A31" s="96" t="str">
        <x:v>26</x:v>
      </x:c>
      <x:c r="B31" s="192" t="str">
        <x:v>FPR55424</x:v>
      </x:c>
      <x:c r="C31" s="192" t="str">
        <x:v>HP LJ M425</x:v>
      </x:c>
      <x:c r="D31" s="192" t="str">
        <x:v>B/W Copies and B/W Laser Prints</x:v>
      </x:c>
      <x:c r="E31" s="192" t="str">
        <x:v>CNB6D4D066</x:v>
      </x:c>
      <x:c r="F31" s="192" t="str">
        <x:v>Active</x:v>
      </x:c>
      <x:c r="G31" s="192" t="str">
        <x:v>Frankford</x:v>
      </x:c>
      <x:c r="H31" s="192" t="str">
        <x:v/>
      </x:c>
      <x:c r="I31" s="192" t="str">
        <x:v/>
      </x:c>
      <x:c r="J31" s="192" t="str">
        <x:v/>
      </x:c>
      <x:c r="K31" s="192" t="str">
        <x:v/>
      </x:c>
      <x:c r="L31" s="192" t="str">
        <x:v/>
      </x:c>
      <x:c r="M31" s="192" t="str">
        <x:v>6/30/2018</x:v>
      </x:c>
      <x:c r="N31" s="183" t="n">
        <x:v>16700.00</x:v>
      </x:c>
      <x:c r="O31" s="192" t="str">
        <x:v>10/30/2018</x:v>
      </x:c>
      <x:c r="P31" s="183" t="n">
        <x:v>20550.00</x:v>
      </x:c>
      <x:c r="Q31" s="207" t="n">
        <x:v>0.0122</x:v>
      </x:c>
      <x:c r="R31" s="207" t="n">
        <x:v>0.0142</x:v>
      </x:c>
      <x:c r="S31" s="183" t="n">
        <x:v>3460.00</x:v>
      </x:c>
      <x:c r="T31" s="182" t="n">
        <x:f ca="1">=IF(AND(U31=0,S31&gt;0),-100%,IF(OR(S31=0,S31="-"),"-",IF(AND(S31=0,U31=0),0%,IF(S31&lt;U31,SUM(U31-S31)/S31,IF(S31&gt;U31,SUM(-1*(S31-U31)/S31),"")))))</x:f>
        <x:v/>
      </x:c>
      <x:c r="U31" s="183" t="n">
        <x:v>3850.00</x:v>
      </x:c>
      <x:c r="V31" s="183" t="n">
        <x:f ca="1">=SUM(U31/ round((O31- M31)/30.42,0))</x:f>
        <x:v/>
      </x:c>
      <x:c r="W31" s="196">
        <x:f ca="1">=IF(T31="","",IF(T31="-","",IF(U31=0,"",IF(OR(T31&gt;AA4,T31&lt;-AA4),"*",""))))</x:f>
        <x:v/>
      </x:c>
      <x:c r="X31" s="98" t="str">
        <x:v/>
      </x:c>
    </x:row>
    <x:row r="32" spans="1:25" s="12" x14ac:dyDescent="0.25">
      <x:c r="A32" s="90" t="str">
        <x:v>27</x:v>
      </x:c>
      <x:c r="B32" s="191" t="str">
        <x:v>FPR55368</x:v>
      </x:c>
      <x:c r="C32" s="191" t="str">
        <x:v>HP LJ P3015</x:v>
      </x:c>
      <x:c r="D32" s="191" t="str">
        <x:v>B/W Copies and B/W Laser Prints</x:v>
      </x:c>
      <x:c r="E32" s="191" t="str">
        <x:v>VNBCB6W0FF</x:v>
      </x:c>
      <x:c r="F32" s="191" t="str">
        <x:v>Active</x:v>
      </x:c>
      <x:c r="G32" s="191" t="str">
        <x:v>Corporate</x:v>
      </x:c>
      <x:c r="H32" s="191" t="str">
        <x:v/>
      </x:c>
      <x:c r="I32" s="191" t="str">
        <x:v/>
      </x:c>
      <x:c r="J32" s="191" t="str">
        <x:v>1</x:v>
      </x:c>
      <x:c r="K32" s="191" t="str">
        <x:v>Suzanna</x:v>
      </x:c>
      <x:c r="L32" s="191" t="str">
        <x:v>Corporate</x:v>
      </x:c>
      <x:c r="M32" s="191" t="str">
        <x:v>6/30/2018</x:v>
      </x:c>
      <x:c r="N32" s="189" t="n">
        <x:v>41251.00</x:v>
      </x:c>
      <x:c r="O32" s="191" t="str">
        <x:v>10/30/2018</x:v>
      </x:c>
      <x:c r="P32" s="189" t="n">
        <x:v>45017.00</x:v>
      </x:c>
      <x:c r="Q32" s="206" t="n">
        <x:v>0.012</x:v>
      </x:c>
      <x:c r="R32" s="206" t="n">
        <x:v>0.0139</x:v>
      </x:c>
      <x:c r="S32" s="189" t="n">
        <x:v>3117.00</x:v>
      </x:c>
      <x:c r="T32" s="187" t="n">
        <x:f ca="1">=IF(AND(U32=0,S32&gt;0),-100%,IF(OR(S32=0,S32="-"),"-",IF(AND(S32=0,U32=0),0%,IF(S32&lt;U32,SUM(U32-S32)/S32,IF(S32&gt;U32,SUM(-1*(S32-U32)/S32),"")))))</x:f>
        <x:v/>
      </x:c>
      <x:c r="U32" s="189" t="n">
        <x:v>3766.00</x:v>
      </x:c>
      <x:c r="V32" s="189" t="n">
        <x:f ca="1">=SUM(U32/ round((O32- M32)/30.42,0))</x:f>
        <x:v/>
      </x:c>
      <x:c r="W32" s="195">
        <x:f ca="1">=IF(T32="","",IF(T32="-","",IF(U32=0,"",IF(OR(T32&gt;AA4,T32&lt;-AA4),"*",""))))</x:f>
        <x:v/>
      </x:c>
      <x:c r="X32" s="91" t="str">
        <x:v/>
      </x:c>
    </x:row>
    <x:row r="33" spans="1:25" s="12" x14ac:dyDescent="0.25">
      <x:c r="A33" s="96" t="str">
        <x:v>28</x:v>
      </x:c>
      <x:c r="B33" s="192" t="str">
        <x:v>FPR55428</x:v>
      </x:c>
      <x:c r="C33" s="192" t="str">
        <x:v>HP LJ M402n</x:v>
      </x:c>
      <x:c r="D33" s="192" t="str">
        <x:v>B/W Copies and B/W Laser Prints</x:v>
      </x:c>
      <x:c r="E33" s="192" t="str">
        <x:v>PHBHB67948</x:v>
      </x:c>
      <x:c r="F33" s="192" t="str">
        <x:v>Active</x:v>
      </x:c>
      <x:c r="G33" s="192" t="str">
        <x:v>Corporate</x:v>
      </x:c>
      <x:c r="H33" s="192" t="str">
        <x:v/>
      </x:c>
      <x:c r="I33" s="192" t="str">
        <x:v/>
      </x:c>
      <x:c r="J33" s="192" t="str">
        <x:v>1</x:v>
      </x:c>
      <x:c r="K33" s="192" t="str">
        <x:v/>
      </x:c>
      <x:c r="L33" s="192" t="str">
        <x:v/>
      </x:c>
      <x:c r="M33" s="192" t="str">
        <x:v>6/30/2018</x:v>
      </x:c>
      <x:c r="N33" s="183" t="n">
        <x:v>9025.00</x:v>
      </x:c>
      <x:c r="O33" s="192" t="str">
        <x:v>11/9/2018</x:v>
      </x:c>
      <x:c r="P33" s="183" t="n">
        <x:v>12501.00</x:v>
      </x:c>
      <x:c r="Q33" s="207" t="n">
        <x:v>0.011</x:v>
      </x:c>
      <x:c r="R33" s="207" t="n">
        <x:v>0.0128</x:v>
      </x:c>
      <x:c r="S33" s="183" t="n">
        <x:v>2515.00</x:v>
      </x:c>
      <x:c r="T33" s="182" t="n">
        <x:f ca="1">=IF(AND(U33=0,S33&gt;0),-100%,IF(OR(S33=0,S33="-"),"-",IF(AND(S33=0,U33=0),0%,IF(S33&lt;U33,SUM(U33-S33)/S33,IF(S33&gt;U33,SUM(-1*(S33-U33)/S33),"")))))</x:f>
        <x:v/>
      </x:c>
      <x:c r="U33" s="183" t="n">
        <x:v>3476.00</x:v>
      </x:c>
      <x:c r="V33" s="183" t="n">
        <x:f ca="1">=SUM(U33/ round((O33- M33)/30.42,0))</x:f>
        <x:v/>
      </x:c>
      <x:c r="W33" s="196">
        <x:f ca="1">=IF(T33="","",IF(T33="-","",IF(U33=0,"",IF(OR(T33&gt;AA4,T33&lt;-AA4),"*",""))))</x:f>
        <x:v/>
      </x:c>
      <x:c r="X33" s="98" t="str">
        <x:v/>
      </x:c>
    </x:row>
    <x:row r="34" spans="1:25" s="12" x14ac:dyDescent="0.25">
      <x:c r="A34" s="90" t="str">
        <x:v>29</x:v>
      </x:c>
      <x:c r="B34" s="191" t="str">
        <x:v>FPR55315</x:v>
      </x:c>
      <x:c r="C34" s="191" t="str">
        <x:v>HP LJ M401dn</x:v>
      </x:c>
      <x:c r="D34" s="191" t="str">
        <x:v>B/W Copies and B/W Laser Prints</x:v>
      </x:c>
      <x:c r="E34" s="191" t="str">
        <x:v>PHGFB71374</x:v>
      </x:c>
      <x:c r="F34" s="191" t="str">
        <x:v>Active</x:v>
      </x:c>
      <x:c r="G34" s="191" t="str">
        <x:v>Corporate</x:v>
      </x:c>
      <x:c r="H34" s="191" t="str">
        <x:v/>
      </x:c>
      <x:c r="I34" s="191" t="str">
        <x:v/>
      </x:c>
      <x:c r="J34" s="191" t="str">
        <x:v>2</x:v>
      </x:c>
      <x:c r="K34" s="191" t="str">
        <x:v>Barbara Welch</x:v>
      </x:c>
      <x:c r="L34" s="191" t="str">
        <x:v>Corporate</x:v>
      </x:c>
      <x:c r="M34" s="191" t="str">
        <x:v>6/30/2018</x:v>
      </x:c>
      <x:c r="N34" s="189" t="n">
        <x:v>21315.00</x:v>
      </x:c>
      <x:c r="O34" s="191" t="str">
        <x:v>11/9/2018</x:v>
      </x:c>
      <x:c r="P34" s="189" t="n">
        <x:v>24462.00</x:v>
      </x:c>
      <x:c r="Q34" s="206" t="n">
        <x:v>0.01</x:v>
      </x:c>
      <x:c r="R34" s="206" t="n">
        <x:v>0.0116</x:v>
      </x:c>
      <x:c r="S34" s="189" t="n">
        <x:v>3386.00</x:v>
      </x:c>
      <x:c r="T34" s="187" t="n">
        <x:f ca="1">=IF(AND(U34=0,S34&gt;0),-100%,IF(OR(S34=0,S34="-"),"-",IF(AND(S34=0,U34=0),0%,IF(S34&lt;U34,SUM(U34-S34)/S34,IF(S34&gt;U34,SUM(-1*(S34-U34)/S34),"")))))</x:f>
        <x:v/>
      </x:c>
      <x:c r="U34" s="189" t="n">
        <x:v>3147.00</x:v>
      </x:c>
      <x:c r="V34" s="189" t="n">
        <x:f ca="1">=SUM(U34/ round((O34- M34)/30.42,0))</x:f>
        <x:v/>
      </x:c>
      <x:c r="W34" s="195">
        <x:f ca="1">=IF(T34="","",IF(T34="-","",IF(U34=0,"",IF(OR(T34&gt;AA4,T34&lt;-AA4),"*",""))))</x:f>
        <x:v/>
      </x:c>
      <x:c r="X34" s="91" t="str">
        <x:v/>
      </x:c>
    </x:row>
    <x:row r="35" spans="1:25" s="12" x14ac:dyDescent="0.25">
      <x:c r="A35" s="96" t="str">
        <x:v>30</x:v>
      </x:c>
      <x:c r="B35" s="192" t="str">
        <x:v>FPR55408</x:v>
      </x:c>
      <x:c r="C35" s="192" t="str">
        <x:v>HP LJ M521dn</x:v>
      </x:c>
      <x:c r="D35" s="192" t="str">
        <x:v>B/W Copies and B/W Laser Prints</x:v>
      </x:c>
      <x:c r="E35" s="192" t="str">
        <x:v>CNB7G74D90</x:v>
      </x:c>
      <x:c r="F35" s="192" t="str">
        <x:v>Active</x:v>
      </x:c>
      <x:c r="G35" s="192" t="str">
        <x:v>Waxahachie</x:v>
      </x:c>
      <x:c r="H35" s="192" t="str">
        <x:v/>
      </x:c>
      <x:c r="I35" s="192" t="str">
        <x:v>Drive Thru</x:v>
      </x:c>
      <x:c r="J35" s="192" t="str">
        <x:v/>
      </x:c>
      <x:c r="K35" s="192" t="str">
        <x:v/>
      </x:c>
      <x:c r="L35" s="192" t="str">
        <x:v>Waxahachie</x:v>
      </x:c>
      <x:c r="M35" s="192" t="str">
        <x:v>6/30/2018</x:v>
      </x:c>
      <x:c r="N35" s="183" t="n">
        <x:v>46913.00</x:v>
      </x:c>
      <x:c r="O35" s="192" t="str">
        <x:v>10/30/2018</x:v>
      </x:c>
      <x:c r="P35" s="183" t="n">
        <x:v>50026.00</x:v>
      </x:c>
      <x:c r="Q35" s="207" t="n">
        <x:v>0.0099</x:v>
      </x:c>
      <x:c r="R35" s="207" t="n">
        <x:v>0.0115</x:v>
      </x:c>
      <x:c r="S35" s="183" t="n">
        <x:v>2246.00</x:v>
      </x:c>
      <x:c r="T35" s="182" t="n">
        <x:f ca="1">=IF(AND(U35=0,S35&gt;0),-100%,IF(OR(S35=0,S35="-"),"-",IF(AND(S35=0,U35=0),0%,IF(S35&lt;U35,SUM(U35-S35)/S35,IF(S35&gt;U35,SUM(-1*(S35-U35)/S35),"")))))</x:f>
        <x:v/>
      </x:c>
      <x:c r="U35" s="183" t="n">
        <x:v>3113.00</x:v>
      </x:c>
      <x:c r="V35" s="183" t="n">
        <x:f ca="1">=SUM(U35/ round((O35- M35)/30.42,0))</x:f>
        <x:v/>
      </x:c>
      <x:c r="W35" s="196">
        <x:f ca="1">=IF(T35="","",IF(T35="-","",IF(U35=0,"",IF(OR(T35&gt;AA4,T35&lt;-AA4),"*",""))))</x:f>
        <x:v/>
      </x:c>
      <x:c r="X35" s="98" t="str">
        <x:v/>
      </x:c>
    </x:row>
    <x:row r="36" spans="1:25" s="12" x14ac:dyDescent="0.25">
      <x:c r="A36" s="90" t="str">
        <x:v>31</x:v>
      </x:c>
      <x:c r="B36" s="191" t="str">
        <x:v>FPR55351</x:v>
      </x:c>
      <x:c r="C36" s="191" t="str">
        <x:v>Konica Minolta BizHub C454e</x:v>
      </x:c>
      <x:c r="D36" s="191" t="str">
        <x:v>B/W Copies and B/W Laser Prints</x:v>
      </x:c>
      <x:c r="E36" s="191" t="str">
        <x:v>A5C0011021184</x:v>
      </x:c>
      <x:c r="F36" s="191" t="str">
        <x:v>Active</x:v>
      </x:c>
      <x:c r="G36" s="191" t="str">
        <x:v>Corporate</x:v>
      </x:c>
      <x:c r="H36" s="191" t="str">
        <x:v/>
      </x:c>
      <x:c r="I36" s="191" t="str">
        <x:v/>
      </x:c>
      <x:c r="J36" s="191" t="str">
        <x:v/>
      </x:c>
      <x:c r="K36" s="191" t="str">
        <x:v/>
      </x:c>
      <x:c r="L36" s="191" t="str">
        <x:v>Corporate</x:v>
      </x:c>
      <x:c r="M36" s="191" t="str">
        <x:v>6/30/2018</x:v>
      </x:c>
      <x:c r="N36" s="189" t="n">
        <x:v>15606.00</x:v>
      </x:c>
      <x:c r="O36" s="191" t="str">
        <x:v>10/30/2018</x:v>
      </x:c>
      <x:c r="P36" s="189" t="n">
        <x:v>18608.00</x:v>
      </x:c>
      <x:c r="Q36" s="206" t="n">
        <x:v>0.0095</x:v>
      </x:c>
      <x:c r="R36" s="206" t="n">
        <x:v>0.0111</x:v>
      </x:c>
      <x:c r="S36" s="189" t="n">
        <x:v>3925.00</x:v>
      </x:c>
      <x:c r="T36" s="187" t="n">
        <x:f ca="1">=IF(AND(U36=0,S36&gt;0),-100%,IF(OR(S36=0,S36="-"),"-",IF(AND(S36=0,U36=0),0%,IF(S36&lt;U36,SUM(U36-S36)/S36,IF(S36&gt;U36,SUM(-1*(S36-U36)/S36),"")))))</x:f>
        <x:v/>
      </x:c>
      <x:c r="U36" s="189" t="n">
        <x:v>3002.00</x:v>
      </x:c>
      <x:c r="V36" s="189" t="n">
        <x:f ca="1">=SUM(U36/ round((O36- M36)/30.42,0))</x:f>
        <x:v/>
      </x:c>
      <x:c r="W36" s="195">
        <x:f ca="1">=IF(T36="","",IF(T36="-","",IF(U36=0,"",IF(OR(T36&gt;AA4,T36&lt;-AA4),"*",""))))</x:f>
        <x:v/>
      </x:c>
      <x:c r="X36" s="91" t="str">
        <x:v/>
      </x:c>
    </x:row>
    <x:row r="37" spans="1:25" s="12" x14ac:dyDescent="0.25">
      <x:c r="A37" s="96" t="str">
        <x:v>32</x:v>
      </x:c>
      <x:c r="B37" s="192" t="str">
        <x:v>FPR55319</x:v>
      </x:c>
      <x:c r="C37" s="192" t="str">
        <x:v>HP LJ M401dn</x:v>
      </x:c>
      <x:c r="D37" s="192" t="str">
        <x:v>B/W Copies and B/W Laser Prints</x:v>
      </x:c>
      <x:c r="E37" s="192" t="str">
        <x:v>PHGFB71375</x:v>
      </x:c>
      <x:c r="F37" s="192" t="str">
        <x:v>Active</x:v>
      </x:c>
      <x:c r="G37" s="192" t="str">
        <x:v>Corporate</x:v>
      </x:c>
      <x:c r="H37" s="192" t="str">
        <x:v/>
      </x:c>
      <x:c r="I37" s="192" t="str">
        <x:v/>
      </x:c>
      <x:c r="J37" s="192" t="str">
        <x:v>2</x:v>
      </x:c>
      <x:c r="K37" s="192" t="str">
        <x:v>Ambre Zerbe</x:v>
      </x:c>
      <x:c r="L37" s="192" t="str">
        <x:v>Corporate</x:v>
      </x:c>
      <x:c r="M37" s="192" t="str">
        <x:v>6/30/2018</x:v>
      </x:c>
      <x:c r="N37" s="183" t="n">
        <x:v>23431.00</x:v>
      </x:c>
      <x:c r="O37" s="192" t="str">
        <x:v>11/9/2018</x:v>
      </x:c>
      <x:c r="P37" s="183" t="n">
        <x:v>26358.00</x:v>
      </x:c>
      <x:c r="Q37" s="207" t="n">
        <x:v>0.0093</x:v>
      </x:c>
      <x:c r="R37" s="207" t="n">
        <x:v>0.0108</x:v>
      </x:c>
      <x:c r="S37" s="183" t="n">
        <x:v>1157.00</x:v>
      </x:c>
      <x:c r="T37" s="182" t="n">
        <x:f ca="1">=IF(AND(U37=0,S37&gt;0),-100%,IF(OR(S37=0,S37="-"),"-",IF(AND(S37=0,U37=0),0%,IF(S37&lt;U37,SUM(U37-S37)/S37,IF(S37&gt;U37,SUM(-1*(S37-U37)/S37),"")))))</x:f>
        <x:v/>
      </x:c>
      <x:c r="U37" s="183" t="n">
        <x:v>2927.00</x:v>
      </x:c>
      <x:c r="V37" s="183" t="n">
        <x:f ca="1">=SUM(U37/ round((O37- M37)/30.42,0))</x:f>
        <x:v/>
      </x:c>
      <x:c r="W37" s="196">
        <x:f ca="1">=IF(T37="","",IF(T37="-","",IF(U37=0,"",IF(OR(T37&gt;AA4,T37&lt;-AA4),"*",""))))</x:f>
        <x:v/>
      </x:c>
      <x:c r="X37" s="98" t="str">
        <x:v/>
      </x:c>
    </x:row>
    <x:row r="38" spans="1:25" s="12" x14ac:dyDescent="0.25">
      <x:c r="A38" s="90" t="str">
        <x:v>33</x:v>
      </x:c>
      <x:c r="B38" s="191" t="str">
        <x:v>FPR55422</x:v>
      </x:c>
      <x:c r="C38" s="191" t="str">
        <x:v>HP LJ M425</x:v>
      </x:c>
      <x:c r="D38" s="191" t="str">
        <x:v>B/W Copies and B/W Laser Prints</x:v>
      </x:c>
      <x:c r="E38" s="191" t="str">
        <x:v>CNF8G4V725</x:v>
      </x:c>
      <x:c r="F38" s="191" t="str">
        <x:v>Active</x:v>
      </x:c>
      <x:c r="G38" s="191" t="str">
        <x:v>Frankford</x:v>
      </x:c>
      <x:c r="H38" s="191" t="str">
        <x:v/>
      </x:c>
      <x:c r="I38" s="191" t="str">
        <x:v/>
      </x:c>
      <x:c r="J38" s="191" t="str">
        <x:v/>
      </x:c>
      <x:c r="K38" s="191" t="str">
        <x:v/>
      </x:c>
      <x:c r="L38" s="191" t="str">
        <x:v/>
      </x:c>
      <x:c r="M38" s="191" t="str">
        <x:v>6/30/2018</x:v>
      </x:c>
      <x:c r="N38" s="189" t="n">
        <x:v>12421.00</x:v>
      </x:c>
      <x:c r="O38" s="191" t="str">
        <x:v>10/30/2018</x:v>
      </x:c>
      <x:c r="P38" s="189" t="n">
        <x:v>15184.00</x:v>
      </x:c>
      <x:c r="Q38" s="206" t="n">
        <x:v>0.0088</x:v>
      </x:c>
      <x:c r="R38" s="206" t="n">
        <x:v>0.0102</x:v>
      </x:c>
      <x:c r="S38" s="189" t="n">
        <x:v>2103.00</x:v>
      </x:c>
      <x:c r="T38" s="187" t="n">
        <x:f ca="1">=IF(AND(U38=0,S38&gt;0),-100%,IF(OR(S38=0,S38="-"),"-",IF(AND(S38=0,U38=0),0%,IF(S38&lt;U38,SUM(U38-S38)/S38,IF(S38&gt;U38,SUM(-1*(S38-U38)/S38),"")))))</x:f>
        <x:v/>
      </x:c>
      <x:c r="U38" s="189" t="n">
        <x:v>2763.00</x:v>
      </x:c>
      <x:c r="V38" s="189" t="n">
        <x:f ca="1">=SUM(U38/ round((O38- M38)/30.42,0))</x:f>
        <x:v/>
      </x:c>
      <x:c r="W38" s="195">
        <x:f ca="1">=IF(T38="","",IF(T38="-","",IF(U38=0,"",IF(OR(T38&gt;AA4,T38&lt;-AA4),"*",""))))</x:f>
        <x:v/>
      </x:c>
      <x:c r="X38" s="91" t="str">
        <x:v/>
      </x:c>
    </x:row>
    <x:row r="39" spans="1:25" s="12" x14ac:dyDescent="0.25">
      <x:c r="A39" s="96" t="str">
        <x:v>34</x:v>
      </x:c>
      <x:c r="B39" s="192" t="str">
        <x:v>FPR55310</x:v>
      </x:c>
      <x:c r="C39" s="192" t="str">
        <x:v>HP LJ M401n</x:v>
      </x:c>
      <x:c r="D39" s="192" t="str">
        <x:v>B/W Copies and B/W Laser Prints</x:v>
      </x:c>
      <x:c r="E39" s="192" t="str">
        <x:v>PHGDC61372</x:v>
      </x:c>
      <x:c r="F39" s="192" t="str">
        <x:v>Active</x:v>
      </x:c>
      <x:c r="G39" s="192" t="str">
        <x:v>Corporate</x:v>
      </x:c>
      <x:c r="H39" s="192" t="str">
        <x:v/>
      </x:c>
      <x:c r="I39" s="192" t="str">
        <x:v/>
      </x:c>
      <x:c r="J39" s="192" t="str">
        <x:v>1</x:v>
      </x:c>
      <x:c r="K39" s="192" t="str">
        <x:v>Sandra W.</x:v>
      </x:c>
      <x:c r="L39" s="192" t="str">
        <x:v>Corporate</x:v>
      </x:c>
      <x:c r="M39" s="192" t="str">
        <x:v>6/30/2018</x:v>
      </x:c>
      <x:c r="N39" s="183" t="n">
        <x:v>30889.00</x:v>
      </x:c>
      <x:c r="O39" s="192" t="str">
        <x:v>11/9/2018</x:v>
      </x:c>
      <x:c r="P39" s="183" t="n">
        <x:v>33252.00</x:v>
      </x:c>
      <x:c r="Q39" s="207" t="n">
        <x:v>0.0075</x:v>
      </x:c>
      <x:c r="R39" s="207" t="n">
        <x:v>0.0087</x:v>
      </x:c>
      <x:c r="S39" s="183" t="n">
        <x:v>2272.00</x:v>
      </x:c>
      <x:c r="T39" s="182" t="n">
        <x:f ca="1">=IF(AND(U39=0,S39&gt;0),-100%,IF(OR(S39=0,S39="-"),"-",IF(AND(S39=0,U39=0),0%,IF(S39&lt;U39,SUM(U39-S39)/S39,IF(S39&gt;U39,SUM(-1*(S39-U39)/S39),"")))))</x:f>
        <x:v/>
      </x:c>
      <x:c r="U39" s="183" t="n">
        <x:v>2363.00</x:v>
      </x:c>
      <x:c r="V39" s="183" t="n">
        <x:f ca="1">=SUM(U39/ round((O39- M39)/30.42,0))</x:f>
        <x:v/>
      </x:c>
      <x:c r="W39" s="196">
        <x:f ca="1">=IF(T39="","",IF(T39="-","",IF(U39=0,"",IF(OR(T39&gt;AA4,T39&lt;-AA4),"*",""))))</x:f>
        <x:v/>
      </x:c>
      <x:c r="X39" s="98" t="str">
        <x:v/>
      </x:c>
    </x:row>
    <x:row r="40" spans="1:25" s="12" x14ac:dyDescent="0.25">
      <x:c r="A40" s="90" t="str">
        <x:v>35</x:v>
      </x:c>
      <x:c r="B40" s="191" t="str">
        <x:v>FPR55404</x:v>
      </x:c>
      <x:c r="C40" s="191" t="str">
        <x:v>HP LJ M401dn</x:v>
      </x:c>
      <x:c r="D40" s="191" t="str">
        <x:v>B/W Copies and B/W Laser Prints</x:v>
      </x:c>
      <x:c r="E40" s="191" t="str">
        <x:v>PHGFG64035</x:v>
      </x:c>
      <x:c r="F40" s="191" t="str">
        <x:v>Active</x:v>
      </x:c>
      <x:c r="G40" s="191" t="str">
        <x:v>Duncanville</x:v>
      </x:c>
      <x:c r="H40" s="191" t="str">
        <x:v/>
      </x:c>
      <x:c r="I40" s="191" t="str">
        <x:v>Last Office on Left</x:v>
      </x:c>
      <x:c r="J40" s="191" t="str">
        <x:v/>
      </x:c>
      <x:c r="K40" s="191" t="str">
        <x:v>Starleisha</x:v>
      </x:c>
      <x:c r="L40" s="191" t="str">
        <x:v>Duncanville</x:v>
      </x:c>
      <x:c r="M40" s="191" t="str">
        <x:v>6/30/2018</x:v>
      </x:c>
      <x:c r="N40" s="189" t="n">
        <x:v>23870.00</x:v>
      </x:c>
      <x:c r="O40" s="191" t="str">
        <x:v>11/10/2018</x:v>
      </x:c>
      <x:c r="P40" s="189" t="n">
        <x:v>26146.00</x:v>
      </x:c>
      <x:c r="Q40" s="206" t="n">
        <x:v>0.0072</x:v>
      </x:c>
      <x:c r="R40" s="206" t="n">
        <x:v>0.0084</x:v>
      </x:c>
      <x:c r="S40" s="189" t="n">
        <x:v>593.00</x:v>
      </x:c>
      <x:c r="T40" s="187" t="n">
        <x:f ca="1">=IF(AND(U40=0,S40&gt;0),-100%,IF(OR(S40=0,S40="-"),"-",IF(AND(S40=0,U40=0),0%,IF(S40&lt;U40,SUM(U40-S40)/S40,IF(S40&gt;U40,SUM(-1*(S40-U40)/S40),"")))))</x:f>
        <x:v/>
      </x:c>
      <x:c r="U40" s="189" t="n">
        <x:v>2276.00</x:v>
      </x:c>
      <x:c r="V40" s="189" t="n">
        <x:f ca="1">=SUM(U40/ round((O40- M40)/30.42,0))</x:f>
        <x:v/>
      </x:c>
      <x:c r="W40" s="195">
        <x:f ca="1">=IF(T40="","",IF(T40="-","",IF(U40=0,"",IF(OR(T40&gt;AA4,T40&lt;-AA4),"*",""))))</x:f>
        <x:v/>
      </x:c>
      <x:c r="X40" s="91" t="str">
        <x:v/>
      </x:c>
    </x:row>
    <x:row r="41" spans="1:25" s="12" x14ac:dyDescent="0.25">
      <x:c r="A41" s="96" t="str">
        <x:v>36</x:v>
      </x:c>
      <x:c r="B41" s="192" t="str">
        <x:v>FPR55360</x:v>
      </x:c>
      <x:c r="C41" s="192" t="str">
        <x:v>HP LJ P3015</x:v>
      </x:c>
      <x:c r="D41" s="192" t="str">
        <x:v>B/W Copies and B/W Laser Prints</x:v>
      </x:c>
      <x:c r="E41" s="192" t="str">
        <x:v>VNB3137896</x:v>
      </x:c>
      <x:c r="F41" s="192" t="str">
        <x:v>Active</x:v>
      </x:c>
      <x:c r="G41" s="192" t="str">
        <x:v>Oak Cliff</x:v>
      </x:c>
      <x:c r="H41" s="192" t="str">
        <x:v/>
      </x:c>
      <x:c r="I41" s="192" t="str">
        <x:v>Teller</x:v>
      </x:c>
      <x:c r="J41" s="192" t="str">
        <x:v/>
      </x:c>
      <x:c r="K41" s="192" t="str">
        <x:v/>
      </x:c>
      <x:c r="L41" s="192" t="str">
        <x:v>Oak Cliff</x:v>
      </x:c>
      <x:c r="M41" s="192" t="str">
        <x:v>6/30/2018</x:v>
      </x:c>
      <x:c r="N41" s="183" t="n">
        <x:v>28281.00</x:v>
      </x:c>
      <x:c r="O41" s="192" t="str">
        <x:v>11/10/2018</x:v>
      </x:c>
      <x:c r="P41" s="183" t="n">
        <x:v>30235.00</x:v>
      </x:c>
      <x:c r="Q41" s="207" t="n">
        <x:v>0.0062</x:v>
      </x:c>
      <x:c r="R41" s="207" t="n">
        <x:v>0.0072</x:v>
      </x:c>
      <x:c r="S41" s="183" t="n">
        <x:v>1305.00</x:v>
      </x:c>
      <x:c r="T41" s="182" t="n">
        <x:f ca="1">=IF(AND(U41=0,S41&gt;0),-100%,IF(OR(S41=0,S41="-"),"-",IF(AND(S41=0,U41=0),0%,IF(S41&lt;U41,SUM(U41-S41)/S41,IF(S41&gt;U41,SUM(-1*(S41-U41)/S41),"")))))</x:f>
        <x:v/>
      </x:c>
      <x:c r="U41" s="183" t="n">
        <x:v>1954.00</x:v>
      </x:c>
      <x:c r="V41" s="183" t="n">
        <x:f ca="1">=SUM(U41/ round((O41- M41)/30.42,0))</x:f>
        <x:v/>
      </x:c>
      <x:c r="W41" s="196">
        <x:f ca="1">=IF(T41="","",IF(T41="-","",IF(U41=0,"",IF(OR(T41&gt;AA4,T41&lt;-AA4),"*",""))))</x:f>
        <x:v/>
      </x:c>
      <x:c r="X41" s="98" t="str">
        <x:v/>
      </x:c>
    </x:row>
    <x:row r="42" spans="1:25" s="12" x14ac:dyDescent="0.25">
      <x:c r="A42" s="90" t="str">
        <x:v>37</x:v>
      </x:c>
      <x:c r="B42" s="191" t="str">
        <x:v>FPR55306</x:v>
      </x:c>
      <x:c r="C42" s="191" t="str">
        <x:v>HP LJ M401dn</x:v>
      </x:c>
      <x:c r="D42" s="191" t="str">
        <x:v>B/W Copies and B/W Laser Prints</x:v>
      </x:c>
      <x:c r="E42" s="191" t="str">
        <x:v>PHGFB71377</x:v>
      </x:c>
      <x:c r="F42" s="191" t="str">
        <x:v>Active</x:v>
      </x:c>
      <x:c r="G42" s="191" t="str">
        <x:v>Corporate</x:v>
      </x:c>
      <x:c r="H42" s="191" t="str">
        <x:v/>
      </x:c>
      <x:c r="I42" s="191" t="str">
        <x:v/>
      </x:c>
      <x:c r="J42" s="191" t="str">
        <x:v>2</x:v>
      </x:c>
      <x:c r="K42" s="191" t="str">
        <x:v>Mitchell Clark</x:v>
      </x:c>
      <x:c r="L42" s="191" t="str">
        <x:v>Corporate</x:v>
      </x:c>
      <x:c r="M42" s="191" t="str">
        <x:v>6/30/2018</x:v>
      </x:c>
      <x:c r="N42" s="189" t="n">
        <x:v>2371.00</x:v>
      </x:c>
      <x:c r="O42" s="191" t="str">
        <x:v>11/10/2018</x:v>
      </x:c>
      <x:c r="P42" s="189" t="n">
        <x:v>4233.00</x:v>
      </x:c>
      <x:c r="Q42" s="206" t="n">
        <x:v>0.0059</x:v>
      </x:c>
      <x:c r="R42" s="206" t="n">
        <x:v>0.0069</x:v>
      </x:c>
      <x:c r="S42" s="189" t="n">
        <x:v>141.00</x:v>
      </x:c>
      <x:c r="T42" s="187" t="n">
        <x:f ca="1">=IF(AND(U42=0,S42&gt;0),-100%,IF(OR(S42=0,S42="-"),"-",IF(AND(S42=0,U42=0),0%,IF(S42&lt;U42,SUM(U42-S42)/S42,IF(S42&gt;U42,SUM(-1*(S42-U42)/S42),"")))))</x:f>
        <x:v/>
      </x:c>
      <x:c r="U42" s="189" t="n">
        <x:v>1862.00</x:v>
      </x:c>
      <x:c r="V42" s="189" t="n">
        <x:f ca="1">=SUM(U42/ round((O42- M42)/30.42,0))</x:f>
        <x:v/>
      </x:c>
      <x:c r="W42" s="195">
        <x:f ca="1">=IF(T42="","",IF(T42="-","",IF(U42=0,"",IF(OR(T42&gt;AA4,T42&lt;-AA4),"*",""))))</x:f>
        <x:v/>
      </x:c>
      <x:c r="X42" s="91" t="str">
        <x:v/>
      </x:c>
    </x:row>
    <x:row r="43" spans="1:25" s="12" x14ac:dyDescent="0.25">
      <x:c r="A43" s="96" t="str">
        <x:v>38</x:v>
      </x:c>
      <x:c r="B43" s="192" t="str">
        <x:v>FPR55388</x:v>
      </x:c>
      <x:c r="C43" s="192" t="str">
        <x:v>HP LJ M521dn</x:v>
      </x:c>
      <x:c r="D43" s="192" t="str">
        <x:v>B/W Copies and B/W Laser Prints</x:v>
      </x:c>
      <x:c r="E43" s="192" t="str">
        <x:v>CNB7G3PJ6Y</x:v>
      </x:c>
      <x:c r="F43" s="192" t="str">
        <x:v>Active</x:v>
      </x:c>
      <x:c r="G43" s="192" t="str">
        <x:v>Corporate</x:v>
      </x:c>
      <x:c r="H43" s="192" t="str">
        <x:v/>
      </x:c>
      <x:c r="I43" s="192" t="str">
        <x:v>Storage Room</x:v>
      </x:c>
      <x:c r="J43" s="192" t="str">
        <x:v>1</x:v>
      </x:c>
      <x:c r="K43" s="192" t="str">
        <x:v/>
      </x:c>
      <x:c r="L43" s="192" t="str">
        <x:v>Corporate</x:v>
      </x:c>
      <x:c r="M43" s="192" t="str">
        <x:v>6/30/2018</x:v>
      </x:c>
      <x:c r="N43" s="183" t="n">
        <x:v>53676.00</x:v>
      </x:c>
      <x:c r="O43" s="192" t="str">
        <x:v>10/30/2018</x:v>
      </x:c>
      <x:c r="P43" s="183" t="n">
        <x:v>55476.00</x:v>
      </x:c>
      <x:c r="Q43" s="207" t="n">
        <x:v>0.0057</x:v>
      </x:c>
      <x:c r="R43" s="207" t="n">
        <x:v>0.0066</x:v>
      </x:c>
      <x:c r="S43" s="183" t="n">
        <x:v>791.00</x:v>
      </x:c>
      <x:c r="T43" s="182" t="n">
        <x:f ca="1">=IF(AND(U43=0,S43&gt;0),-100%,IF(OR(S43=0,S43="-"),"-",IF(AND(S43=0,U43=0),0%,IF(S43&lt;U43,SUM(U43-S43)/S43,IF(S43&gt;U43,SUM(-1*(S43-U43)/S43),"")))))</x:f>
        <x:v/>
      </x:c>
      <x:c r="U43" s="183" t="n">
        <x:v>1800.00</x:v>
      </x:c>
      <x:c r="V43" s="183" t="n">
        <x:f ca="1">=SUM(U43/ round((O43- M43)/30.42,0))</x:f>
        <x:v/>
      </x:c>
      <x:c r="W43" s="196">
        <x:f ca="1">=IF(T43="","",IF(T43="-","",IF(U43=0,"",IF(OR(T43&gt;AA4,T43&lt;-AA4),"*",""))))</x:f>
        <x:v/>
      </x:c>
      <x:c r="X43" s="98" t="str">
        <x:v/>
      </x:c>
    </x:row>
    <x:row r="44" spans="1:25" s="12" x14ac:dyDescent="0.25">
      <x:c r="A44" s="90" t="str">
        <x:v>39</x:v>
      </x:c>
      <x:c r="B44" s="191" t="str">
        <x:v>FPR55393</x:v>
      </x:c>
      <x:c r="C44" s="191" t="str">
        <x:v>Konica Minolta BizHub C454e</x:v>
      </x:c>
      <x:c r="D44" s="191" t="str">
        <x:v>B/W Copies and B/W Laser Prints</x:v>
      </x:c>
      <x:c r="E44" s="191" t="str">
        <x:v>A5C0011021071</x:v>
      </x:c>
      <x:c r="F44" s="191" t="str">
        <x:v>Active</x:v>
      </x:c>
      <x:c r="G44" s="191" t="str">
        <x:v>Dallas</x:v>
      </x:c>
      <x:c r="H44" s="191" t="str">
        <x:v/>
      </x:c>
      <x:c r="I44" s="191" t="str">
        <x:v/>
      </x:c>
      <x:c r="J44" s="191" t="str">
        <x:v/>
      </x:c>
      <x:c r="K44" s="191" t="str">
        <x:v/>
      </x:c>
      <x:c r="L44" s="191" t="str">
        <x:v/>
      </x:c>
      <x:c r="M44" s="191" t="str">
        <x:v>6/30/2018</x:v>
      </x:c>
      <x:c r="N44" s="189" t="n">
        <x:v>47246.00</x:v>
      </x:c>
      <x:c r="O44" s="191" t="str">
        <x:v>10/31/2018</x:v>
      </x:c>
      <x:c r="P44" s="189" t="n">
        <x:v>48968.00</x:v>
      </x:c>
      <x:c r="Q44" s="206" t="n">
        <x:v>0.0055</x:v>
      </x:c>
      <x:c r="R44" s="206" t="n">
        <x:v>0.0063</x:v>
      </x:c>
      <x:c r="S44" s="189" t="n">
        <x:v>3616.00</x:v>
      </x:c>
      <x:c r="T44" s="187" t="n">
        <x:f ca="1">=IF(AND(U44=0,S44&gt;0),-100%,IF(OR(S44=0,S44="-"),"-",IF(AND(S44=0,U44=0),0%,IF(S44&lt;U44,SUM(U44-S44)/S44,IF(S44&gt;U44,SUM(-1*(S44-U44)/S44),"")))))</x:f>
        <x:v/>
      </x:c>
      <x:c r="U44" s="189" t="n">
        <x:v>1722.00</x:v>
      </x:c>
      <x:c r="V44" s="189" t="n">
        <x:f ca="1">=SUM(U44/ round((O44- M44)/30.42,0))</x:f>
        <x:v/>
      </x:c>
      <x:c r="W44" s="195">
        <x:f ca="1">=IF(T44="","",IF(T44="-","",IF(U44=0,"",IF(OR(T44&gt;AA4,T44&lt;-AA4),"*",""))))</x:f>
        <x:v/>
      </x:c>
      <x:c r="X44" s="91" t="str">
        <x:v/>
      </x:c>
    </x:row>
    <x:row r="45" spans="1:25" s="12" x14ac:dyDescent="0.25">
      <x:c r="A45" s="96" t="str">
        <x:v>40</x:v>
      </x:c>
      <x:c r="B45" s="192" t="str">
        <x:v>FPR55413</x:v>
      </x:c>
      <x:c r="C45" s="192" t="str">
        <x:v>HP LJ P3015</x:v>
      </x:c>
      <x:c r="D45" s="192" t="str">
        <x:v>B/W Copies and B/W Laser Prints</x:v>
      </x:c>
      <x:c r="E45" s="192" t="str">
        <x:v>VND3R15353</x:v>
      </x:c>
      <x:c r="F45" s="192" t="str">
        <x:v>Active</x:v>
      </x:c>
      <x:c r="G45" s="192" t="str">
        <x:v>Sherman</x:v>
      </x:c>
      <x:c r="H45" s="192" t="str">
        <x:v/>
      </x:c>
      <x:c r="I45" s="192" t="str">
        <x:v/>
      </x:c>
      <x:c r="J45" s="192" t="str">
        <x:v/>
      </x:c>
      <x:c r="K45" s="192" t="str">
        <x:v/>
      </x:c>
      <x:c r="L45" s="192" t="str">
        <x:v>Sherman</x:v>
      </x:c>
      <x:c r="M45" s="192" t="str">
        <x:v>6/30/2018</x:v>
      </x:c>
      <x:c r="N45" s="183" t="n">
        <x:v>6119.00</x:v>
      </x:c>
      <x:c r="O45" s="192" t="str">
        <x:v>10/31/2018</x:v>
      </x:c>
      <x:c r="P45" s="183" t="n">
        <x:v>7819.00</x:v>
      </x:c>
      <x:c r="Q45" s="207" t="n">
        <x:v>0.0054</x:v>
      </x:c>
      <x:c r="R45" s="207" t="n">
        <x:v>0.0063</x:v>
      </x:c>
      <x:c r="S45" s="183" t="n">
        <x:v>1272.00</x:v>
      </x:c>
      <x:c r="T45" s="182" t="n">
        <x:f ca="1">=IF(AND(U45=0,S45&gt;0),-100%,IF(OR(S45=0,S45="-"),"-",IF(AND(S45=0,U45=0),0%,IF(S45&lt;U45,SUM(U45-S45)/S45,IF(S45&gt;U45,SUM(-1*(S45-U45)/S45),"")))))</x:f>
        <x:v/>
      </x:c>
      <x:c r="U45" s="183" t="n">
        <x:v>1700.00</x:v>
      </x:c>
      <x:c r="V45" s="183" t="n">
        <x:f ca="1">=SUM(U45/ round((O45- M45)/30.42,0))</x:f>
        <x:v/>
      </x:c>
      <x:c r="W45" s="196">
        <x:f ca="1">=IF(T45="","",IF(T45="-","",IF(U45=0,"",IF(OR(T45&gt;AA4,T45&lt;-AA4),"*",""))))</x:f>
        <x:v/>
      </x:c>
      <x:c r="X45" s="98" t="str">
        <x:v/>
      </x:c>
    </x:row>
    <x:row r="46" spans="1:25" s="12" x14ac:dyDescent="0.25">
      <x:c r="A46" s="90" t="str">
        <x:v>41</x:v>
      </x:c>
      <x:c r="B46" s="191" t="str">
        <x:v>FPR55309</x:v>
      </x:c>
      <x:c r="C46" s="191" t="str">
        <x:v>HP LJ M401n</x:v>
      </x:c>
      <x:c r="D46" s="191" t="str">
        <x:v>B/W Copies and B/W Laser Prints</x:v>
      </x:c>
      <x:c r="E46" s="191" t="str">
        <x:v>PHGDC61351</x:v>
      </x:c>
      <x:c r="F46" s="191" t="str">
        <x:v>Active</x:v>
      </x:c>
      <x:c r="G46" s="191" t="str">
        <x:v>Corporate</x:v>
      </x:c>
      <x:c r="H46" s="191" t="str">
        <x:v/>
      </x:c>
      <x:c r="I46" s="191" t="str">
        <x:v/>
      </x:c>
      <x:c r="J46" s="191" t="str">
        <x:v>2</x:v>
      </x:c>
      <x:c r="K46" s="191" t="str">
        <x:v>Julie</x:v>
      </x:c>
      <x:c r="L46" s="191" t="str">
        <x:v>Corporate</x:v>
      </x:c>
      <x:c r="M46" s="191" t="str">
        <x:v>6/30/2018</x:v>
      </x:c>
      <x:c r="N46" s="189" t="n">
        <x:v>15194.00</x:v>
      </x:c>
      <x:c r="O46" s="191" t="str">
        <x:v>11/9/2018</x:v>
      </x:c>
      <x:c r="P46" s="189" t="n">
        <x:v>16887.00</x:v>
      </x:c>
      <x:c r="Q46" s="206" t="n">
        <x:v>0.0054</x:v>
      </x:c>
      <x:c r="R46" s="206" t="n">
        <x:v>0.0062</x:v>
      </x:c>
      <x:c r="S46" s="189" t="n">
        <x:v>1361.00</x:v>
      </x:c>
      <x:c r="T46" s="187" t="n">
        <x:f ca="1">=IF(AND(U46=0,S46&gt;0),-100%,IF(OR(S46=0,S46="-"),"-",IF(AND(S46=0,U46=0),0%,IF(S46&lt;U46,SUM(U46-S46)/S46,IF(S46&gt;U46,SUM(-1*(S46-U46)/S46),"")))))</x:f>
        <x:v/>
      </x:c>
      <x:c r="U46" s="189" t="n">
        <x:v>1693.00</x:v>
      </x:c>
      <x:c r="V46" s="189" t="n">
        <x:f ca="1">=SUM(U46/ round((O46- M46)/30.42,0))</x:f>
        <x:v/>
      </x:c>
      <x:c r="W46" s="195">
        <x:f ca="1">=IF(T46="","",IF(T46="-","",IF(U46=0,"",IF(OR(T46&gt;AA4,T46&lt;-AA4),"*",""))))</x:f>
        <x:v/>
      </x:c>
      <x:c r="X46" s="91" t="str">
        <x:v/>
      </x:c>
    </x:row>
    <x:row r="47" spans="1:25" s="12" x14ac:dyDescent="0.25">
      <x:c r="A47" s="96" t="str">
        <x:v>42</x:v>
      </x:c>
      <x:c r="B47" s="192" t="str">
        <x:v>FPR55390</x:v>
      </x:c>
      <x:c r="C47" s="192" t="str">
        <x:v>HP LJ M521dn</x:v>
      </x:c>
      <x:c r="D47" s="192" t="str">
        <x:v>B/W Copies and B/W Laser Prints</x:v>
      </x:c>
      <x:c r="E47" s="192" t="str">
        <x:v>CNB7G7T20G</x:v>
      </x:c>
      <x:c r="F47" s="192" t="str">
        <x:v>Active</x:v>
      </x:c>
      <x:c r="G47" s="192" t="str">
        <x:v>Corporate</x:v>
      </x:c>
      <x:c r="H47" s="192" t="str">
        <x:v/>
      </x:c>
      <x:c r="I47" s="192" t="str">
        <x:v>IT Dept</x:v>
      </x:c>
      <x:c r="J47" s="192" t="str">
        <x:v>1</x:v>
      </x:c>
      <x:c r="K47" s="192" t="str">
        <x:v/>
      </x:c>
      <x:c r="L47" s="192" t="str">
        <x:v>Corporate</x:v>
      </x:c>
      <x:c r="M47" s="192" t="str">
        <x:v>6/30/2018</x:v>
      </x:c>
      <x:c r="N47" s="183" t="n">
        <x:v>19310.00</x:v>
      </x:c>
      <x:c r="O47" s="192" t="str">
        <x:v>10/30/2018</x:v>
      </x:c>
      <x:c r="P47" s="183" t="n">
        <x:v>20954.00</x:v>
      </x:c>
      <x:c r="Q47" s="207" t="n">
        <x:v>0.0052</x:v>
      </x:c>
      <x:c r="R47" s="207" t="n">
        <x:v>0.0061</x:v>
      </x:c>
      <x:c r="S47" s="183" t="n">
        <x:v>1241.00</x:v>
      </x:c>
      <x:c r="T47" s="182" t="n">
        <x:f ca="1">=IF(AND(U47=0,S47&gt;0),-100%,IF(OR(S47=0,S47="-"),"-",IF(AND(S47=0,U47=0),0%,IF(S47&lt;U47,SUM(U47-S47)/S47,IF(S47&gt;U47,SUM(-1*(S47-U47)/S47),"")))))</x:f>
        <x:v/>
      </x:c>
      <x:c r="U47" s="183" t="n">
        <x:v>1644.00</x:v>
      </x:c>
      <x:c r="V47" s="183" t="n">
        <x:f ca="1">=SUM(U47/ round((O47- M47)/30.42,0))</x:f>
        <x:v/>
      </x:c>
      <x:c r="W47" s="196">
        <x:f ca="1">=IF(T47="","",IF(T47="-","",IF(U47=0,"",IF(OR(T47&gt;AA4,T47&lt;-AA4),"*",""))))</x:f>
        <x:v/>
      </x:c>
      <x:c r="X47" s="98" t="str">
        <x:v/>
      </x:c>
    </x:row>
    <x:row r="48" spans="1:25" s="12" x14ac:dyDescent="0.25">
      <x:c r="A48" s="90" t="str">
        <x:v>43</x:v>
      </x:c>
      <x:c r="B48" s="191" t="str">
        <x:v>FPR55364</x:v>
      </x:c>
      <x:c r="C48" s="191" t="str">
        <x:v>HP LJ M426fdn</x:v>
      </x:c>
      <x:c r="D48" s="191" t="str">
        <x:v>B/W Copies and B/W Laser Prints</x:v>
      </x:c>
      <x:c r="E48" s="191" t="str">
        <x:v>PHBLK8JF9V</x:v>
      </x:c>
      <x:c r="F48" s="191" t="str">
        <x:v>Active</x:v>
      </x:c>
      <x:c r="G48" s="191" t="str">
        <x:v>Frankford</x:v>
      </x:c>
      <x:c r="H48" s="191" t="str">
        <x:v/>
      </x:c>
      <x:c r="I48" s="191" t="str">
        <x:v>Back Office</x:v>
      </x:c>
      <x:c r="J48" s="191" t="str">
        <x:v/>
      </x:c>
      <x:c r="K48" s="191" t="str">
        <x:v/>
      </x:c>
      <x:c r="L48" s="191" t="str">
        <x:v/>
      </x:c>
      <x:c r="M48" s="191" t="str">
        <x:v>6/30/2018</x:v>
      </x:c>
      <x:c r="N48" s="189" t="n">
        <x:v>2999.00</x:v>
      </x:c>
      <x:c r="O48" s="191" t="str">
        <x:v>10/30/2018</x:v>
      </x:c>
      <x:c r="P48" s="189" t="n">
        <x:v>4604.00</x:v>
      </x:c>
      <x:c r="Q48" s="206" t="n">
        <x:v>0.0051</x:v>
      </x:c>
      <x:c r="R48" s="206" t="n">
        <x:v>0.0059</x:v>
      </x:c>
      <x:c r="S48" s="189" t="n">
        <x:v>1168.00</x:v>
      </x:c>
      <x:c r="T48" s="187" t="n">
        <x:f ca="1">=IF(AND(U48=0,S48&gt;0),-100%,IF(OR(S48=0,S48="-"),"-",IF(AND(S48=0,U48=0),0%,IF(S48&lt;U48,SUM(U48-S48)/S48,IF(S48&gt;U48,SUM(-1*(S48-U48)/S48),"")))))</x:f>
        <x:v/>
      </x:c>
      <x:c r="U48" s="189" t="n">
        <x:v>1605.00</x:v>
      </x:c>
      <x:c r="V48" s="189" t="n">
        <x:f ca="1">=SUM(U48/ round((O48- M48)/30.42,0))</x:f>
        <x:v/>
      </x:c>
      <x:c r="W48" s="195">
        <x:f ca="1">=IF(T48="","",IF(T48="-","",IF(U48=0,"",IF(OR(T48&gt;AA4,T48&lt;-AA4),"*",""))))</x:f>
        <x:v/>
      </x:c>
      <x:c r="X48" s="91" t="str">
        <x:v/>
      </x:c>
    </x:row>
    <x:row r="49" spans="1:25" s="12" x14ac:dyDescent="0.25">
      <x:c r="A49" s="96" t="str">
        <x:v>44</x:v>
      </x:c>
      <x:c r="B49" s="192" t="str">
        <x:v>FPR55500</x:v>
      </x:c>
      <x:c r="C49" s="192" t="str">
        <x:v>HP LJ M401n</x:v>
      </x:c>
      <x:c r="D49" s="192" t="str">
        <x:v>B/W Copies and B/W Laser Prints</x:v>
      </x:c>
      <x:c r="E49" s="192" t="str">
        <x:v>PHGDC61347</x:v>
      </x:c>
      <x:c r="F49" s="192" t="str">
        <x:v>Active</x:v>
      </x:c>
      <x:c r="G49" s="192" t="str">
        <x:v>Duncanville</x:v>
      </x:c>
      <x:c r="H49" s="192" t="str">
        <x:v/>
      </x:c>
      <x:c r="I49" s="192" t="str">
        <x:v>Branch Manager</x:v>
      </x:c>
      <x:c r="J49" s="192" t="str">
        <x:v/>
      </x:c>
      <x:c r="K49" s="192" t="str">
        <x:v>Chanda</x:v>
      </x:c>
      <x:c r="L49" s="192" t="str">
        <x:v>Duncanville</x:v>
      </x:c>
      <x:c r="M49" s="192" t="str">
        <x:v>6/30/2018</x:v>
      </x:c>
      <x:c r="N49" s="183" t="n">
        <x:v>7660.00</x:v>
      </x:c>
      <x:c r="O49" s="192" t="str">
        <x:v>11/10/2018</x:v>
      </x:c>
      <x:c r="P49" s="183" t="n">
        <x:v>9246.00</x:v>
      </x:c>
      <x:c r="Q49" s="207" t="n">
        <x:v>0.005</x:v>
      </x:c>
      <x:c r="R49" s="207" t="n">
        <x:v>0.0058</x:v>
      </x:c>
      <x:c r="S49" s="183" t="n">
        <x:v>728.00</x:v>
      </x:c>
      <x:c r="T49" s="182" t="n">
        <x:f ca="1">=IF(AND(U49=0,S49&gt;0),-100%,IF(OR(S49=0,S49="-"),"-",IF(AND(S49=0,U49=0),0%,IF(S49&lt;U49,SUM(U49-S49)/S49,IF(S49&gt;U49,SUM(-1*(S49-U49)/S49),"")))))</x:f>
        <x:v/>
      </x:c>
      <x:c r="U49" s="183" t="n">
        <x:v>1586.00</x:v>
      </x:c>
      <x:c r="V49" s="183" t="n">
        <x:f ca="1">=SUM(U49/ round((O49- M49)/30.42,0))</x:f>
        <x:v/>
      </x:c>
      <x:c r="W49" s="196">
        <x:f ca="1">=IF(T49="","",IF(T49="-","",IF(U49=0,"",IF(OR(T49&gt;AA4,T49&lt;-AA4),"*",""))))</x:f>
        <x:v/>
      </x:c>
      <x:c r="X49" s="98" t="str">
        <x:v/>
      </x:c>
    </x:row>
    <x:row r="50" spans="1:25" s="12" x14ac:dyDescent="0.25">
      <x:c r="A50" s="90" t="str">
        <x:v>45</x:v>
      </x:c>
      <x:c r="B50" s="191" t="str">
        <x:v>FPR55305</x:v>
      </x:c>
      <x:c r="C50" s="191" t="str">
        <x:v>HP LJ M401n</x:v>
      </x:c>
      <x:c r="D50" s="191" t="str">
        <x:v>B/W Copies and B/W Laser Prints</x:v>
      </x:c>
      <x:c r="E50" s="191" t="str">
        <x:v>PHGDC61204</x:v>
      </x:c>
      <x:c r="F50" s="191" t="str">
        <x:v>Active</x:v>
      </x:c>
      <x:c r="G50" s="191" t="str">
        <x:v>Duncanville</x:v>
      </x:c>
      <x:c r="H50" s="191" t="str">
        <x:v/>
      </x:c>
      <x:c r="I50" s="191" t="str">
        <x:v/>
      </x:c>
      <x:c r="J50" s="191" t="str">
        <x:v/>
      </x:c>
      <x:c r="K50" s="191" t="str">
        <x:v>Ashanti Spurlock</x:v>
      </x:c>
      <x:c r="L50" s="191" t="str">
        <x:v>Duncanville</x:v>
      </x:c>
      <x:c r="M50" s="191" t="str">
        <x:v>6/30/2018</x:v>
      </x:c>
      <x:c r="N50" s="189" t="n">
        <x:v>10067.00</x:v>
      </x:c>
      <x:c r="O50" s="191" t="str">
        <x:v>11/10/2018</x:v>
      </x:c>
      <x:c r="P50" s="189" t="n">
        <x:v>11453.00</x:v>
      </x:c>
      <x:c r="Q50" s="206" t="n">
        <x:v>0.0044</x:v>
      </x:c>
      <x:c r="R50" s="206" t="n">
        <x:v>0.0051</x:v>
      </x:c>
      <x:c r="S50" s="189" t="n">
        <x:v>1014.00</x:v>
      </x:c>
      <x:c r="T50" s="187" t="n">
        <x:f ca="1">=IF(AND(U50=0,S50&gt;0),-100%,IF(OR(S50=0,S50="-"),"-",IF(AND(S50=0,U50=0),0%,IF(S50&lt;U50,SUM(U50-S50)/S50,IF(S50&gt;U50,SUM(-1*(S50-U50)/S50),"")))))</x:f>
        <x:v/>
      </x:c>
      <x:c r="U50" s="189" t="n">
        <x:v>1386.00</x:v>
      </x:c>
      <x:c r="V50" s="189" t="n">
        <x:f ca="1">=SUM(U50/ round((O50- M50)/30.42,0))</x:f>
        <x:v/>
      </x:c>
      <x:c r="W50" s="195">
        <x:f ca="1">=IF(T50="","",IF(T50="-","",IF(U50=0,"",IF(OR(T50&gt;AA4,T50&lt;-AA4),"*",""))))</x:f>
        <x:v/>
      </x:c>
      <x:c r="X50" s="91" t="str">
        <x:v/>
      </x:c>
    </x:row>
    <x:row r="51" spans="1:25" s="12" x14ac:dyDescent="0.25">
      <x:c r="A51" s="96" t="str">
        <x:v>46</x:v>
      </x:c>
      <x:c r="B51" s="192" t="str">
        <x:v>FPR55406</x:v>
      </x:c>
      <x:c r="C51" s="192" t="str">
        <x:v>HP LJ P3015</x:v>
      </x:c>
      <x:c r="D51" s="192" t="str">
        <x:v>B/W Copies and B/W Laser Prints</x:v>
      </x:c>
      <x:c r="E51" s="192" t="str">
        <x:v>VNB3S43916</x:v>
      </x:c>
      <x:c r="F51" s="192" t="str">
        <x:v>Active</x:v>
      </x:c>
      <x:c r="G51" s="192" t="str">
        <x:v>Waxahachie</x:v>
      </x:c>
      <x:c r="H51" s="192" t="str">
        <x:v/>
      </x:c>
      <x:c r="I51" s="192" t="str">
        <x:v>Teller</x:v>
      </x:c>
      <x:c r="J51" s="192" t="str">
        <x:v/>
      </x:c>
      <x:c r="K51" s="192" t="str">
        <x:v/>
      </x:c>
      <x:c r="L51" s="192" t="str">
        <x:v>Waxahachie</x:v>
      </x:c>
      <x:c r="M51" s="192" t="str">
        <x:v>6/30/2018</x:v>
      </x:c>
      <x:c r="N51" s="183" t="n">
        <x:v>18917.00</x:v>
      </x:c>
      <x:c r="O51" s="192" t="str">
        <x:v>10/30/2018</x:v>
      </x:c>
      <x:c r="P51" s="183" t="n">
        <x:v>20109.00</x:v>
      </x:c>
      <x:c r="Q51" s="207" t="n">
        <x:v>0.0038</x:v>
      </x:c>
      <x:c r="R51" s="207" t="n">
        <x:v>0.0044</x:v>
      </x:c>
      <x:c r="S51" s="183" t="n">
        <x:v>1007.00</x:v>
      </x:c>
      <x:c r="T51" s="182" t="n">
        <x:f ca="1">=IF(AND(U51=0,S51&gt;0),-100%,IF(OR(S51=0,S51="-"),"-",IF(AND(S51=0,U51=0),0%,IF(S51&lt;U51,SUM(U51-S51)/S51,IF(S51&gt;U51,SUM(-1*(S51-U51)/S51),"")))))</x:f>
        <x:v/>
      </x:c>
      <x:c r="U51" s="183" t="n">
        <x:v>1192.00</x:v>
      </x:c>
      <x:c r="V51" s="183" t="n">
        <x:f ca="1">=SUM(U51/ round((O51- M51)/30.42,0))</x:f>
        <x:v/>
      </x:c>
      <x:c r="W51" s="196">
        <x:f ca="1">=IF(T51="","",IF(T51="-","",IF(U51=0,"",IF(OR(T51&gt;AA4,T51&lt;-AA4),"*",""))))</x:f>
        <x:v/>
      </x:c>
      <x:c r="X51" s="98" t="str">
        <x:v/>
      </x:c>
    </x:row>
    <x:row r="52" spans="1:25" s="12" x14ac:dyDescent="0.25">
      <x:c r="A52" s="90" t="str">
        <x:v>47</x:v>
      </x:c>
      <x:c r="B52" s="191" t="str">
        <x:v>AFPR55302</x:v>
      </x:c>
      <x:c r="C52" s="191" t="str">
        <x:v>HP LJ M401n</x:v>
      </x:c>
      <x:c r="D52" s="191" t="str">
        <x:v>B/W Copies and B/W Laser Prints</x:v>
      </x:c>
      <x:c r="E52" s="191" t="str">
        <x:v>PHGDC61206</x:v>
      </x:c>
      <x:c r="F52" s="191" t="str">
        <x:v>Inactive</x:v>
      </x:c>
      <x:c r="G52" s="191" t="str">
        <x:v>Corporate</x:v>
      </x:c>
      <x:c r="H52" s="191" t="str">
        <x:v/>
      </x:c>
      <x:c r="I52" s="191" t="str">
        <x:v/>
      </x:c>
      <x:c r="J52" s="191" t="str">
        <x:v/>
      </x:c>
      <x:c r="K52" s="191" t="str">
        <x:v/>
      </x:c>
      <x:c r="L52" s="191" t="str">
        <x:v>Corporate</x:v>
      </x:c>
      <x:c r="M52" s="191" t="str">
        <x:v>6/30/2018</x:v>
      </x:c>
      <x:c r="N52" s="189" t="n">
        <x:v>24299.00</x:v>
      </x:c>
      <x:c r="O52" s="191" t="str">
        <x:v>10/31/2018</x:v>
      </x:c>
      <x:c r="P52" s="189" t="n">
        <x:v>25480.00</x:v>
      </x:c>
      <x:c r="Q52" s="206" t="n">
        <x:v>0.0038</x:v>
      </x:c>
      <x:c r="R52" s="206" t="n">
        <x:v>0.0044</x:v>
      </x:c>
      <x:c r="S52" s="189" t="n">
        <x:v>3275.00</x:v>
      </x:c>
      <x:c r="T52" s="187" t="n">
        <x:f ca="1">=IF(AND(U52=0,S52&gt;0),-100%,IF(OR(S52=0,S52="-"),"-",IF(AND(S52=0,U52=0),0%,IF(S52&lt;U52,SUM(U52-S52)/S52,IF(S52&gt;U52,SUM(-1*(S52-U52)/S52),"")))))</x:f>
        <x:v/>
      </x:c>
      <x:c r="U52" s="189" t="n">
        <x:v>1181.00</x:v>
      </x:c>
      <x:c r="V52" s="189" t="n">
        <x:f ca="1">=SUM(U52/ round((O52- M52)/30.42,0))</x:f>
        <x:v/>
      </x:c>
      <x:c r="W52" s="195">
        <x:f ca="1">=IF(T52="","",IF(T52="-","",IF(U52=0,"",IF(OR(T52&gt;AA4,T52&lt;-AA4),"*",""))))</x:f>
        <x:v/>
      </x:c>
      <x:c r="X52" s="91" t="str">
        <x:v/>
      </x:c>
    </x:row>
    <x:row r="53" spans="1:25" s="12" x14ac:dyDescent="0.25">
      <x:c r="A53" s="96" t="str">
        <x:v>48</x:v>
      </x:c>
      <x:c r="B53" s="192" t="str">
        <x:v>FPR55356</x:v>
      </x:c>
      <x:c r="C53" s="192" t="str">
        <x:v>HP LJ P3015</x:v>
      </x:c>
      <x:c r="D53" s="192" t="str">
        <x:v>B/W Copies and B/W Laser Prints</x:v>
      </x:c>
      <x:c r="E53" s="192" t="str">
        <x:v>VNB3137897</x:v>
      </x:c>
      <x:c r="F53" s="192" t="str">
        <x:v>Active</x:v>
      </x:c>
      <x:c r="G53" s="192" t="str">
        <x:v>Corporate</x:v>
      </x:c>
      <x:c r="H53" s="192" t="str">
        <x:v/>
      </x:c>
      <x:c r="I53" s="192" t="str">
        <x:v/>
      </x:c>
      <x:c r="J53" s="192" t="str">
        <x:v>2</x:v>
      </x:c>
      <x:c r="K53" s="192" t="str">
        <x:v>Jeff</x:v>
      </x:c>
      <x:c r="L53" s="192" t="str">
        <x:v>Corporate</x:v>
      </x:c>
      <x:c r="M53" s="192" t="str">
        <x:v>6/30/2018</x:v>
      </x:c>
      <x:c r="N53" s="183" t="n">
        <x:v>20932.00</x:v>
      </x:c>
      <x:c r="O53" s="192" t="str">
        <x:v>11/9/2018</x:v>
      </x:c>
      <x:c r="P53" s="183" t="n">
        <x:v>22054.00</x:v>
      </x:c>
      <x:c r="Q53" s="207" t="n">
        <x:v>0.0036</x:v>
      </x:c>
      <x:c r="R53" s="207" t="n">
        <x:v>0.0041</x:v>
      </x:c>
      <x:c r="S53" s="183" t="n">
        <x:v>901.00</x:v>
      </x:c>
      <x:c r="T53" s="182" t="n">
        <x:f ca="1">=IF(AND(U53=0,S53&gt;0),-100%,IF(OR(S53=0,S53="-"),"-",IF(AND(S53=0,U53=0),0%,IF(S53&lt;U53,SUM(U53-S53)/S53,IF(S53&gt;U53,SUM(-1*(S53-U53)/S53),"")))))</x:f>
        <x:v/>
      </x:c>
      <x:c r="U53" s="183" t="n">
        <x:v>1122.00</x:v>
      </x:c>
      <x:c r="V53" s="183" t="n">
        <x:f ca="1">=SUM(U53/ round((O53- M53)/30.42,0))</x:f>
        <x:v/>
      </x:c>
      <x:c r="W53" s="196">
        <x:f ca="1">=IF(T53="","",IF(T53="-","",IF(U53=0,"",IF(OR(T53&gt;AA4,T53&lt;-AA4),"*",""))))</x:f>
        <x:v/>
      </x:c>
      <x:c r="X53" s="98" t="str">
        <x:v/>
      </x:c>
    </x:row>
    <x:row r="54" spans="1:25" s="12" x14ac:dyDescent="0.25">
      <x:c r="A54" s="90" t="str">
        <x:v>49</x:v>
      </x:c>
      <x:c r="B54" s="191" t="str">
        <x:v>FPR55418</x:v>
      </x:c>
      <x:c r="C54" s="191" t="str">
        <x:v>HP LJ M525</x:v>
      </x:c>
      <x:c r="D54" s="191" t="str">
        <x:v>B/W Copies and B/W Laser Prints</x:v>
      </x:c>
      <x:c r="E54" s="191" t="str">
        <x:v>MXFCH5P0FX</x:v>
      </x:c>
      <x:c r="F54" s="191" t="str">
        <x:v>Active</x:v>
      </x:c>
      <x:c r="G54" s="191" t="str">
        <x:v>Frankford</x:v>
      </x:c>
      <x:c r="H54" s="191" t="str">
        <x:v/>
      </x:c>
      <x:c r="I54" s="191" t="str">
        <x:v>Teller</x:v>
      </x:c>
      <x:c r="J54" s="191" t="str">
        <x:v/>
      </x:c>
      <x:c r="K54" s="191" t="str">
        <x:v/>
      </x:c>
      <x:c r="L54" s="191" t="str">
        <x:v>Frankford</x:v>
      </x:c>
      <x:c r="M54" s="191" t="str">
        <x:v>6/30/2018</x:v>
      </x:c>
      <x:c r="N54" s="189" t="n">
        <x:v>11121.00</x:v>
      </x:c>
      <x:c r="O54" s="191" t="str">
        <x:v>10/30/2018</x:v>
      </x:c>
      <x:c r="P54" s="189" t="n">
        <x:v>12160.00</x:v>
      </x:c>
      <x:c r="Q54" s="206" t="n">
        <x:v>0.0033</x:v>
      </x:c>
      <x:c r="R54" s="206" t="n">
        <x:v>0.0038</x:v>
      </x:c>
      <x:c r="S54" s="189" t="n">
        <x:v>1596.00</x:v>
      </x:c>
      <x:c r="T54" s="187" t="n">
        <x:f ca="1">=IF(AND(U54=0,S54&gt;0),-100%,IF(OR(S54=0,S54="-"),"-",IF(AND(S54=0,U54=0),0%,IF(S54&lt;U54,SUM(U54-S54)/S54,IF(S54&gt;U54,SUM(-1*(S54-U54)/S54),"")))))</x:f>
        <x:v/>
      </x:c>
      <x:c r="U54" s="189" t="n">
        <x:v>1039.00</x:v>
      </x:c>
      <x:c r="V54" s="189" t="n">
        <x:f ca="1">=SUM(U54/ round((O54- M54)/30.42,0))</x:f>
        <x:v/>
      </x:c>
      <x:c r="W54" s="195">
        <x:f ca="1">=IF(T54="","",IF(T54="-","",IF(U54=0,"",IF(OR(T54&gt;AA4,T54&lt;-AA4),"*",""))))</x:f>
        <x:v/>
      </x:c>
      <x:c r="X54" s="91" t="str">
        <x:v/>
      </x:c>
    </x:row>
    <x:row r="55" spans="1:25" s="12" x14ac:dyDescent="0.25">
      <x:c r="A55" s="96" t="str">
        <x:v>50</x:v>
      </x:c>
      <x:c r="B55" s="192" t="str">
        <x:v>AFPR55321</x:v>
      </x:c>
      <x:c r="C55" s="192" t="str">
        <x:v>HP LJ M425</x:v>
      </x:c>
      <x:c r="D55" s="192" t="str">
        <x:v>B/W Copies and B/W Laser Prints</x:v>
      </x:c>
      <x:c r="E55" s="192" t="str">
        <x:v>CNF8H5C8GM</x:v>
      </x:c>
      <x:c r="F55" s="192" t="str">
        <x:v>Inactive</x:v>
      </x:c>
      <x:c r="G55" s="192" t="str">
        <x:v>Frankford</x:v>
      </x:c>
      <x:c r="H55" s="192" t="str">
        <x:v/>
      </x:c>
      <x:c r="I55" s="192" t="str">
        <x:v>CEO Office (Cannot Find)</x:v>
      </x:c>
      <x:c r="J55" s="192" t="str">
        <x:v/>
      </x:c>
      <x:c r="K55" s="192" t="str">
        <x:v/>
      </x:c>
      <x:c r="L55" s="192" t="str">
        <x:v>Frankford</x:v>
      </x:c>
      <x:c r="M55" s="192" t="str">
        <x:v>6/30/2018</x:v>
      </x:c>
      <x:c r="N55" s="183" t="n">
        <x:v>2857.00</x:v>
      </x:c>
      <x:c r="O55" s="192" t="str">
        <x:v>10/31/2018</x:v>
      </x:c>
      <x:c r="P55" s="183" t="n">
        <x:v>3759.00</x:v>
      </x:c>
      <x:c r="Q55" s="207" t="n">
        <x:v>0.0029</x:v>
      </x:c>
      <x:c r="R55" s="207" t="n">
        <x:v>0.0033</x:v>
      </x:c>
      <x:c r="S55" s="183" t="n">
        <x:v>929.00</x:v>
      </x:c>
      <x:c r="T55" s="182" t="n">
        <x:f ca="1">=IF(AND(U55=0,S55&gt;0),-100%,IF(OR(S55=0,S55="-"),"-",IF(AND(S55=0,U55=0),0%,IF(S55&lt;U55,SUM(U55-S55)/S55,IF(S55&gt;U55,SUM(-1*(S55-U55)/S55),"")))))</x:f>
        <x:v/>
      </x:c>
      <x:c r="U55" s="183" t="n">
        <x:v>902.00</x:v>
      </x:c>
      <x:c r="V55" s="183" t="n">
        <x:f ca="1">=SUM(U55/ round((O55- M55)/30.42,0))</x:f>
        <x:v/>
      </x:c>
      <x:c r="W55" s="196">
        <x:f ca="1">=IF(T55="","",IF(T55="-","",IF(U55=0,"",IF(OR(T55&gt;AA4,T55&lt;-AA4),"*",""))))</x:f>
        <x:v/>
      </x:c>
      <x:c r="X55" s="98" t="str">
        <x:v/>
      </x:c>
    </x:row>
    <x:row r="56" spans="1:25" s="12" x14ac:dyDescent="0.25">
      <x:c r="A56" s="90" t="str">
        <x:v>51</x:v>
      </x:c>
      <x:c r="B56" s="191" t="str">
        <x:v>FPR55317</x:v>
      </x:c>
      <x:c r="C56" s="191" t="str">
        <x:v>HP LJ M401dn</x:v>
      </x:c>
      <x:c r="D56" s="191" t="str">
        <x:v>B/W Copies and B/W Laser Prints</x:v>
      </x:c>
      <x:c r="E56" s="191" t="str">
        <x:v>PHGFB71372</x:v>
      </x:c>
      <x:c r="F56" s="191" t="str">
        <x:v>Active</x:v>
      </x:c>
      <x:c r="G56" s="191" t="str">
        <x:v>Corporate</x:v>
      </x:c>
      <x:c r="H56" s="191" t="str">
        <x:v/>
      </x:c>
      <x:c r="I56" s="191" t="str">
        <x:v>Branch Manager (Next to Teller)</x:v>
      </x:c>
      <x:c r="J56" s="191" t="str">
        <x:v>1</x:v>
      </x:c>
      <x:c r="K56" s="191" t="str">
        <x:v/>
      </x:c>
      <x:c r="L56" s="191" t="str">
        <x:v>Corporate</x:v>
      </x:c>
      <x:c r="M56" s="191" t="str">
        <x:v>6/30/2018</x:v>
      </x:c>
      <x:c r="N56" s="189" t="n">
        <x:v>8523.00</x:v>
      </x:c>
      <x:c r="O56" s="191" t="str">
        <x:v>11/9/2018</x:v>
      </x:c>
      <x:c r="P56" s="189" t="n">
        <x:v>9421.00</x:v>
      </x:c>
      <x:c r="Q56" s="206" t="n">
        <x:v>0.0029</x:v>
      </x:c>
      <x:c r="R56" s="206" t="n">
        <x:v>0.0033</x:v>
      </x:c>
      <x:c r="S56" s="189" t="n">
        <x:v>950.00</x:v>
      </x:c>
      <x:c r="T56" s="187" t="n">
        <x:f ca="1">=IF(AND(U56=0,S56&gt;0),-100%,IF(OR(S56=0,S56="-"),"-",IF(AND(S56=0,U56=0),0%,IF(S56&lt;U56,SUM(U56-S56)/S56,IF(S56&gt;U56,SUM(-1*(S56-U56)/S56),"")))))</x:f>
        <x:v/>
      </x:c>
      <x:c r="U56" s="189" t="n">
        <x:v>898.00</x:v>
      </x:c>
      <x:c r="V56" s="189" t="n">
        <x:f ca="1">=SUM(U56/ round((O56- M56)/30.42,0))</x:f>
        <x:v/>
      </x:c>
      <x:c r="W56" s="195">
        <x:f ca="1">=IF(T56="","",IF(T56="-","",IF(U56=0,"",IF(OR(T56&gt;AA4,T56&lt;-AA4),"*",""))))</x:f>
        <x:v/>
      </x:c>
      <x:c r="X56" s="91" t="str">
        <x:v/>
      </x:c>
    </x:row>
    <x:row r="57" spans="1:25" s="12" x14ac:dyDescent="0.25">
      <x:c r="A57" s="96" t="str">
        <x:v>52</x:v>
      </x:c>
      <x:c r="B57" s="192" t="str">
        <x:v>FPR55313</x:v>
      </x:c>
      <x:c r="C57" s="192" t="str">
        <x:v>HP LJ M401n</x:v>
      </x:c>
      <x:c r="D57" s="192" t="str">
        <x:v>B/W Copies and B/W Laser Prints</x:v>
      </x:c>
      <x:c r="E57" s="192" t="str">
        <x:v>PHGDC61198</x:v>
      </x:c>
      <x:c r="F57" s="192" t="str">
        <x:v>Active</x:v>
      </x:c>
      <x:c r="G57" s="192" t="str">
        <x:v>Corporate</x:v>
      </x:c>
      <x:c r="H57" s="192" t="str">
        <x:v/>
      </x:c>
      <x:c r="I57" s="192" t="str">
        <x:v>Check Printer</x:v>
      </x:c>
      <x:c r="J57" s="192" t="str">
        <x:v>2</x:v>
      </x:c>
      <x:c r="K57" s="192" t="str">
        <x:v/>
      </x:c>
      <x:c r="L57" s="192" t="str">
        <x:v>Corporate</x:v>
      </x:c>
      <x:c r="M57" s="192" t="str">
        <x:v>6/30/2018</x:v>
      </x:c>
      <x:c r="N57" s="183" t="n">
        <x:v>5928.00</x:v>
      </x:c>
      <x:c r="O57" s="192" t="str">
        <x:v>10/30/2018</x:v>
      </x:c>
      <x:c r="P57" s="183" t="n">
        <x:v>6688.00</x:v>
      </x:c>
      <x:c r="Q57" s="207" t="n">
        <x:v>0.0024</x:v>
      </x:c>
      <x:c r="R57" s="207" t="n">
        <x:v>0.0028</x:v>
      </x:c>
      <x:c r="S57" s="183" t="n">
        <x:v>592.00</x:v>
      </x:c>
      <x:c r="T57" s="182" t="n">
        <x:f ca="1">=IF(AND(U57=0,S57&gt;0),-100%,IF(OR(S57=0,S57="-"),"-",IF(AND(S57=0,U57=0),0%,IF(S57&lt;U57,SUM(U57-S57)/S57,IF(S57&gt;U57,SUM(-1*(S57-U57)/S57),"")))))</x:f>
        <x:v/>
      </x:c>
      <x:c r="U57" s="183" t="n">
        <x:v>760.00</x:v>
      </x:c>
      <x:c r="V57" s="183" t="n">
        <x:f ca="1">=SUM(U57/ round((O57- M57)/30.42,0))</x:f>
        <x:v/>
      </x:c>
      <x:c r="W57" s="196">
        <x:f ca="1">=IF(T57="","",IF(T57="-","",IF(U57=0,"",IF(OR(T57&gt;AA4,T57&lt;-AA4),"*",""))))</x:f>
        <x:v/>
      </x:c>
      <x:c r="X57" s="98" t="str">
        <x:v/>
      </x:c>
    </x:row>
    <x:row r="58" spans="1:25" s="12" x14ac:dyDescent="0.25">
      <x:c r="A58" s="90" t="str">
        <x:v>53</x:v>
      </x:c>
      <x:c r="B58" s="191" t="str">
        <x:v>FPR55353</x:v>
      </x:c>
      <x:c r="C58" s="191" t="str">
        <x:v>HP LJ P3015</x:v>
      </x:c>
      <x:c r="D58" s="191" t="str">
        <x:v>B/W Copies and B/W Laser Prints</x:v>
      </x:c>
      <x:c r="E58" s="191" t="str">
        <x:v>VNB3S47752</x:v>
      </x:c>
      <x:c r="F58" s="191" t="str">
        <x:v>Active</x:v>
      </x:c>
      <x:c r="G58" s="191" t="str">
        <x:v>Frankford</x:v>
      </x:c>
      <x:c r="H58" s="191" t="str">
        <x:v/>
      </x:c>
      <x:c r="I58" s="191" t="str">
        <x:v>Finance</x:v>
      </x:c>
      <x:c r="J58" s="191" t="str">
        <x:v>2</x:v>
      </x:c>
      <x:c r="K58" s="191" t="str">
        <x:v/>
      </x:c>
      <x:c r="L58" s="191" t="str">
        <x:v>Corporate</x:v>
      </x:c>
      <x:c r="M58" s="191" t="str">
        <x:v>6/30/2018</x:v>
      </x:c>
      <x:c r="N58" s="189" t="n">
        <x:v>13301.00</x:v>
      </x:c>
      <x:c r="O58" s="191" t="str">
        <x:v>10/30/2018</x:v>
      </x:c>
      <x:c r="P58" s="189" t="n">
        <x:v>14056.00</x:v>
      </x:c>
      <x:c r="Q58" s="206" t="n">
        <x:v>0.0024</x:v>
      </x:c>
      <x:c r="R58" s="206" t="n">
        <x:v>0.0028</x:v>
      </x:c>
      <x:c r="S58" s="189" t="n">
        <x:v>573.00</x:v>
      </x:c>
      <x:c r="T58" s="187" t="n">
        <x:f ca="1">=IF(AND(U58=0,S58&gt;0),-100%,IF(OR(S58=0,S58="-"),"-",IF(AND(S58=0,U58=0),0%,IF(S58&lt;U58,SUM(U58-S58)/S58,IF(S58&gt;U58,SUM(-1*(S58-U58)/S58),"")))))</x:f>
        <x:v/>
      </x:c>
      <x:c r="U58" s="189" t="n">
        <x:v>755.00</x:v>
      </x:c>
      <x:c r="V58" s="189" t="n">
        <x:f ca="1">=SUM(U58/ round((O58- M58)/30.42,0))</x:f>
        <x:v/>
      </x:c>
      <x:c r="W58" s="195">
        <x:f ca="1">=IF(T58="","",IF(T58="-","",IF(U58=0,"",IF(OR(T58&gt;AA4,T58&lt;-AA4),"*",""))))</x:f>
        <x:v/>
      </x:c>
      <x:c r="X58" s="91" t="str">
        <x:v/>
      </x:c>
    </x:row>
    <x:row r="59" spans="1:25" s="12" x14ac:dyDescent="0.25">
      <x:c r="A59" s="96" t="str">
        <x:v>54</x:v>
      </x:c>
      <x:c r="B59" s="192" t="str">
        <x:v>FPR55417</x:v>
      </x:c>
      <x:c r="C59" s="192" t="str">
        <x:v>HP LJ P3015</x:v>
      </x:c>
      <x:c r="D59" s="192" t="str">
        <x:v>B/W Copies and B/W Laser Prints</x:v>
      </x:c>
      <x:c r="E59" s="192" t="str">
        <x:v>VNB3137895</x:v>
      </x:c>
      <x:c r="F59" s="192" t="str">
        <x:v>Active</x:v>
      </x:c>
      <x:c r="G59" s="192" t="str">
        <x:v>Frankford</x:v>
      </x:c>
      <x:c r="H59" s="192" t="str">
        <x:v/>
      </x:c>
      <x:c r="I59" s="192" t="str">
        <x:v>Lobby / Check Printer</x:v>
      </x:c>
      <x:c r="J59" s="192" t="str">
        <x:v/>
      </x:c>
      <x:c r="K59" s="192" t="str">
        <x:v/>
      </x:c>
      <x:c r="L59" s="192" t="str">
        <x:v>Frankford</x:v>
      </x:c>
      <x:c r="M59" s="192" t="str">
        <x:v>6/30/2018</x:v>
      </x:c>
      <x:c r="N59" s="183" t="n">
        <x:v>13702.00</x:v>
      </x:c>
      <x:c r="O59" s="192" t="str">
        <x:v>10/30/2018</x:v>
      </x:c>
      <x:c r="P59" s="183" t="n">
        <x:v>14402.00</x:v>
      </x:c>
      <x:c r="Q59" s="207" t="n">
        <x:v>0.0022</x:v>
      </x:c>
      <x:c r="R59" s="207" t="n">
        <x:v>0.0026</x:v>
      </x:c>
      <x:c r="S59" s="183" t="n">
        <x:v>582.00</x:v>
      </x:c>
      <x:c r="T59" s="182" t="n">
        <x:f ca="1">=IF(AND(U59=0,S59&gt;0),-100%,IF(OR(S59=0,S59="-"),"-",IF(AND(S59=0,U59=0),0%,IF(S59&lt;U59,SUM(U59-S59)/S59,IF(S59&gt;U59,SUM(-1*(S59-U59)/S59),"")))))</x:f>
        <x:v/>
      </x:c>
      <x:c r="U59" s="183" t="n">
        <x:v>700.00</x:v>
      </x:c>
      <x:c r="V59" s="183" t="n">
        <x:f ca="1">=SUM(U59/ round((O59- M59)/30.42,0))</x:f>
        <x:v/>
      </x:c>
      <x:c r="W59" s="196">
        <x:f ca="1">=IF(T59="","",IF(T59="-","",IF(U59=0,"",IF(OR(T59&gt;AA4,T59&lt;-AA4),"*",""))))</x:f>
        <x:v/>
      </x:c>
      <x:c r="X59" s="98" t="str">
        <x:v/>
      </x:c>
    </x:row>
    <x:row r="60" spans="1:25" s="12" x14ac:dyDescent="0.25">
      <x:c r="A60" s="90" t="str">
        <x:v>55</x:v>
      </x:c>
      <x:c r="B60" s="191" t="str">
        <x:v>FPR55391</x:v>
      </x:c>
      <x:c r="C60" s="191" t="str">
        <x:v>HP LJ P3015</x:v>
      </x:c>
      <x:c r="D60" s="191" t="str">
        <x:v>B/W Copies and B/W Laser Prints</x:v>
      </x:c>
      <x:c r="E60" s="191" t="str">
        <x:v>VNB3137886</x:v>
      </x:c>
      <x:c r="F60" s="191" t="str">
        <x:v>Active</x:v>
      </x:c>
      <x:c r="G60" s="191" t="str">
        <x:v>Corporate</x:v>
      </x:c>
      <x:c r="H60" s="191" t="str">
        <x:v/>
      </x:c>
      <x:c r="I60" s="191" t="str">
        <x:v>Lobby</x:v>
      </x:c>
      <x:c r="J60" s="191" t="str">
        <x:v>1</x:v>
      </x:c>
      <x:c r="K60" s="191" t="str">
        <x:v/>
      </x:c>
      <x:c r="L60" s="191" t="str">
        <x:v>Corporate</x:v>
      </x:c>
      <x:c r="M60" s="191" t="str">
        <x:v>6/30/2018</x:v>
      </x:c>
      <x:c r="N60" s="189" t="n">
        <x:v>8440.00</x:v>
      </x:c>
      <x:c r="O60" s="191" t="str">
        <x:v>10/30/2018</x:v>
      </x:c>
      <x:c r="P60" s="189" t="n">
        <x:v>9071.00</x:v>
      </x:c>
      <x:c r="Q60" s="206" t="n">
        <x:v>0.002</x:v>
      </x:c>
      <x:c r="R60" s="206" t="n">
        <x:v>0.0023</x:v>
      </x:c>
      <x:c r="S60" s="189" t="n">
        <x:v>420.00</x:v>
      </x:c>
      <x:c r="T60" s="187" t="n">
        <x:f ca="1">=IF(AND(U60=0,S60&gt;0),-100%,IF(OR(S60=0,S60="-"),"-",IF(AND(S60=0,U60=0),0%,IF(S60&lt;U60,SUM(U60-S60)/S60,IF(S60&gt;U60,SUM(-1*(S60-U60)/S60),"")))))</x:f>
        <x:v/>
      </x:c>
      <x:c r="U60" s="189" t="n">
        <x:v>631.00</x:v>
      </x:c>
      <x:c r="V60" s="189" t="n">
        <x:f ca="1">=SUM(U60/ round((O60- M60)/30.42,0))</x:f>
        <x:v/>
      </x:c>
      <x:c r="W60" s="195">
        <x:f ca="1">=IF(T60="","",IF(T60="-","",IF(U60=0,"",IF(OR(T60&gt;AA4,T60&lt;-AA4),"*",""))))</x:f>
        <x:v/>
      </x:c>
      <x:c r="X60" s="91" t="str">
        <x:v/>
      </x:c>
    </x:row>
    <x:row r="61" spans="1:25" s="12" x14ac:dyDescent="0.25">
      <x:c r="A61" s="96" t="str">
        <x:v>56</x:v>
      </x:c>
      <x:c r="B61" s="192" t="str">
        <x:v>FPR55304</x:v>
      </x:c>
      <x:c r="C61" s="192" t="str">
        <x:v>HP LJ M401n</x:v>
      </x:c>
      <x:c r="D61" s="192" t="str">
        <x:v>B/W Copies and B/W Laser Prints</x:v>
      </x:c>
      <x:c r="E61" s="192" t="str">
        <x:v>PHGDC61357</x:v>
      </x:c>
      <x:c r="F61" s="192" t="str">
        <x:v>Active</x:v>
      </x:c>
      <x:c r="G61" s="192" t="str">
        <x:v>Corporate</x:v>
      </x:c>
      <x:c r="H61" s="192" t="str">
        <x:v/>
      </x:c>
      <x:c r="I61" s="192" t="str">
        <x:v>Senior Branch Manager</x:v>
      </x:c>
      <x:c r="J61" s="192" t="str">
        <x:v>1</x:v>
      </x:c>
      <x:c r="K61" s="192" t="str">
        <x:v/>
      </x:c>
      <x:c r="L61" s="192" t="str">
        <x:v>Corporate</x:v>
      </x:c>
      <x:c r="M61" s="192" t="str">
        <x:v>6/30/2018</x:v>
      </x:c>
      <x:c r="N61" s="183" t="n">
        <x:v>7659.00</x:v>
      </x:c>
      <x:c r="O61" s="192" t="str">
        <x:v>11/9/2018</x:v>
      </x:c>
      <x:c r="P61" s="183" t="n">
        <x:v>8252.00</x:v>
      </x:c>
      <x:c r="Q61" s="207" t="n">
        <x:v>0.0019</x:v>
      </x:c>
      <x:c r="R61" s="207" t="n">
        <x:v>0.0022</x:v>
      </x:c>
      <x:c r="S61" s="183" t="n">
        <x:v>728.00</x:v>
      </x:c>
      <x:c r="T61" s="182" t="n">
        <x:f ca="1">=IF(AND(U61=0,S61&gt;0),-100%,IF(OR(S61=0,S61="-"),"-",IF(AND(S61=0,U61=0),0%,IF(S61&lt;U61,SUM(U61-S61)/S61,IF(S61&gt;U61,SUM(-1*(S61-U61)/S61),"")))))</x:f>
        <x:v/>
      </x:c>
      <x:c r="U61" s="183" t="n">
        <x:v>593.00</x:v>
      </x:c>
      <x:c r="V61" s="183" t="n">
        <x:f ca="1">=SUM(U61/ round((O61- M61)/30.42,0))</x:f>
        <x:v/>
      </x:c>
      <x:c r="W61" s="196">
        <x:f ca="1">=IF(T61="","",IF(T61="-","",IF(U61=0,"",IF(OR(T61&gt;AA4,T61&lt;-AA4),"*",""))))</x:f>
        <x:v/>
      </x:c>
      <x:c r="X61" s="98" t="str">
        <x:v/>
      </x:c>
    </x:row>
    <x:row r="62" spans="1:25" s="12" x14ac:dyDescent="0.25">
      <x:c r="A62" s="90" t="str">
        <x:v>57</x:v>
      </x:c>
      <x:c r="B62" s="191" t="str">
        <x:v>FPR55311</x:v>
      </x:c>
      <x:c r="C62" s="191" t="str">
        <x:v>HP LJ M401n</x:v>
      </x:c>
      <x:c r="D62" s="191" t="str">
        <x:v>B/W Copies and B/W Laser Prints</x:v>
      </x:c>
      <x:c r="E62" s="191" t="str">
        <x:v>PHGDC61360</x:v>
      </x:c>
      <x:c r="F62" s="191" t="str">
        <x:v>Active</x:v>
      </x:c>
      <x:c r="G62" s="191" t="str">
        <x:v>Corporate</x:v>
      </x:c>
      <x:c r="H62" s="191" t="str">
        <x:v/>
      </x:c>
      <x:c r="I62" s="191" t="str">
        <x:v/>
      </x:c>
      <x:c r="J62" s="191" t="str">
        <x:v>2</x:v>
      </x:c>
      <x:c r="K62" s="191" t="str">
        <x:v>Lori Gains</x:v>
      </x:c>
      <x:c r="L62" s="191" t="str">
        <x:v>Corporate</x:v>
      </x:c>
      <x:c r="M62" s="191" t="str">
        <x:v>6/30/2018</x:v>
      </x:c>
      <x:c r="N62" s="189" t="n">
        <x:v>8794.00</x:v>
      </x:c>
      <x:c r="O62" s="191" t="str">
        <x:v>11/9/2018</x:v>
      </x:c>
      <x:c r="P62" s="189" t="n">
        <x:v>9342.00</x:v>
      </x:c>
      <x:c r="Q62" s="206" t="n">
        <x:v>0.0017</x:v>
      </x:c>
      <x:c r="R62" s="206" t="n">
        <x:v>0.002</x:v>
      </x:c>
      <x:c r="S62" s="189" t="n">
        <x:v>484.00</x:v>
      </x:c>
      <x:c r="T62" s="187" t="n">
        <x:f ca="1">=IF(AND(U62=0,S62&gt;0),-100%,IF(OR(S62=0,S62="-"),"-",IF(AND(S62=0,U62=0),0%,IF(S62&lt;U62,SUM(U62-S62)/S62,IF(S62&gt;U62,SUM(-1*(S62-U62)/S62),"")))))</x:f>
        <x:v/>
      </x:c>
      <x:c r="U62" s="189" t="n">
        <x:v>548.00</x:v>
      </x:c>
      <x:c r="V62" s="189" t="n">
        <x:f ca="1">=SUM(U62/ round((O62- M62)/30.42,0))</x:f>
        <x:v/>
      </x:c>
      <x:c r="W62" s="195">
        <x:f ca="1">=IF(T62="","",IF(T62="-","",IF(U62=0,"",IF(OR(T62&gt;AA4,T62&lt;-AA4),"*",""))))</x:f>
        <x:v/>
      </x:c>
      <x:c r="X62" s="91" t="str">
        <x:v/>
      </x:c>
    </x:row>
    <x:row r="63" spans="1:25" s="12" x14ac:dyDescent="0.25">
      <x:c r="A63" s="96" t="str">
        <x:v>58</x:v>
      </x:c>
      <x:c r="B63" s="192" t="str">
        <x:v>FPR55431</x:v>
      </x:c>
      <x:c r="C63" s="192" t="str">
        <x:v>HP CLJ M577</x:v>
      </x:c>
      <x:c r="D63" s="192" t="str">
        <x:v>B/W Copies and B/W Laser Prints</x:v>
      </x:c>
      <x:c r="E63" s="192" t="str">
        <x:v>MXBCK5H1TF</x:v>
      </x:c>
      <x:c r="F63" s="192" t="str">
        <x:v>Active</x:v>
      </x:c>
      <x:c r="G63" s="192" t="str">
        <x:v>Waxahachie</x:v>
      </x:c>
      <x:c r="H63" s="192" t="str">
        <x:v/>
      </x:c>
      <x:c r="I63" s="192" t="str">
        <x:v>Back Office</x:v>
      </x:c>
      <x:c r="J63" s="192" t="str">
        <x:v/>
      </x:c>
      <x:c r="K63" s="192" t="str">
        <x:v/>
      </x:c>
      <x:c r="L63" s="192" t="str">
        <x:v/>
      </x:c>
      <x:c r="M63" s="192" t="str">
        <x:v>6/30/2018</x:v>
      </x:c>
      <x:c r="N63" s="183" t="n">
        <x:v>2362.00</x:v>
      </x:c>
      <x:c r="O63" s="192" t="str">
        <x:v>11/9/2018</x:v>
      </x:c>
      <x:c r="P63" s="183" t="n">
        <x:v>2899.00</x:v>
      </x:c>
      <x:c r="Q63" s="207" t="n">
        <x:v>0.0017</x:v>
      </x:c>
      <x:c r="R63" s="207" t="n">
        <x:v>0.002</x:v>
      </x:c>
      <x:c r="S63" s="183" t="n">
        <x:v>968.00</x:v>
      </x:c>
      <x:c r="T63" s="182" t="n">
        <x:f ca="1">=IF(AND(U63=0,S63&gt;0),-100%,IF(OR(S63=0,S63="-"),"-",IF(AND(S63=0,U63=0),0%,IF(S63&lt;U63,SUM(U63-S63)/S63,IF(S63&gt;U63,SUM(-1*(S63-U63)/S63),"")))))</x:f>
        <x:v/>
      </x:c>
      <x:c r="U63" s="183" t="n">
        <x:v>537.00</x:v>
      </x:c>
      <x:c r="V63" s="183" t="n">
        <x:f ca="1">=SUM(U63/ round((O63- M63)/30.42,0))</x:f>
        <x:v/>
      </x:c>
      <x:c r="W63" s="196">
        <x:f ca="1">=IF(T63="","",IF(T63="-","",IF(U63=0,"",IF(OR(T63&gt;AA4,T63&lt;-AA4),"*",""))))</x:f>
        <x:v/>
      </x:c>
      <x:c r="X63" s="98" t="str">
        <x:v/>
      </x:c>
    </x:row>
    <x:row r="64" spans="1:25" s="12" x14ac:dyDescent="0.25">
      <x:c r="A64" s="90" t="str">
        <x:v>59</x:v>
      </x:c>
      <x:c r="B64" s="191" t="str">
        <x:v>FPR55410</x:v>
      </x:c>
      <x:c r="C64" s="191" t="str">
        <x:v>HP LJ P3015</x:v>
      </x:c>
      <x:c r="D64" s="191" t="str">
        <x:v>B/W Copies and B/W Laser Prints</x:v>
      </x:c>
      <x:c r="E64" s="191" t="str">
        <x:v>VND3R16995</x:v>
      </x:c>
      <x:c r="F64" s="191" t="str">
        <x:v>Active</x:v>
      </x:c>
      <x:c r="G64" s="191" t="str">
        <x:v>Sherman</x:v>
      </x:c>
      <x:c r="H64" s="191" t="str">
        <x:v/>
      </x:c>
      <x:c r="I64" s="191" t="str">
        <x:v>Teller</x:v>
      </x:c>
      <x:c r="J64" s="191" t="str">
        <x:v/>
      </x:c>
      <x:c r="K64" s="191" t="str">
        <x:v/>
      </x:c>
      <x:c r="L64" s="191" t="str">
        <x:v>Sherman</x:v>
      </x:c>
      <x:c r="M64" s="191" t="str">
        <x:v>6/30/2018</x:v>
      </x:c>
      <x:c r="N64" s="189" t="n">
        <x:v>5190.00</x:v>
      </x:c>
      <x:c r="O64" s="191" t="str">
        <x:v>10/30/2018</x:v>
      </x:c>
      <x:c r="P64" s="189" t="n">
        <x:v>5691.00</x:v>
      </x:c>
      <x:c r="Q64" s="206" t="n">
        <x:v>0.0016</x:v>
      </x:c>
      <x:c r="R64" s="206" t="n">
        <x:v>0.0018</x:v>
      </x:c>
      <x:c r="S64" s="189" t="n">
        <x:v>434.00</x:v>
      </x:c>
      <x:c r="T64" s="187" t="n">
        <x:f ca="1">=IF(AND(U64=0,S64&gt;0),-100%,IF(OR(S64=0,S64="-"),"-",IF(AND(S64=0,U64=0),0%,IF(S64&lt;U64,SUM(U64-S64)/S64,IF(S64&gt;U64,SUM(-1*(S64-U64)/S64),"")))))</x:f>
        <x:v/>
      </x:c>
      <x:c r="U64" s="189" t="n">
        <x:v>501.00</x:v>
      </x:c>
      <x:c r="V64" s="189" t="n">
        <x:f ca="1">=SUM(U64/ round((O64- M64)/30.42,0))</x:f>
        <x:v/>
      </x:c>
      <x:c r="W64" s="195">
        <x:f ca="1">=IF(T64="","",IF(T64="-","",IF(U64=0,"",IF(OR(T64&gt;AA4,T64&lt;-AA4),"*",""))))</x:f>
        <x:v/>
      </x:c>
      <x:c r="X64" s="91" t="str">
        <x:v/>
      </x:c>
    </x:row>
    <x:row r="65" spans="1:25" s="12" x14ac:dyDescent="0.25">
      <x:c r="A65" s="96" t="str">
        <x:v>60</x:v>
      </x:c>
      <x:c r="B65" s="192" t="str">
        <x:v>FPR55318</x:v>
      </x:c>
      <x:c r="C65" s="192" t="str">
        <x:v>HP LJ M401n</x:v>
      </x:c>
      <x:c r="D65" s="192" t="str">
        <x:v>B/W Copies and B/W Laser Prints</x:v>
      </x:c>
      <x:c r="E65" s="192" t="str">
        <x:v>PHGDC61358</x:v>
      </x:c>
      <x:c r="F65" s="192" t="str">
        <x:v>Active</x:v>
      </x:c>
      <x:c r="G65" s="192" t="str">
        <x:v>Waxahachie</x:v>
      </x:c>
      <x:c r="H65" s="192" t="str">
        <x:v/>
      </x:c>
      <x:c r="I65" s="192" t="str">
        <x:v>Branch Manager</x:v>
      </x:c>
      <x:c r="J65" s="192" t="str">
        <x:v/>
      </x:c>
      <x:c r="K65" s="192" t="str">
        <x:v/>
      </x:c>
      <x:c r="L65" s="192" t="str">
        <x:v>Waxahachie</x:v>
      </x:c>
      <x:c r="M65" s="192" t="str">
        <x:v>6/30/2018</x:v>
      </x:c>
      <x:c r="N65" s="183" t="n">
        <x:v>15806.00</x:v>
      </x:c>
      <x:c r="O65" s="192" t="str">
        <x:v>11/9/2018</x:v>
      </x:c>
      <x:c r="P65" s="183" t="n">
        <x:v>16292.00</x:v>
      </x:c>
      <x:c r="Q65" s="207" t="n">
        <x:v>0.0015</x:v>
      </x:c>
      <x:c r="R65" s="207" t="n">
        <x:v>0.0018</x:v>
      </x:c>
      <x:c r="S65" s="183" t="n">
        <x:v>12.00</x:v>
      </x:c>
      <x:c r="T65" s="182" t="n">
        <x:f ca="1">=IF(AND(U65=0,S65&gt;0),-100%,IF(OR(S65=0,S65="-"),"-",IF(AND(S65=0,U65=0),0%,IF(S65&lt;U65,SUM(U65-S65)/S65,IF(S65&gt;U65,SUM(-1*(S65-U65)/S65),"")))))</x:f>
        <x:v/>
      </x:c>
      <x:c r="U65" s="183" t="n">
        <x:v>486.00</x:v>
      </x:c>
      <x:c r="V65" s="183" t="n">
        <x:f ca="1">=SUM(U65/ round((O65- M65)/30.42,0))</x:f>
        <x:v/>
      </x:c>
      <x:c r="W65" s="196">
        <x:f ca="1">=IF(T65="","",IF(T65="-","",IF(U65=0,"",IF(OR(T65&gt;AA4,T65&lt;-AA4),"*",""))))</x:f>
        <x:v/>
      </x:c>
      <x:c r="X65" s="98" t="str">
        <x:v/>
      </x:c>
    </x:row>
    <x:row r="66" spans="1:25" s="12" x14ac:dyDescent="0.25">
      <x:c r="A66" s="90" t="str">
        <x:v>61</x:v>
      </x:c>
      <x:c r="B66" s="191" t="str">
        <x:v>FPR55409</x:v>
      </x:c>
      <x:c r="C66" s="191" t="str">
        <x:v>HP LJ P3015</x:v>
      </x:c>
      <x:c r="D66" s="191" t="str">
        <x:v>B/W Copies and B/W Laser Prints</x:v>
      </x:c>
      <x:c r="E66" s="191" t="str">
        <x:v>VNB3S47749</x:v>
      </x:c>
      <x:c r="F66" s="191" t="str">
        <x:v>Active</x:v>
      </x:c>
      <x:c r="G66" s="191" t="str">
        <x:v>Gainesville</x:v>
      </x:c>
      <x:c r="H66" s="191" t="str">
        <x:v/>
      </x:c>
      <x:c r="I66" s="191" t="str">
        <x:v>Teller</x:v>
      </x:c>
      <x:c r="J66" s="191" t="str">
        <x:v/>
      </x:c>
      <x:c r="K66" s="191" t="str">
        <x:v/>
      </x:c>
      <x:c r="L66" s="191" t="str">
        <x:v>Gainesville</x:v>
      </x:c>
      <x:c r="M66" s="191" t="str">
        <x:v>6/30/2018</x:v>
      </x:c>
      <x:c r="N66" s="189" t="n">
        <x:v>8180.00</x:v>
      </x:c>
      <x:c r="O66" s="191" t="str">
        <x:v>10/30/2018</x:v>
      </x:c>
      <x:c r="P66" s="189" t="n">
        <x:v>8632.00</x:v>
      </x:c>
      <x:c r="Q66" s="206" t="n">
        <x:v>0.0014</x:v>
      </x:c>
      <x:c r="R66" s="206" t="n">
        <x:v>0.0017</x:v>
      </x:c>
      <x:c r="S66" s="189" t="n">
        <x:v>462.00</x:v>
      </x:c>
      <x:c r="T66" s="187" t="n">
        <x:f ca="1">=IF(AND(U66=0,S66&gt;0),-100%,IF(OR(S66=0,S66="-"),"-",IF(AND(S66=0,U66=0),0%,IF(S66&lt;U66,SUM(U66-S66)/S66,IF(S66&gt;U66,SUM(-1*(S66-U66)/S66),"")))))</x:f>
        <x:v/>
      </x:c>
      <x:c r="U66" s="189" t="n">
        <x:v>452.00</x:v>
      </x:c>
      <x:c r="V66" s="189" t="n">
        <x:f ca="1">=SUM(U66/ round((O66- M66)/30.42,0))</x:f>
        <x:v/>
      </x:c>
      <x:c r="W66" s="195">
        <x:f ca="1">=IF(T66="","",IF(T66="-","",IF(U66=0,"",IF(OR(T66&gt;AA4,T66&lt;-AA4),"*",""))))</x:f>
        <x:v/>
      </x:c>
      <x:c r="X66" s="91" t="str">
        <x:v/>
      </x:c>
    </x:row>
    <x:row r="67" spans="1:25" s="12" x14ac:dyDescent="0.25">
      <x:c r="A67" s="96" t="str">
        <x:v>62</x:v>
      </x:c>
      <x:c r="B67" s="192" t="str">
        <x:v>FPR55355</x:v>
      </x:c>
      <x:c r="C67" s="192" t="str">
        <x:v>HP LJ P3015</x:v>
      </x:c>
      <x:c r="D67" s="192" t="str">
        <x:v>B/W Copies and B/W Laser Prints</x:v>
      </x:c>
      <x:c r="E67" s="192" t="str">
        <x:v>VNB3137903</x:v>
      </x:c>
      <x:c r="F67" s="192" t="str">
        <x:v>Active</x:v>
      </x:c>
      <x:c r="G67" s="192" t="str">
        <x:v>Corporate</x:v>
      </x:c>
      <x:c r="H67" s="192" t="str">
        <x:v/>
      </x:c>
      <x:c r="I67" s="192" t="str">
        <x:v>Title</x:v>
      </x:c>
      <x:c r="J67" s="192" t="str">
        <x:v>2</x:v>
      </x:c>
      <x:c r="K67" s="192" t="str">
        <x:v/>
      </x:c>
      <x:c r="L67" s="192" t="str">
        <x:v>Corporate</x:v>
      </x:c>
      <x:c r="M67" s="192" t="str">
        <x:v>6/30/2018</x:v>
      </x:c>
      <x:c r="N67" s="183" t="n">
        <x:v>15364.00</x:v>
      </x:c>
      <x:c r="O67" s="192" t="str">
        <x:v>10/31/2018</x:v>
      </x:c>
      <x:c r="P67" s="183" t="n">
        <x:v>15775.00</x:v>
      </x:c>
      <x:c r="Q67" s="207" t="n">
        <x:v>0.0013</x:v>
      </x:c>
      <x:c r="R67" s="207" t="n">
        <x:v>0.0015</x:v>
      </x:c>
      <x:c r="S67" s="183" t="n">
        <x:v>305.00</x:v>
      </x:c>
      <x:c r="T67" s="182" t="n">
        <x:f ca="1">=IF(AND(U67=0,S67&gt;0),-100%,IF(OR(S67=0,S67="-"),"-",IF(AND(S67=0,U67=0),0%,IF(S67&lt;U67,SUM(U67-S67)/S67,IF(S67&gt;U67,SUM(-1*(S67-U67)/S67),"")))))</x:f>
        <x:v/>
      </x:c>
      <x:c r="U67" s="183" t="n">
        <x:v>411.00</x:v>
      </x:c>
      <x:c r="V67" s="183" t="n">
        <x:f ca="1">=SUM(U67/ round((O67- M67)/30.42,0))</x:f>
        <x:v/>
      </x:c>
      <x:c r="W67" s="196">
        <x:f ca="1">=IF(T67="","",IF(T67="-","",IF(U67=0,"",IF(OR(T67&gt;AA4,T67&lt;-AA4),"*",""))))</x:f>
        <x:v/>
      </x:c>
      <x:c r="X67" s="98" t="str">
        <x:v/>
      </x:c>
    </x:row>
    <x:row r="68" spans="1:25" s="12" x14ac:dyDescent="0.25">
      <x:c r="A68" s="90" t="str">
        <x:v>63</x:v>
      </x:c>
      <x:c r="B68" s="191" t="str">
        <x:v>FPR55389</x:v>
      </x:c>
      <x:c r="C68" s="191" t="str">
        <x:v>HP LJ P3015</x:v>
      </x:c>
      <x:c r="D68" s="191" t="str">
        <x:v>B/W Copies and B/W Laser Prints</x:v>
      </x:c>
      <x:c r="E68" s="191" t="str">
        <x:v>VNB3S47589</x:v>
      </x:c>
      <x:c r="F68" s="191" t="str">
        <x:v>Active</x:v>
      </x:c>
      <x:c r="G68" s="191" t="str">
        <x:v>Corporate</x:v>
      </x:c>
      <x:c r="H68" s="191" t="str">
        <x:v/>
      </x:c>
      <x:c r="I68" s="191" t="str">
        <x:v/>
      </x:c>
      <x:c r="J68" s="191" t="str">
        <x:v>2</x:v>
      </x:c>
      <x:c r="K68" s="191" t="str">
        <x:v/>
      </x:c>
      <x:c r="L68" s="191" t="str">
        <x:v>Corporate</x:v>
      </x:c>
      <x:c r="M68" s="191" t="str">
        <x:v>6/30/2018</x:v>
      </x:c>
      <x:c r="N68" s="189" t="n">
        <x:v>31464.00</x:v>
      </x:c>
      <x:c r="O68" s="191" t="str">
        <x:v>11/10/2018</x:v>
      </x:c>
      <x:c r="P68" s="189" t="n">
        <x:v>31745.00</x:v>
      </x:c>
      <x:c r="Q68" s="206" t="n">
        <x:v>0.0009</x:v>
      </x:c>
      <x:c r="R68" s="206" t="n">
        <x:v>0.001</x:v>
      </x:c>
      <x:c r="S68" s="189" t="n">
        <x:v>340.00</x:v>
      </x:c>
      <x:c r="T68" s="187" t="n">
        <x:f ca="1">=IF(AND(U68=0,S68&gt;0),-100%,IF(OR(S68=0,S68="-"),"-",IF(AND(S68=0,U68=0),0%,IF(S68&lt;U68,SUM(U68-S68)/S68,IF(S68&gt;U68,SUM(-1*(S68-U68)/S68),"")))))</x:f>
        <x:v/>
      </x:c>
      <x:c r="U68" s="189" t="n">
        <x:v>281.00</x:v>
      </x:c>
      <x:c r="V68" s="189" t="n">
        <x:f ca="1">=SUM(U68/ round((O68- M68)/30.42,0))</x:f>
        <x:v/>
      </x:c>
      <x:c r="W68" s="195">
        <x:f ca="1">=IF(T68="","",IF(T68="-","",IF(U68=0,"",IF(OR(T68&gt;AA4,T68&lt;-AA4),"*",""))))</x:f>
        <x:v/>
      </x:c>
      <x:c r="X68" s="91" t="str">
        <x:v/>
      </x:c>
    </x:row>
    <x:row r="69" spans="1:25" s="12" x14ac:dyDescent="0.25">
      <x:c r="A69" s="96" t="str">
        <x:v>64</x:v>
      </x:c>
      <x:c r="B69" s="192" t="str">
        <x:v>FPR55352</x:v>
      </x:c>
      <x:c r="C69" s="192" t="str">
        <x:v>HP LJ P3015</x:v>
      </x:c>
      <x:c r="D69" s="192" t="str">
        <x:v>B/W Copies and B/W Laser Prints</x:v>
      </x:c>
      <x:c r="E69" s="192" t="str">
        <x:v>VNB3S47746</x:v>
      </x:c>
      <x:c r="F69" s="192" t="str">
        <x:v>Active</x:v>
      </x:c>
      <x:c r="G69" s="192" t="str">
        <x:v>Corporate</x:v>
      </x:c>
      <x:c r="H69" s="192" t="str">
        <x:v/>
      </x:c>
      <x:c r="I69" s="192" t="str">
        <x:v>Lobby</x:v>
      </x:c>
      <x:c r="J69" s="192" t="str">
        <x:v>1</x:v>
      </x:c>
      <x:c r="K69" s="192" t="str">
        <x:v/>
      </x:c>
      <x:c r="L69" s="192" t="str">
        <x:v>Corporate</x:v>
      </x:c>
      <x:c r="M69" s="192" t="str">
        <x:v>6/30/2018</x:v>
      </x:c>
      <x:c r="N69" s="183" t="n">
        <x:v>3592.00</x:v>
      </x:c>
      <x:c r="O69" s="192" t="str">
        <x:v>11/9/2018</x:v>
      </x:c>
      <x:c r="P69" s="183" t="n">
        <x:v>3870.00</x:v>
      </x:c>
      <x:c r="Q69" s="207" t="n">
        <x:v>0.0009</x:v>
      </x:c>
      <x:c r="R69" s="207" t="n">
        <x:v>0.001</x:v>
      </x:c>
      <x:c r="S69" s="183" t="n">
        <x:v>188.00</x:v>
      </x:c>
      <x:c r="T69" s="182" t="n">
        <x:f ca="1">=IF(AND(U69=0,S69&gt;0),-100%,IF(OR(S69=0,S69="-"),"-",IF(AND(S69=0,U69=0),0%,IF(S69&lt;U69,SUM(U69-S69)/S69,IF(S69&gt;U69,SUM(-1*(S69-U69)/S69),"")))))</x:f>
        <x:v/>
      </x:c>
      <x:c r="U69" s="183" t="n">
        <x:v>278.00</x:v>
      </x:c>
      <x:c r="V69" s="183" t="n">
        <x:f ca="1">=SUM(U69/ round((O69- M69)/30.42,0))</x:f>
        <x:v/>
      </x:c>
      <x:c r="W69" s="196">
        <x:f ca="1">=IF(T69="","",IF(T69="-","",IF(U69=0,"",IF(OR(T69&gt;AA4,T69&lt;-AA4),"*",""))))</x:f>
        <x:v/>
      </x:c>
      <x:c r="X69" s="98" t="str">
        <x:v/>
      </x:c>
    </x:row>
    <x:row r="70" spans="1:25" s="12" x14ac:dyDescent="0.25">
      <x:c r="A70" s="90" t="str">
        <x:v>65</x:v>
      </x:c>
      <x:c r="B70" s="191" t="str">
        <x:v>FPR55307</x:v>
      </x:c>
      <x:c r="C70" s="191" t="str">
        <x:v>HP LJ M401n</x:v>
      </x:c>
      <x:c r="D70" s="191" t="str">
        <x:v>B/W Copies and B/W Laser Prints</x:v>
      </x:c>
      <x:c r="E70" s="191" t="str">
        <x:v>PHGDC61367</x:v>
      </x:c>
      <x:c r="F70" s="191" t="str">
        <x:v>Active</x:v>
      </x:c>
      <x:c r="G70" s="191" t="str">
        <x:v>Frankford</x:v>
      </x:c>
      <x:c r="H70" s="191" t="str">
        <x:v/>
      </x:c>
      <x:c r="I70" s="191" t="str">
        <x:v/>
      </x:c>
      <x:c r="J70" s="191" t="str">
        <x:v/>
      </x:c>
      <x:c r="K70" s="191" t="str">
        <x:v/>
      </x:c>
      <x:c r="L70" s="191" t="str">
        <x:v>Frankford</x:v>
      </x:c>
      <x:c r="M70" s="191" t="str">
        <x:v>6/30/2018</x:v>
      </x:c>
      <x:c r="N70" s="189" t="n">
        <x:v>9476.00</x:v>
      </x:c>
      <x:c r="O70" s="191" t="str">
        <x:v>11/10/2018</x:v>
      </x:c>
      <x:c r="P70" s="189" t="n">
        <x:v>9747.00</x:v>
      </x:c>
      <x:c r="Q70" s="206" t="n">
        <x:v>0.0009</x:v>
      </x:c>
      <x:c r="R70" s="206" t="n">
        <x:v>0.001</x:v>
      </x:c>
      <x:c r="S70" s="189" t="n">
        <x:v>144.00</x:v>
      </x:c>
      <x:c r="T70" s="187" t="n">
        <x:f ca="1">=IF(AND(U70=0,S70&gt;0),-100%,IF(OR(S70=0,S70="-"),"-",IF(AND(S70=0,U70=0),0%,IF(S70&lt;U70,SUM(U70-S70)/S70,IF(S70&gt;U70,SUM(-1*(S70-U70)/S70),"")))))</x:f>
        <x:v/>
      </x:c>
      <x:c r="U70" s="189" t="n">
        <x:v>271.00</x:v>
      </x:c>
      <x:c r="V70" s="189" t="n">
        <x:f ca="1">=SUM(U70/ round((O70- M70)/30.42,0))</x:f>
        <x:v/>
      </x:c>
      <x:c r="W70" s="195">
        <x:f ca="1">=IF(T70="","",IF(T70="-","",IF(U70=0,"",IF(OR(T70&gt;AA4,T70&lt;-AA4),"*",""))))</x:f>
        <x:v/>
      </x:c>
      <x:c r="X70" s="91" t="str">
        <x:v/>
      </x:c>
    </x:row>
    <x:row r="71" spans="1:25" s="12" x14ac:dyDescent="0.25">
      <x:c r="A71" s="96" t="str">
        <x:v>66</x:v>
      </x:c>
      <x:c r="B71" s="192" t="str">
        <x:v>FPR55354</x:v>
      </x:c>
      <x:c r="C71" s="192" t="str">
        <x:v>HP LJ P3015</x:v>
      </x:c>
      <x:c r="D71" s="192" t="str">
        <x:v>B/W Copies and B/W Laser Prints</x:v>
      </x:c>
      <x:c r="E71" s="192" t="str">
        <x:v>VNBCB5B17T</x:v>
      </x:c>
      <x:c r="F71" s="192" t="str">
        <x:v>Active</x:v>
      </x:c>
      <x:c r="G71" s="192" t="str">
        <x:v>Corporate</x:v>
      </x:c>
      <x:c r="H71" s="192" t="str">
        <x:v/>
      </x:c>
      <x:c r="I71" s="192" t="str">
        <x:v/>
      </x:c>
      <x:c r="J71" s="192" t="str">
        <x:v>2</x:v>
      </x:c>
      <x:c r="K71" s="192" t="str">
        <x:v>Kayla</x:v>
      </x:c>
      <x:c r="L71" s="192" t="str">
        <x:v>Corporate</x:v>
      </x:c>
      <x:c r="M71" s="192" t="str">
        <x:v>6/30/2018</x:v>
      </x:c>
      <x:c r="N71" s="183" t="n">
        <x:v>33014.00</x:v>
      </x:c>
      <x:c r="O71" s="192" t="str">
        <x:v>11/9/2018</x:v>
      </x:c>
      <x:c r="P71" s="183" t="n">
        <x:v>33221.00</x:v>
      </x:c>
      <x:c r="Q71" s="207" t="n">
        <x:v>0.0007</x:v>
      </x:c>
      <x:c r="R71" s="207" t="n">
        <x:v>0.0008</x:v>
      </x:c>
      <x:c r="S71" s="183" t="n">
        <x:v>330.00</x:v>
      </x:c>
      <x:c r="T71" s="182" t="n">
        <x:f ca="1">=IF(AND(U71=0,S71&gt;0),-100%,IF(OR(S71=0,S71="-"),"-",IF(AND(S71=0,U71=0),0%,IF(S71&lt;U71,SUM(U71-S71)/S71,IF(S71&gt;U71,SUM(-1*(S71-U71)/S71),"")))))</x:f>
        <x:v/>
      </x:c>
      <x:c r="U71" s="183" t="n">
        <x:v>207.00</x:v>
      </x:c>
      <x:c r="V71" s="183" t="n">
        <x:f ca="1">=SUM(U71/ round((O71- M71)/30.42,0))</x:f>
        <x:v/>
      </x:c>
      <x:c r="W71" s="196">
        <x:f ca="1">=IF(T71="","",IF(T71="-","",IF(U71=0,"",IF(OR(T71&gt;AA4,T71&lt;-AA4),"*",""))))</x:f>
        <x:v/>
      </x:c>
      <x:c r="X71" s="98" t="str">
        <x:v/>
      </x:c>
    </x:row>
    <x:row r="72" spans="1:25" s="12" x14ac:dyDescent="0.25">
      <x:c r="A72" s="90" t="str">
        <x:v>67</x:v>
      </x:c>
      <x:c r="B72" s="191" t="str">
        <x:v>FPR55419</x:v>
      </x:c>
      <x:c r="C72" s="191" t="str">
        <x:v>HP LJ P3015</x:v>
      </x:c>
      <x:c r="D72" s="191" t="str">
        <x:v>B/W Copies and B/W Laser Prints</x:v>
      </x:c>
      <x:c r="E72" s="191" t="str">
        <x:v>VNB3137904</x:v>
      </x:c>
      <x:c r="F72" s="191" t="str">
        <x:v>Active</x:v>
      </x:c>
      <x:c r="G72" s="191" t="str">
        <x:v>Duncanville</x:v>
      </x:c>
      <x:c r="H72" s="191" t="str">
        <x:v/>
      </x:c>
      <x:c r="I72" s="191" t="str">
        <x:v>Teller</x:v>
      </x:c>
      <x:c r="J72" s="191" t="str">
        <x:v/>
      </x:c>
      <x:c r="K72" s="191" t="str">
        <x:v/>
      </x:c>
      <x:c r="L72" s="191" t="str">
        <x:v>Duncanville</x:v>
      </x:c>
      <x:c r="M72" s="191" t="str">
        <x:v>6/30/2018</x:v>
      </x:c>
      <x:c r="N72" s="189" t="n">
        <x:v>3964.00</x:v>
      </x:c>
      <x:c r="O72" s="191" t="str">
        <x:v>10/30/2018</x:v>
      </x:c>
      <x:c r="P72" s="189" t="n">
        <x:v>4057.00</x:v>
      </x:c>
      <x:c r="Q72" s="206" t="n">
        <x:v>0.0003</x:v>
      </x:c>
      <x:c r="R72" s="206" t="n">
        <x:v>0.0003</x:v>
      </x:c>
      <x:c r="S72" s="189" t="n">
        <x:v>97.00</x:v>
      </x:c>
      <x:c r="T72" s="187" t="n">
        <x:f ca="1">=IF(AND(U72=0,S72&gt;0),-100%,IF(OR(S72=0,S72="-"),"-",IF(AND(S72=0,U72=0),0%,IF(S72&lt;U72,SUM(U72-S72)/S72,IF(S72&gt;U72,SUM(-1*(S72-U72)/S72),"")))))</x:f>
        <x:v/>
      </x:c>
      <x:c r="U72" s="189" t="n">
        <x:v>93.00</x:v>
      </x:c>
      <x:c r="V72" s="189" t="n">
        <x:f ca="1">=SUM(U72/ round((O72- M72)/30.42,0))</x:f>
        <x:v/>
      </x:c>
      <x:c r="W72" s="195">
        <x:f ca="1">=IF(T72="","",IF(T72="-","",IF(U72=0,"",IF(OR(T72&gt;AA4,T72&lt;-AA4),"*",""))))</x:f>
        <x:v/>
      </x:c>
      <x:c r="X72" s="91" t="str">
        <x:v/>
      </x:c>
    </x:row>
    <x:row r="73" spans="1:25" s="12" x14ac:dyDescent="0.25">
      <x:c r="A73" s="96" t="str">
        <x:v>68</x:v>
      </x:c>
      <x:c r="B73" s="192" t="str">
        <x:v>FPR55402</x:v>
      </x:c>
      <x:c r="C73" s="192" t="str">
        <x:v>HP LJ P3015</x:v>
      </x:c>
      <x:c r="D73" s="192" t="str">
        <x:v>B/W Copies and B/W Laser Prints</x:v>
      </x:c>
      <x:c r="E73" s="192" t="str">
        <x:v>VNB3137900</x:v>
      </x:c>
      <x:c r="F73" s="192" t="str">
        <x:v>Active</x:v>
      </x:c>
      <x:c r="G73" s="192" t="str">
        <x:v>Sherman</x:v>
      </x:c>
      <x:c r="H73" s="192" t="str">
        <x:v/>
      </x:c>
      <x:c r="I73" s="192" t="str">
        <x:v>Wire Room</x:v>
      </x:c>
      <x:c r="J73" s="192" t="str">
        <x:v/>
      </x:c>
      <x:c r="K73" s="192" t="str">
        <x:v/>
      </x:c>
      <x:c r="L73" s="192" t="str">
        <x:v>Sherman</x:v>
      </x:c>
      <x:c r="M73" s="192" t="str">
        <x:v>6/30/2018</x:v>
      </x:c>
      <x:c r="N73" s="183" t="n">
        <x:v>4820.00</x:v>
      </x:c>
      <x:c r="O73" s="192" t="str">
        <x:v>10/30/2018</x:v>
      </x:c>
      <x:c r="P73" s="183" t="n">
        <x:v>4907.00</x:v>
      </x:c>
      <x:c r="Q73" s="207" t="n">
        <x:v>0.0003</x:v>
      </x:c>
      <x:c r="R73" s="207" t="n">
        <x:v>0.0003</x:v>
      </x:c>
      <x:c r="S73" s="183" t="n">
        <x:v>26.00</x:v>
      </x:c>
      <x:c r="T73" s="182" t="n">
        <x:f ca="1">=IF(AND(U73=0,S73&gt;0),-100%,IF(OR(S73=0,S73="-"),"-",IF(AND(S73=0,U73=0),0%,IF(S73&lt;U73,SUM(U73-S73)/S73,IF(S73&gt;U73,SUM(-1*(S73-U73)/S73),"")))))</x:f>
        <x:v/>
      </x:c>
      <x:c r="U73" s="183" t="n">
        <x:v>87.00</x:v>
      </x:c>
      <x:c r="V73" s="183" t="n">
        <x:f ca="1">=SUM(U73/ round((O73- M73)/30.42,0))</x:f>
        <x:v/>
      </x:c>
      <x:c r="W73" s="196">
        <x:f ca="1">=IF(T73="","",IF(T73="-","",IF(U73=0,"",IF(OR(T73&gt;AA4,T73&lt;-AA4),"*",""))))</x:f>
        <x:v/>
      </x:c>
      <x:c r="X73" s="98" t="str">
        <x:v/>
      </x:c>
    </x:row>
    <x:row r="74" spans="1:25" s="12" x14ac:dyDescent="0.25">
      <x:c r="A74" s="90" t="str">
        <x:v>69</x:v>
      </x:c>
      <x:c r="B74" s="191" t="str">
        <x:v>FPR55314</x:v>
      </x:c>
      <x:c r="C74" s="191" t="str">
        <x:v>HP LJ M401n</x:v>
      </x:c>
      <x:c r="D74" s="191" t="str">
        <x:v>B/W Copies and B/W Laser Prints</x:v>
      </x:c>
      <x:c r="E74" s="191" t="str">
        <x:v>PHGDC61342</x:v>
      </x:c>
      <x:c r="F74" s="191" t="str">
        <x:v>Active</x:v>
      </x:c>
      <x:c r="G74" s="191" t="str">
        <x:v>Corporate</x:v>
      </x:c>
      <x:c r="H74" s="191" t="str">
        <x:v/>
      </x:c>
      <x:c r="I74" s="191" t="str">
        <x:v/>
      </x:c>
      <x:c r="J74" s="191" t="str">
        <x:v>2</x:v>
      </x:c>
      <x:c r="K74" s="191" t="str">
        <x:v>John Bailey</x:v>
      </x:c>
      <x:c r="L74" s="191" t="str">
        <x:v>Corporate</x:v>
      </x:c>
      <x:c r="M74" s="191" t="str">
        <x:v>6/30/2018</x:v>
      </x:c>
      <x:c r="N74" s="189" t="n">
        <x:v>2756.00</x:v>
      </x:c>
      <x:c r="O74" s="191" t="str">
        <x:v>11/9/2018</x:v>
      </x:c>
      <x:c r="P74" s="189" t="n">
        <x:v>2830.00</x:v>
      </x:c>
      <x:c r="Q74" s="206" t="n">
        <x:v>0.0002</x:v>
      </x:c>
      <x:c r="R74" s="206" t="n">
        <x:v>0.0003</x:v>
      </x:c>
      <x:c r="S74" s="189" t="n">
        <x:v>14.00</x:v>
      </x:c>
      <x:c r="T74" s="187" t="n">
        <x:f ca="1">=IF(AND(U74=0,S74&gt;0),-100%,IF(OR(S74=0,S74="-"),"-",IF(AND(S74=0,U74=0),0%,IF(S74&lt;U74,SUM(U74-S74)/S74,IF(S74&gt;U74,SUM(-1*(S74-U74)/S74),"")))))</x:f>
        <x:v/>
      </x:c>
      <x:c r="U74" s="189" t="n">
        <x:v>74.00</x:v>
      </x:c>
      <x:c r="V74" s="189" t="n">
        <x:f ca="1">=SUM(U74/ round((O74- M74)/30.42,0))</x:f>
        <x:v/>
      </x:c>
      <x:c r="W74" s="195">
        <x:f ca="1">=IF(T74="","",IF(T74="-","",IF(U74=0,"",IF(OR(T74&gt;AA4,T74&lt;-AA4),"*",""))))</x:f>
        <x:v/>
      </x:c>
      <x:c r="X74" s="91" t="str">
        <x:v/>
      </x:c>
    </x:row>
    <x:row r="75" spans="1:25" s="12" x14ac:dyDescent="0.25">
      <x:c r="A75" s="96" t="str">
        <x:v>70</x:v>
      </x:c>
      <x:c r="B75" s="192" t="str">
        <x:v>FPR55398</x:v>
      </x:c>
      <x:c r="C75" s="192" t="str">
        <x:v>HP LJ M521dn</x:v>
      </x:c>
      <x:c r="D75" s="192" t="str">
        <x:v>B/W Copies and B/W Laser Prints</x:v>
      </x:c>
      <x:c r="E75" s="192" t="str">
        <x:v>CNDKL8L0X6</x:v>
      </x:c>
      <x:c r="F75" s="192" t="str">
        <x:v>Active</x:v>
      </x:c>
      <x:c r="G75" s="192" t="str">
        <x:v>Waxahachie</x:v>
      </x:c>
      <x:c r="H75" s="192" t="str">
        <x:v/>
      </x:c>
      <x:c r="I75" s="192" t="str">
        <x:v>Teller</x:v>
      </x:c>
      <x:c r="J75" s="192" t="str">
        <x:v/>
      </x:c>
      <x:c r="K75" s="192" t="str">
        <x:v/>
      </x:c>
      <x:c r="L75" s="192" t="str">
        <x:v/>
      </x:c>
      <x:c r="M75" s="192" t="str">
        <x:v>10/12/2018</x:v>
      </x:c>
      <x:c r="N75" s="183" t="n">
        <x:v>0.00</x:v>
      </x:c>
      <x:c r="O75" s="192" t="str">
        <x:v>10/22/2018</x:v>
      </x:c>
      <x:c r="P75" s="183" t="n">
        <x:v>17.00</x:v>
      </x:c>
      <x:c r="Q75" s="207" t="n">
        <x:v>0.0001</x:v>
      </x:c>
      <x:c r="R75" s="207" t="n">
        <x:v>0.0001</x:v>
      </x:c>
      <x:c r="S75" s="183" t="n">
        <x:v/>
      </x:c>
      <x:c r="T75" s="182" t="n">
        <x:f ca="1">=IF(AND(U75=0,S75&gt;0),-100%,IF(OR(S75=0,S75="-"),"-",IF(AND(S75=0,U75=0),0%,IF(S75&lt;U75,SUM(U75-S75)/S75,IF(S75&gt;U75,SUM(-1*(S75-U75)/S75),"")))))</x:f>
        <x:v/>
      </x:c>
      <x:c r="U75" s="183" t="n">
        <x:v>17.00</x:v>
      </x:c>
      <x:c r="V75" s="183" t="n">
        <x:f ca="1">=SUM(U75/ round((O75- M75)/30.42,0))</x:f>
        <x:v/>
      </x:c>
      <x:c r="W75" s="196">
        <x:f ca="1">=IF(T75="","",IF(T75="-","",IF(U75=0,"",IF(OR(T75&gt;AA4,T75&lt;-AA4),"*",""))))</x:f>
        <x:v/>
      </x:c>
      <x:c r="X75" s="98" t="str">
        <x:v/>
      </x:c>
    </x:row>
    <x:row r="76" spans="1:25" s="12" x14ac:dyDescent="0.25">
      <x:c r="A76" s="90" t="str">
        <x:v>71</x:v>
      </x:c>
      <x:c r="B76" s="191" t="str">
        <x:v>FPR55308</x:v>
      </x:c>
      <x:c r="C76" s="191" t="str">
        <x:v>HP LJ M401n</x:v>
      </x:c>
      <x:c r="D76" s="191" t="str">
        <x:v>B/W Copies and B/W Laser Prints</x:v>
      </x:c>
      <x:c r="E76" s="191" t="str">
        <x:v>PHGDC61374</x:v>
      </x:c>
      <x:c r="F76" s="191" t="str">
        <x:v>Active</x:v>
      </x:c>
      <x:c r="G76" s="191" t="str">
        <x:v>Duncanville</x:v>
      </x:c>
      <x:c r="H76" s="191" t="str">
        <x:v/>
      </x:c>
      <x:c r="I76" s="191" t="str">
        <x:v/>
      </x:c>
      <x:c r="J76" s="191" t="str">
        <x:v/>
      </x:c>
      <x:c r="K76" s="191" t="str">
        <x:v>Mitch</x:v>
      </x:c>
      <x:c r="L76" s="191" t="str">
        <x:v>Duncanville</x:v>
      </x:c>
      <x:c r="M76" s="191" t="str">
        <x:v>6/30/2018</x:v>
      </x:c>
      <x:c r="N76" s="189" t="n">
        <x:v>10308.00</x:v>
      </x:c>
      <x:c r="O76" s="191" t="str">
        <x:v>11/10/2018</x:v>
      </x:c>
      <x:c r="P76" s="189" t="n">
        <x:v>10308.00</x:v>
      </x:c>
      <x:c r="Q76" s="206" t="n">
        <x:v>0.00</x:v>
      </x:c>
      <x:c r="R76" s="206" t="n">
        <x:v>0.00</x:v>
      </x:c>
      <x:c r="S76" s="189" t="n">
        <x:v>0.00</x:v>
      </x:c>
      <x:c r="T76" s="187" t="n">
        <x:f ca="1">=IF(AND(U76=0,S76&gt;0),-100%,IF(OR(S76=0,S76="-"),"-",IF(AND(S76=0,U76=0),0%,IF(S76&lt;U76,SUM(U76-S76)/S76,IF(S76&gt;U76,SUM(-1*(S76-U76)/S76),"")))))</x:f>
        <x:v/>
      </x:c>
      <x:c r="U76" s="189" t="n">
        <x:v>0.00</x:v>
      </x:c>
      <x:c r="V76" s="189" t="n">
        <x:f ca="1">=SUM(U76/ round((O76- M76)/30.42,0))</x:f>
        <x:v/>
      </x:c>
      <x:c r="W76" s="195">
        <x:f ca="1">=IF(T76="","",IF(T76="-","",IF(U76=0,"",IF(OR(T76&gt;AA4,T76&lt;-AA4),"*",""))))</x:f>
        <x:v/>
      </x:c>
      <x:c r="X76" s="91" t="str">
        <x:v/>
      </x:c>
    </x:row>
    <x:row r="77" spans="1:25" s="12" x14ac:dyDescent="0.25">
      <x:c r="A77" s="96" t="str">
        <x:v>72</x:v>
      </x:c>
      <x:c r="B77" s="192" t="str">
        <x:v>AFPR55430</x:v>
      </x:c>
      <x:c r="C77" s="192" t="str">
        <x:v>HP LJ M426fdn</x:v>
      </x:c>
      <x:c r="D77" s="192" t="str">
        <x:v>B/W Copies and B/W Laser Prints</x:v>
      </x:c>
      <x:c r="E77" s="192" t="str">
        <x:v>PHBLK67FLK</x:v>
      </x:c>
      <x:c r="F77" s="192" t="str">
        <x:v>Inactive</x:v>
      </x:c>
      <x:c r="G77" s="192" t="str">
        <x:v>Frankford</x:v>
      </x:c>
      <x:c r="H77" s="192" t="str">
        <x:v/>
      </x:c>
      <x:c r="I77" s="192" t="str">
        <x:v>Cannot Find</x:v>
      </x:c>
      <x:c r="J77" s="192" t="str">
        <x:v/>
      </x:c>
      <x:c r="K77" s="192" t="str">
        <x:v/>
      </x:c>
      <x:c r="L77" s="192" t="str">
        <x:v/>
      </x:c>
      <x:c r="M77" s="192" t="str">
        <x:v>6/30/2018</x:v>
      </x:c>
      <x:c r="N77" s="183" t="n">
        <x:v>4117.00</x:v>
      </x:c>
      <x:c r="O77" s="192" t="str">
        <x:v>10/31/2018</x:v>
      </x:c>
      <x:c r="P77" s="183" t="n">
        <x:v>4117.00</x:v>
      </x:c>
      <x:c r="Q77" s="207" t="n">
        <x:v>0.00</x:v>
      </x:c>
      <x:c r="R77" s="207" t="n">
        <x:v>0.00</x:v>
      </x:c>
      <x:c r="S77" s="183" t="n">
        <x:v>0.00</x:v>
      </x:c>
      <x:c r="T77" s="182" t="n">
        <x:f ca="1">=IF(AND(U77=0,S77&gt;0),-100%,IF(OR(S77=0,S77="-"),"-",IF(AND(S77=0,U77=0),0%,IF(S77&lt;U77,SUM(U77-S77)/S77,IF(S77&gt;U77,SUM(-1*(S77-U77)/S77),"")))))</x:f>
        <x:v/>
      </x:c>
      <x:c r="U77" s="183" t="n">
        <x:v>0.00</x:v>
      </x:c>
      <x:c r="V77" s="183" t="n">
        <x:f ca="1">=SUM(U77/ round((O77- M77)/30.42,0))</x:f>
        <x:v/>
      </x:c>
      <x:c r="W77" s="196">
        <x:f ca="1">=IF(T77="","",IF(T77="-","",IF(U77=0,"",IF(OR(T77&gt;AA4,T77&lt;-AA4),"*",""))))</x:f>
        <x:v/>
      </x:c>
      <x:c r="X77" s="98" t="str">
        <x:v/>
      </x:c>
    </x:row>
    <x:row r="78" spans="1:25" s="12" x14ac:dyDescent="0.25">
      <x:c r="A78" s="90" t="str">
        <x:v>73</x:v>
      </x:c>
      <x:c r="B78" s="191" t="str">
        <x:v>AFPR55303</x:v>
      </x:c>
      <x:c r="C78" s="191" t="str">
        <x:v>HP LJ M401dn</x:v>
      </x:c>
      <x:c r="D78" s="191" t="str">
        <x:v>B/W Copies and B/W Laser Prints</x:v>
      </x:c>
      <x:c r="E78" s="191" t="str">
        <x:v>PHGFF10985</x:v>
      </x:c>
      <x:c r="F78" s="191" t="str">
        <x:v>Inactive</x:v>
      </x:c>
      <x:c r="G78" s="191" t="str">
        <x:v>Frankford</x:v>
      </x:c>
      <x:c r="H78" s="191" t="str">
        <x:v/>
      </x:c>
      <x:c r="I78" s="191" t="str">
        <x:v>Back Office (Cannot Find)</x:v>
      </x:c>
      <x:c r="J78" s="191" t="str">
        <x:v/>
      </x:c>
      <x:c r="K78" s="191" t="str">
        <x:v>Amber</x:v>
      </x:c>
      <x:c r="L78" s="191" t="str">
        <x:v>Frankford</x:v>
      </x:c>
      <x:c r="M78" s="191" t="str">
        <x:v>6/30/2018</x:v>
      </x:c>
      <x:c r="N78" s="189" t="n">
        <x:v>7380.00</x:v>
      </x:c>
      <x:c r="O78" s="191" t="str">
        <x:v>10/31/2018</x:v>
      </x:c>
      <x:c r="P78" s="189" t="n">
        <x:v>7380.00</x:v>
      </x:c>
      <x:c r="Q78" s="206" t="n">
        <x:v>0.00</x:v>
      </x:c>
      <x:c r="R78" s="206" t="n">
        <x:v>0.00</x:v>
      </x:c>
      <x:c r="S78" s="189" t="n">
        <x:v>0.00</x:v>
      </x:c>
      <x:c r="T78" s="187" t="n">
        <x:f ca="1">=IF(AND(U78=0,S78&gt;0),-100%,IF(OR(S78=0,S78="-"),"-",IF(AND(S78=0,U78=0),0%,IF(S78&lt;U78,SUM(U78-S78)/S78,IF(S78&gt;U78,SUM(-1*(S78-U78)/S78),"")))))</x:f>
        <x:v/>
      </x:c>
      <x:c r="U78" s="189" t="n">
        <x:v>0.00</x:v>
      </x:c>
      <x:c r="V78" s="189" t="n">
        <x:f ca="1">=SUM(U78/ round((O78- M78)/30.42,0))</x:f>
        <x:v/>
      </x:c>
      <x:c r="W78" s="195">
        <x:f ca="1">=IF(T78="","",IF(T78="-","",IF(U78=0,"",IF(OR(T78&gt;AA4,T78&lt;-AA4),"*",""))))</x:f>
        <x:v/>
      </x:c>
      <x:c r="X78" s="91" t="str">
        <x:v/>
      </x:c>
    </x:row>
    <x:row r="79" spans="1:25" s="12" x14ac:dyDescent="0.25">
      <x:c r="A79" s="96" t="str">
        <x:v>74</x:v>
      </x:c>
      <x:c r="B79" s="192" t="str">
        <x:v>FPR55365</x:v>
      </x:c>
      <x:c r="C79" s="192" t="str">
        <x:v>HP LJ P3015</x:v>
      </x:c>
      <x:c r="D79" s="192" t="str">
        <x:v>B/W Copies and B/W Laser Prints</x:v>
      </x:c>
      <x:c r="E79" s="192" t="str">
        <x:v>VNB3S43915</x:v>
      </x:c>
      <x:c r="F79" s="192" t="str">
        <x:v>Active</x:v>
      </x:c>
      <x:c r="G79" s="192" t="str">
        <x:v>Duncanville</x:v>
      </x:c>
      <x:c r="H79" s="192" t="str">
        <x:v/>
      </x:c>
      <x:c r="I79" s="192" t="str">
        <x:v>Back Office</x:v>
      </x:c>
      <x:c r="J79" s="192" t="str">
        <x:v/>
      </x:c>
      <x:c r="K79" s="192" t="str">
        <x:v>Sallie</x:v>
      </x:c>
      <x:c r="L79" s="192" t="str">
        <x:v>Duncanville</x:v>
      </x:c>
      <x:c r="M79" s="192" t="str">
        <x:v>6/30/2018</x:v>
      </x:c>
      <x:c r="N79" s="183" t="n">
        <x:v>8131.00</x:v>
      </x:c>
      <x:c r="O79" s="192" t="str">
        <x:v>11/10/2018</x:v>
      </x:c>
      <x:c r="P79" s="183" t="n">
        <x:v>8131.00</x:v>
      </x:c>
      <x:c r="Q79" s="207" t="n">
        <x:v>0.00</x:v>
      </x:c>
      <x:c r="R79" s="207" t="n">
        <x:v>0.00</x:v>
      </x:c>
      <x:c r="S79" s="183" t="n">
        <x:v>0.00</x:v>
      </x:c>
      <x:c r="T79" s="182" t="n">
        <x:f ca="1">=IF(AND(U79=0,S79&gt;0),-100%,IF(OR(S79=0,S79="-"),"-",IF(AND(S79=0,U79=0),0%,IF(S79&lt;U79,SUM(U79-S79)/S79,IF(S79&gt;U79,SUM(-1*(S79-U79)/S79),"")))))</x:f>
        <x:v/>
      </x:c>
      <x:c r="U79" s="183" t="n">
        <x:v>0.00</x:v>
      </x:c>
      <x:c r="V79" s="183" t="n">
        <x:f ca="1">=SUM(U79/ round((O79- M79)/30.42,0))</x:f>
        <x:v/>
      </x:c>
      <x:c r="W79" s="196">
        <x:f ca="1">=IF(T79="","",IF(T79="-","",IF(U79=0,"",IF(OR(T79&gt;AA4,T79&lt;-AA4),"*",""))))</x:f>
        <x:v/>
      </x:c>
      <x:c r="X79" s="98" t="str">
        <x:v/>
      </x:c>
    </x:row>
    <x:row r="80" spans="1:25" s="12" x14ac:dyDescent="0.25">
      <x:c r="A80" s="90" t="str">
        <x:v>75</x:v>
      </x:c>
      <x:c r="B80" s="191" t="str">
        <x:v>FPR55320</x:v>
      </x:c>
      <x:c r="C80" s="191" t="str">
        <x:v>HP LJ M401n</x:v>
      </x:c>
      <x:c r="D80" s="191" t="str">
        <x:v>B/W Copies and B/W Laser Prints</x:v>
      </x:c>
      <x:c r="E80" s="191" t="str">
        <x:v>PHGDC61199</x:v>
      </x:c>
      <x:c r="F80" s="191" t="str">
        <x:v>Active</x:v>
      </x:c>
      <x:c r="G80" s="191" t="str">
        <x:v>Dallas</x:v>
      </x:c>
      <x:c r="H80" s="191" t="str">
        <x:v/>
      </x:c>
      <x:c r="I80" s="191" t="str">
        <x:v/>
      </x:c>
      <x:c r="J80" s="191" t="str">
        <x:v/>
      </x:c>
      <x:c r="K80" s="191" t="str">
        <x:v/>
      </x:c>
      <x:c r="L80" s="191" t="str">
        <x:v>Dallas</x:v>
      </x:c>
      <x:c r="M80" s="191" t="str">
        <x:v>6/30/2018</x:v>
      </x:c>
      <x:c r="N80" s="189" t="n">
        <x:v>5675.00</x:v>
      </x:c>
      <x:c r="O80" s="191" t="str">
        <x:v>10/31/2018</x:v>
      </x:c>
      <x:c r="P80" s="189" t="n">
        <x:v>5675.00</x:v>
      </x:c>
      <x:c r="Q80" s="206" t="n">
        <x:v>0.00</x:v>
      </x:c>
      <x:c r="R80" s="206" t="n">
        <x:v>0.00</x:v>
      </x:c>
      <x:c r="S80" s="189" t="n">
        <x:v>0.00</x:v>
      </x:c>
      <x:c r="T80" s="187" t="n">
        <x:f ca="1">=IF(AND(U80=0,S80&gt;0),-100%,IF(OR(S80=0,S80="-"),"-",IF(AND(S80=0,U80=0),0%,IF(S80&lt;U80,SUM(U80-S80)/S80,IF(S80&gt;U80,SUM(-1*(S80-U80)/S80),"")))))</x:f>
        <x:v/>
      </x:c>
      <x:c r="U80" s="189" t="n">
        <x:v>0.00</x:v>
      </x:c>
      <x:c r="V80" s="189" t="n">
        <x:f ca="1">=SUM(U80/ round((O80- M80)/30.42,0))</x:f>
        <x:v/>
      </x:c>
      <x:c r="W80" s="195">
        <x:f ca="1">=IF(T80="","",IF(T80="-","",IF(U80=0,"",IF(OR(T80&gt;AA4,T80&lt;-AA4),"*",""))))</x:f>
        <x:v/>
      </x:c>
      <x:c r="X80" s="91" t="str">
        <x:v/>
      </x:c>
    </x:row>
    <x:row r="81" spans="1:10" ht="15.5" customHeight="1" x14ac:dyDescent="0.25">
      <x:c r="A81" s="174"/>
      <x:c r="B81" s="174"/>
      <x:c r="C81" s="174"/>
      <x:c r="D81" s="174"/>
      <x:c r="E81" s="174"/>
      <x:c r="F81" s="174"/>
      <x:c r="G81" s="174"/>
      <x:c r="H81" s="174"/>
      <x:c r="I81" s="174"/>
      <x:c r="J81" s="174"/>
      <x:c r="K81" s="174"/>
      <x:c r="L81" s="174"/>
      <x:c r="M81" s="174"/>
      <x:c r="N81" s="174"/>
      <x:c r="O81" s="174"/>
      <x:c r="P81" s="174"/>
      <x:c r="Q81" s="174"/>
      <x:c r="R81" s="174"/>
      <x:c r="S81" s="205" t="n">
        <x:f ca="1">SUM(S6:S80)</x:f>
      </x:c>
      <x:c r="T81" s="174"/>
      <x:c r="U81" s="205" t="n">
        <x:f ca="1">SUM(U6:U80)</x:f>
      </x:c>
      <x:c r="V81" s="205" t="n">
        <x:f ca="1">SUM(V6:V80)</x:f>
      </x:c>
      <x:c r="W81" s="174"/>
      <x:c r="X81" s="174"/>
    </x:row>
    <x:row r="82" spans="1:25" ht="38.5" customHeight="1" x14ac:dyDescent="0.25">
      <x:c r="A82" s="194">
        <x:v>Color Copier (Color Pages)</x:v>
      </x:c>
    </x:row>
    <x:row r="83" spans="1:25" s="12" customFormat="1" ht="37.35" customHeight="1" x14ac:dyDescent="0.25">
      <x:c r="A83" s="47" t="str">
        <x:v>Line #</x:v>
      </x:c>
      <x:c r="B83" s="45" t="str">
        <x:v>Device ID</x:v>
      </x:c>
      <x:c r="C83" s="45" t="str">
        <x:v>Model </x:v>
      </x:c>
      <x:c r="D83" s="45" t="str">
        <x:v>Meter Type</x:v>
      </x:c>
      <x:c r="E83" s="45" t="str">
        <x:v>Serial Number</x:v>
      </x:c>
      <x:c r="F83" s="45" t="str">
        <x:v>Device Status</x:v>
      </x:c>
      <x:c r="G83" s="45" t="str">
        <x:v>Location</x:v>
      </x:c>
      <x:c r="H83" s="45" t="str">
        <x:v>Bldg</x:v>
      </x:c>
      <x:c r="I83" s="45" t="str">
        <x:v>Dept.</x:v>
      </x:c>
      <x:c r="J83" s="45" t="str">
        <x:v>Floor</x:v>
      </x:c>
      <x:c r="K83" s="45" t="str">
        <x:v>User</x:v>
      </x:c>
      <x:c r="L83" s="45" t="str">
        <x:v>Cost Center</x:v>
      </x:c>
      <x:c r="M83" s="45" t="str">
        <x:v>Start Date</x:v>
      </x:c>
      <x:c r="N83" s="45" t="str">
        <x:v>Start Meter</x:v>
      </x:c>
      <x:c r="O83" s="45" t="str">
        <x:v>End Date</x:v>
      </x:c>
      <x:c r="P83" s="45" t="str">
        <x:v>End Meter</x:v>
      </x:c>
      <x:c r="Q83" s="45" t="str">
        <x:v>% of Total Usage</x:v>
      </x:c>
      <x:c r="R83" s="45" t="str">
        <x:v>% Usage By Meter Group</x:v>
      </x:c>
      <x:c r="S83" s="45" t="str">
        <x:v>Volume Last Period</x:v>
      </x:c>
      <x:c r="T83" s="45" t="str">
        <x:v>% Change</x:v>
      </x:c>
      <x:c r="U83" s="45" t="str">
        <x:v>Volume Current Period</x:v>
      </x:c>
      <x:c r="V83" s="45" t="str">
        <x:v>Avg. Monthly Vol.</x:v>
      </x:c>
      <x:c r="W83" s="45"/>
      <x:c r="X83" s="46" t="str">
        <x:v>Comments</x:v>
      </x:c>
    </x:row>
    <x:row r="84" spans="1:25" s="12" x14ac:dyDescent="0.25">
      <x:c r="A84" s="90" t="str">
        <x:v>76</x:v>
      </x:c>
      <x:c r="B84" s="191" t="str">
        <x:v>FPR55351</x:v>
      </x:c>
      <x:c r="C84" s="191" t="str">
        <x:v>Konica Minolta BizHub C454e</x:v>
      </x:c>
      <x:c r="D84" s="191" t="str">
        <x:v>Color Copier (Color Pages)</x:v>
      </x:c>
      <x:c r="E84" s="191" t="str">
        <x:v>A5C0011021184</x:v>
      </x:c>
      <x:c r="F84" s="191" t="str">
        <x:v>Active</x:v>
      </x:c>
      <x:c r="G84" s="191" t="str">
        <x:v>Corporate</x:v>
      </x:c>
      <x:c r="H84" s="191" t="str">
        <x:v/>
      </x:c>
      <x:c r="I84" s="191" t="str">
        <x:v/>
      </x:c>
      <x:c r="J84" s="191" t="str">
        <x:v/>
      </x:c>
      <x:c r="K84" s="191" t="str">
        <x:v/>
      </x:c>
      <x:c r="L84" s="191" t="str">
        <x:v>Corporate</x:v>
      </x:c>
      <x:c r="M84" s="191" t="str">
        <x:v>6/30/2018</x:v>
      </x:c>
      <x:c r="N84" s="189" t="n">
        <x:v>70734.00</x:v>
      </x:c>
      <x:c r="O84" s="191" t="str">
        <x:v>10/30/2018</x:v>
      </x:c>
      <x:c r="P84" s="189" t="n">
        <x:v>78352.00</x:v>
      </x:c>
      <x:c r="Q84" s="206" t="n">
        <x:v>0.0242</x:v>
      </x:c>
      <x:c r="R84" s="206" t="n">
        <x:v>0.5106</x:v>
      </x:c>
      <x:c r="S84" s="189" t="n">
        <x:v>5224.00</x:v>
      </x:c>
      <x:c r="T84" s="187" t="n">
        <x:f ca="1">=IF(AND(U84=0,S84&gt;0),-100%,IF(OR(S84=0,S84="-"),"-",IF(AND(S84=0,U84=0),0%,IF(S84&lt;U84,SUM(U84-S84)/S84,IF(S84&gt;U84,SUM(-1*(S84-U84)/S84),"")))))</x:f>
        <x:v/>
      </x:c>
      <x:c r="U84" s="189" t="n">
        <x:v>7618.00</x:v>
      </x:c>
      <x:c r="V84" s="189" t="n">
        <x:f ca="1">=SUM(U84/ round((O84- M84)/30.42,0))</x:f>
        <x:v/>
      </x:c>
      <x:c r="W84" s="195">
        <x:f ca="1">=IF(T84="","",IF(T84="-","",IF(U84=0,"",IF(OR(T84&gt; AA4 ,T84&lt;-AA4),"*",""))))</x:f>
        <x:v/>
      </x:c>
      <x:c r="X84" s="91" t="str">
        <x:v/>
      </x:c>
    </x:row>
    <x:row r="85" spans="1:25" s="12" x14ac:dyDescent="0.25">
      <x:c r="A85" s="96" t="str">
        <x:v>77</x:v>
      </x:c>
      <x:c r="B85" s="192" t="str">
        <x:v>FPR55393</x:v>
      </x:c>
      <x:c r="C85" s="192" t="str">
        <x:v>Konica Minolta BizHub C454e</x:v>
      </x:c>
      <x:c r="D85" s="192" t="str">
        <x:v>Color Copier (Color Pages)</x:v>
      </x:c>
      <x:c r="E85" s="192" t="str">
        <x:v>A5C0011021071</x:v>
      </x:c>
      <x:c r="F85" s="192" t="str">
        <x:v>Active</x:v>
      </x:c>
      <x:c r="G85" s="192" t="str">
        <x:v>Dallas</x:v>
      </x:c>
      <x:c r="H85" s="192" t="str">
        <x:v/>
      </x:c>
      <x:c r="I85" s="192" t="str">
        <x:v/>
      </x:c>
      <x:c r="J85" s="192" t="str">
        <x:v/>
      </x:c>
      <x:c r="K85" s="192" t="str">
        <x:v/>
      </x:c>
      <x:c r="L85" s="192" t="str">
        <x:v/>
      </x:c>
      <x:c r="M85" s="192" t="str">
        <x:v>6/30/2018</x:v>
      </x:c>
      <x:c r="N85" s="183" t="n">
        <x:v>85624.00</x:v>
      </x:c>
      <x:c r="O85" s="192" t="str">
        <x:v>10/31/2018</x:v>
      </x:c>
      <x:c r="P85" s="183" t="n">
        <x:v>92925.00</x:v>
      </x:c>
      <x:c r="Q85" s="207" t="n">
        <x:v>0.0232</x:v>
      </x:c>
      <x:c r="R85" s="207" t="n">
        <x:v>0.4894</x:v>
      </x:c>
      <x:c r="S85" s="183" t="n">
        <x:v>6976.00</x:v>
      </x:c>
      <x:c r="T85" s="182" t="n">
        <x:f ca="1">=IF(AND(U85=0,S85&gt;0),-100%,IF(OR(S85=0,S85="-"),"-",IF(AND(S85=0,U85=0),0%,IF(S85&lt;U85,SUM(U85-S85)/S85,IF(S85&gt;U85,SUM(-1*(S85-U85)/S85),"")))))</x:f>
        <x:v/>
      </x:c>
      <x:c r="U85" s="183" t="n">
        <x:v>7301.00</x:v>
      </x:c>
      <x:c r="V85" s="183" t="n">
        <x:f ca="1">=SUM(U85/ round((O85- M85)/30.42,0))</x:f>
        <x:v/>
      </x:c>
      <x:c r="W85" s="196">
        <x:f ca="1">=IF(T85="","",IF(T85="-","",IF(U85=0,"",IF(OR(T85&gt;AA4,T85&lt;-AA4),"*",""))))</x:f>
        <x:v/>
      </x:c>
      <x:c r="X85" s="98" t="str">
        <x:v/>
      </x:c>
    </x:row>
    <x:row r="86" spans="1:10" ht="15.5" customHeight="1" x14ac:dyDescent="0.25">
      <x:c r="A86" s="174"/>
      <x:c r="B86" s="174"/>
      <x:c r="C86" s="174"/>
      <x:c r="D86" s="174"/>
      <x:c r="E86" s="174"/>
      <x:c r="F86" s="174"/>
      <x:c r="G86" s="174"/>
      <x:c r="H86" s="174"/>
      <x:c r="I86" s="174"/>
      <x:c r="J86" s="174"/>
      <x:c r="K86" s="174"/>
      <x:c r="L86" s="174"/>
      <x:c r="M86" s="174"/>
      <x:c r="N86" s="174"/>
      <x:c r="O86" s="174"/>
      <x:c r="P86" s="174"/>
      <x:c r="Q86" s="174"/>
      <x:c r="R86" s="174"/>
      <x:c r="S86" s="205" t="n">
        <x:f ca="1">SUM(S84:S85)</x:f>
      </x:c>
      <x:c r="T86" s="174"/>
      <x:c r="U86" s="205" t="n">
        <x:f ca="1">SUM(U84:U85)</x:f>
      </x:c>
      <x:c r="V86" s="205" t="n">
        <x:f ca="1">SUM(V84:V85)</x:f>
      </x:c>
      <x:c r="W86" s="174"/>
      <x:c r="X86" s="174"/>
    </x:row>
    <x:row r="87" spans="1:25" ht="38.5" customHeight="1" x14ac:dyDescent="0.25">
      <x:c r="A87" s="194">
        <x:v>Color Laser Prints</x:v>
      </x:c>
    </x:row>
    <x:row r="88" spans="1:25" s="12" customFormat="1" ht="37.35" customHeight="1" x14ac:dyDescent="0.25">
      <x:c r="A88" s="47" t="str">
        <x:v>Line #</x:v>
      </x:c>
      <x:c r="B88" s="45" t="str">
        <x:v>Device ID</x:v>
      </x:c>
      <x:c r="C88" s="45" t="str">
        <x:v>Model </x:v>
      </x:c>
      <x:c r="D88" s="45" t="str">
        <x:v>Meter Type</x:v>
      </x:c>
      <x:c r="E88" s="45" t="str">
        <x:v>Serial Number</x:v>
      </x:c>
      <x:c r="F88" s="45" t="str">
        <x:v>Device Status</x:v>
      </x:c>
      <x:c r="G88" s="45" t="str">
        <x:v>Location</x:v>
      </x:c>
      <x:c r="H88" s="45" t="str">
        <x:v>Bldg</x:v>
      </x:c>
      <x:c r="I88" s="45" t="str">
        <x:v>Dept.</x:v>
      </x:c>
      <x:c r="J88" s="45" t="str">
        <x:v>Floor</x:v>
      </x:c>
      <x:c r="K88" s="45" t="str">
        <x:v>User</x:v>
      </x:c>
      <x:c r="L88" s="45" t="str">
        <x:v>Cost Center</x:v>
      </x:c>
      <x:c r="M88" s="45" t="str">
        <x:v>Start Date</x:v>
      </x:c>
      <x:c r="N88" s="45" t="str">
        <x:v>Start Meter</x:v>
      </x:c>
      <x:c r="O88" s="45" t="str">
        <x:v>End Date</x:v>
      </x:c>
      <x:c r="P88" s="45" t="str">
        <x:v>End Meter</x:v>
      </x:c>
      <x:c r="Q88" s="45" t="str">
        <x:v>% of Total Usage</x:v>
      </x:c>
      <x:c r="R88" s="45" t="str">
        <x:v>% Usage By Meter Group</x:v>
      </x:c>
      <x:c r="S88" s="45" t="str">
        <x:v>Volume Last Period</x:v>
      </x:c>
      <x:c r="T88" s="45" t="str">
        <x:v>% Change</x:v>
      </x:c>
      <x:c r="U88" s="45" t="str">
        <x:v>Volume Current Period</x:v>
      </x:c>
      <x:c r="V88" s="45" t="str">
        <x:v>Avg. Monthly Vol.</x:v>
      </x:c>
      <x:c r="W88" s="45"/>
      <x:c r="X88" s="46" t="str">
        <x:v>Comments</x:v>
      </x:c>
    </x:row>
    <x:row r="89" spans="1:25" s="12" x14ac:dyDescent="0.25">
      <x:c r="A89" s="90" t="str">
        <x:v>78</x:v>
      </x:c>
      <x:c r="B89" s="191" t="str">
        <x:v>FPR55392</x:v>
      </x:c>
      <x:c r="C89" s="191" t="str">
        <x:v>HP CLJ M575</x:v>
      </x:c>
      <x:c r="D89" s="191" t="str">
        <x:v>Color Laser Prints</x:v>
      </x:c>
      <x:c r="E89" s="191" t="str">
        <x:v>MXBCD530ZM</x:v>
      </x:c>
      <x:c r="F89" s="191" t="str">
        <x:v>Active</x:v>
      </x:c>
      <x:c r="G89" s="191" t="str">
        <x:v>Corporate</x:v>
      </x:c>
      <x:c r="H89" s="191" t="str">
        <x:v/>
      </x:c>
      <x:c r="I89" s="191" t="str">
        <x:v/>
      </x:c>
      <x:c r="J89" s="191" t="str">
        <x:v>1</x:v>
      </x:c>
      <x:c r="K89" s="191" t="str">
        <x:v/>
      </x:c>
      <x:c r="L89" s="191" t="str">
        <x:v>Corporate</x:v>
      </x:c>
      <x:c r="M89" s="191" t="str">
        <x:v>6/30/2018</x:v>
      </x:c>
      <x:c r="N89" s="189" t="n">
        <x:v>96072.00</x:v>
      </x:c>
      <x:c r="O89" s="191" t="str">
        <x:v>10/30/2018</x:v>
      </x:c>
      <x:c r="P89" s="189" t="n">
        <x:v>112614.00</x:v>
      </x:c>
      <x:c r="Q89" s="206" t="n">
        <x:v>0.0526</x:v>
      </x:c>
      <x:c r="R89" s="206" t="n">
        <x:v>0.5775</x:v>
      </x:c>
      <x:c r="S89" s="189" t="n">
        <x:v>10451.00</x:v>
      </x:c>
      <x:c r="T89" s="187" t="n">
        <x:f ca="1">=IF(AND(U89=0,S89&gt;0),-100%,IF(OR(S89=0,S89="-"),"-",IF(AND(S89=0,U89=0),0%,IF(S89&lt;U89,SUM(U89-S89)/S89,IF(S89&gt;U89,SUM(-1*(S89-U89)/S89),"")))))</x:f>
        <x:v/>
      </x:c>
      <x:c r="U89" s="189" t="n">
        <x:v>16542.00</x:v>
      </x:c>
      <x:c r="V89" s="189" t="n">
        <x:f ca="1">=SUM(U89/ round((O89- M89)/30.42,0))</x:f>
        <x:v/>
      </x:c>
      <x:c r="W89" s="195">
        <x:f ca="1">=IF(T89="","",IF(T89="-","",IF(U89=0,"",IF(OR(T89&gt; AA4 ,T89&lt;-AA4),"*",""))))</x:f>
        <x:v/>
      </x:c>
      <x:c r="X89" s="91" t="str">
        <x:v/>
      </x:c>
    </x:row>
    <x:row r="90" spans="1:25" s="12" x14ac:dyDescent="0.25">
      <x:c r="A90" s="90" t="str">
        <x:v>79</x:v>
      </x:c>
      <x:c r="B90" s="191" t="str">
        <x:v>FPR55431</x:v>
      </x:c>
      <x:c r="C90" s="191" t="str">
        <x:v>HP CLJ M577</x:v>
      </x:c>
      <x:c r="D90" s="191" t="str">
        <x:v>Color Laser Prints</x:v>
      </x:c>
      <x:c r="E90" s="191" t="str">
        <x:v>MXBCK5H1TF</x:v>
      </x:c>
      <x:c r="F90" s="191" t="str">
        <x:v>Active</x:v>
      </x:c>
      <x:c r="G90" s="191" t="str">
        <x:v>Waxahachie</x:v>
      </x:c>
      <x:c r="H90" s="191" t="str">
        <x:v/>
      </x:c>
      <x:c r="I90" s="191" t="str">
        <x:v>Back Office</x:v>
      </x:c>
      <x:c r="J90" s="191" t="str">
        <x:v/>
      </x:c>
      <x:c r="K90" s="191" t="str">
        <x:v/>
      </x:c>
      <x:c r="L90" s="191" t="str">
        <x:v/>
      </x:c>
      <x:c r="M90" s="191" t="str">
        <x:v>6/30/2018</x:v>
      </x:c>
      <x:c r="N90" s="189" t="n">
        <x:v>21752.00</x:v>
      </x:c>
      <x:c r="O90" s="191" t="str">
        <x:v>11/9/2018</x:v>
      </x:c>
      <x:c r="P90" s="189" t="n">
        <x:v>27880.00</x:v>
      </x:c>
      <x:c r="Q90" s="206" t="n">
        <x:v>0.0195</x:v>
      </x:c>
      <x:c r="R90" s="206" t="n">
        <x:v>0.2139</x:v>
      </x:c>
      <x:c r="S90" s="189" t="n">
        <x:v>7796.00</x:v>
      </x:c>
      <x:c r="T90" s="187" t="n">
        <x:f ca="1">=IF(AND(U90=0,S90&gt;0),-100%,IF(OR(S90=0,S90="-"),"-",IF(AND(S90=0,U90=0),0%,IF(S90&lt;U90,SUM(U90-S90)/S90,IF(S90&gt;U90,SUM(-1*(S90-U90)/S90),"")))))</x:f>
        <x:v/>
      </x:c>
      <x:c r="U90" s="189" t="n">
        <x:v>6128.00</x:v>
      </x:c>
      <x:c r="V90" s="189" t="n">
        <x:f ca="1">=SUM(U90/ round((O90- M90)/30.42,0))</x:f>
        <x:v/>
      </x:c>
      <x:c r="W90" s="195">
        <x:f ca="1">=IF(T90="","",IF(T90="-","",IF(U90=0,"",IF(OR(T90&gt;AA4,T90&lt;-AA4),"*",""))))</x:f>
        <x:v/>
      </x:c>
      <x:c r="X90" s="91" t="str">
        <x:v/>
      </x:c>
    </x:row>
    <x:row r="91" spans="1:25" s="12" x14ac:dyDescent="0.25">
      <x:c r="A91" s="96" t="str">
        <x:v>80</x:v>
      </x:c>
      <x:c r="B91" s="192" t="str">
        <x:v>FPR55326</x:v>
      </x:c>
      <x:c r="C91" s="192" t="str">
        <x:v>HP CLJ M575</x:v>
      </x:c>
      <x:c r="D91" s="192" t="str">
        <x:v>Color Laser Prints</x:v>
      </x:c>
      <x:c r="E91" s="192" t="str">
        <x:v>MXBCD6P06H</x:v>
      </x:c>
      <x:c r="F91" s="192" t="str">
        <x:v>Active</x:v>
      </x:c>
      <x:c r="G91" s="192" t="str">
        <x:v>Corporate</x:v>
      </x:c>
      <x:c r="H91" s="192" t="str">
        <x:v/>
      </x:c>
      <x:c r="I91" s="192" t="str">
        <x:v/>
      </x:c>
      <x:c r="J91" s="192" t="str">
        <x:v/>
      </x:c>
      <x:c r="K91" s="192" t="str">
        <x:v/>
      </x:c>
      <x:c r="L91" s="192" t="str">
        <x:v>Corporate</x:v>
      </x:c>
      <x:c r="M91" s="192" t="str">
        <x:v>6/30/2018</x:v>
      </x:c>
      <x:c r="N91" s="183" t="n">
        <x:v>103135.00</x:v>
      </x:c>
      <x:c r="O91" s="192" t="str">
        <x:v>10/30/2018</x:v>
      </x:c>
      <x:c r="P91" s="183" t="n">
        <x:v>109109.00</x:v>
      </x:c>
      <x:c r="Q91" s="207" t="n">
        <x:v>0.019</x:v>
      </x:c>
      <x:c r="R91" s="207" t="n">
        <x:v>0.2086</x:v>
      </x:c>
      <x:c r="S91" s="183" t="n">
        <x:v>5599.00</x:v>
      </x:c>
      <x:c r="T91" s="182" t="n">
        <x:f ca="1">=IF(AND(U91=0,S91&gt;0),-100%,IF(OR(S91=0,S91="-"),"-",IF(AND(S91=0,U91=0),0%,IF(S91&lt;U91,SUM(U91-S91)/S91,IF(S91&gt;U91,SUM(-1*(S91-U91)/S91),"")))))</x:f>
        <x:v/>
      </x:c>
      <x:c r="U91" s="183" t="n">
        <x:v>5974.00</x:v>
      </x:c>
      <x:c r="V91" s="183" t="n">
        <x:f ca="1">=SUM(U91/ round((O91- M91)/30.42,0))</x:f>
        <x:v/>
      </x:c>
      <x:c r="W91" s="196">
        <x:f ca="1">=IF(T91="","",IF(T91="-","",IF(U91=0,"",IF(OR(T91&gt;AA4,T91&lt;-AA4),"*",""))))</x:f>
        <x:v/>
      </x:c>
      <x:c r="X91" s="98" t="str">
        <x:v/>
      </x:c>
    </x:row>
    <x:row r="92" spans="1:25" x14ac:dyDescent="0.25">
      <x:c r="A92" s="174"/>
      <x:c r="B92" s="174"/>
      <x:c r="C92" s="174"/>
      <x:c r="D92" s="174"/>
      <x:c r="E92" s="174"/>
      <x:c r="F92" s="174"/>
      <x:c r="G92" s="174"/>
      <x:c r="H92" s="174"/>
      <x:c r="I92" s="174"/>
      <x:c r="J92" s="174"/>
      <x:c r="K92" s="174"/>
      <x:c r="L92" s="174"/>
      <x:c r="M92" s="174"/>
      <x:c r="N92" s="174"/>
      <x:c r="O92" s="174"/>
      <x:c r="P92" s="174"/>
      <x:c r="Q92" s="174"/>
      <x:c r="R92" s="174"/>
      <x:c r="S92" s="205" t="n">
        <x:f ca="1">=SUM(S88:S91)</x:f>
      </x:c>
      <x:c r="T92" s="193"/>
      <x:c r="U92" s="205" t="n">
        <x:f ca="1">=SUM(U88:U91)</x:f>
      </x:c>
      <x:c r="V92" s="205" t="n">
        <x:f ca="1">=SUM(V88:V91)</x:f>
      </x:c>
      <x:c r="W92" s="174"/>
      <x:c r="X92" s="174"/>
    </x:row>
    <x:row r="93" spans="1:25" x14ac:dyDescent="0.25">
      <x:c r="A93" s="195" t="str">
        <x:f ca="1">="* All devices with a net volume change of " &amp; SUM(AA4 * 100) &amp; "% are indicated with a red asterisk (*)."</x:f>
      </x:c>
      <x:c r="B93" s="19"/>
      <x:c r="C93" s="19"/>
      <x:c r="D93" s="19"/>
      <x:c r="E93" s="19"/>
      <x:c r="F93" s="19"/>
      <x:c r="G93" s="19"/>
      <x:c r="H93" s="19"/>
      <x:c r="I93" s="19"/>
      <x:c r="J93" s="19"/>
      <x:c r="K93" s="19"/>
      <x:c r="L93" s="19"/>
      <x:c r="M93" s="19"/>
      <x:c r="N93" s="19"/>
      <x:c r="O93" s="19"/>
      <x:c r="P93" s="19"/>
      <x:c r="Q93" s="19"/>
      <x:c r="R93" s="19"/>
      <x:c r="S93" s="19"/>
      <x:c r="T93" s="19"/>
      <x:c r="U93" s="19"/>
      <x:c r="V93" s="19"/>
      <x:c r="W93" s="19"/>
      <x:c r="X93" s="19"/>
      <x:c r="Y93" s="19"/>
    </x:row>
  </x:sheetData>
  <x:mergeCells count="3">
    <x:mergeCell ref="A1:X1"/>
    <x:mergeCell ref="A2:X2"/>
    <x:mergeCell ref="V5:W5"/>
  </x:mergeCells>
  <x:dataValidations count="1">
    <x:dataValidation allowBlank="1" showInputMessage="1" sqref="C7:D27"/>
  </x:dataValidations>
  <x:pageMargins left="0.25" right="0.25" top="0.85" bottom="0.94791666666666663" header="0.2" footer="0.3"/>
  <x:pageSetup scale="64" fitToWidth="1" fitToHeight="0" orientation="landscape" r:id="rId1"/>
  <x:headerFooter>
    <x:oddHeader>&amp;C&amp;G</x:oddHeader>
    <x:oddFooter>&amp;C&amp;G</x:oddFooter>
  </x:headerFooter>
  <x:legacyDrawing r:id="rId2"/>
  <x:legacyDrawingHF r:id="rId3"/>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8"/>
  <x:dimension ref="A1:J30"/>
  <x:sheetViews>
    <x:sheetView showGridLines="0" view="pageLayout" zoomScaleNormal="100" workbookViewId="0">
      <x:selection activeCell="B7" sqref="B7"/>
    </x:sheetView>
  </x:sheetViews>
  <x:sheetFormatPr defaultRowHeight="15" x14ac:dyDescent="0.25"/>
  <x:cols>
    <x:col min="1" max="1" width="8.140625" style="1" customWidth="1"/>
    <x:col min="2" max="2" width="12.5703125" style="1" customWidth="1"/>
    <x:col min="3" max="3" width="16" style="1" customWidth="1"/>
    <x:col min="4" max="4" width="15.5703125" style="1" customWidth="1"/>
    <x:col min="5" max="6" width="9.5703125" style="1" customWidth="1"/>
    <x:col min="7" max="7" width="28.140625" style="5" customWidth="1"/>
    <x:col min="8" max="8" width="10.5703125" style="16" customWidth="1"/>
    <x:col min="9" max="9" width="16.28515625" style="1" customWidth="1"/>
    <x:col min="10" max="10" width="1.42578125" style="1" customWidth="1"/>
    <x:col min="11" max="16384" width="9.140625" style="1"/>
  </x:cols>
  <x:sheetData>
    <x:row r="1" spans="1:10" ht="15.75" x14ac:dyDescent="0.25">
      <x:c r="A1" s="125" t="str">
        <x:f ca="1">SETUP!$B$2</x:f>
        <x:v>?</x:v>
      </x:c>
      <x:c r="B1" s="126"/>
      <x:c r="C1" s="126"/>
      <x:c r="D1" s="126"/>
      <x:c r="E1" s="126"/>
      <x:c r="F1" s="126"/>
      <x:c r="G1" s="126"/>
      <x:c r="H1" s="126"/>
      <x:c r="I1" s="126"/>
      <x:c r="J1" s="129"/>
    </x:row>
    <x:row r="2" spans="1:10" x14ac:dyDescent="0.25">
      <x:c r="A2" s="123" t="str">
        <x:f ca="1">=IF(B7="","",IF(B8="","Cost Avoidance Summary for Period Ending "&amp;(TEXT(SETUP!$B$4,"MMMMMMMMM DD, YYYY"))&amp;"",IF(B7="","","Cost Avoidance Summary from "&amp;(TEXT(MIN($B$7:$B$498),"MMMMMMMMM DD, YYYY")&amp;" to "&amp;(TEXT(MAX($B$7:$B$498),"MMMMMMMMM DD, YYYY")&amp;"")))))</x:f>
        <x:v>?</x:v>
      </x:c>
      <x:c r="B2" s="124"/>
      <x:c r="C2" s="124"/>
      <x:c r="D2" s="124"/>
      <x:c r="E2" s="124"/>
      <x:c r="F2" s="124"/>
      <x:c r="G2" s="124"/>
      <x:c r="H2" s="124"/>
      <x:c r="I2" s="124"/>
      <x:c r="J2" s="129"/>
    </x:row>
    <x:row r="3" spans="1:10" ht="30.75" customHeight="1" x14ac:dyDescent="0.25">
      <x:c r="A3" s="19"/>
      <x:c r="B3" s="199" t="str">
        <x:v>Below, you will find a summary of the different areas where FPR was able to deliver solutions resulting in cost-avoidance.  Some examples of cost-avoidance solutions include color reduction/elimination strategies, vendor re-negotiation opportunities, and many others.</x:v>
      </x:c>
      <x:c r="C3" s="131"/>
      <x:c r="D3" s="131"/>
      <x:c r="E3" s="131"/>
      <x:c r="F3" s="131"/>
      <x:c r="G3" s="131"/>
      <x:c r="H3" s="131"/>
      <x:c r="I3" s="131"/>
      <x:c r="J3" s="131"/>
    </x:row>
    <x:row r="4" spans="1:10" ht="3" customHeight="1" x14ac:dyDescent="0.25">
      <x:c r="A4" s="19"/>
      <x:c r="B4" s="19"/>
      <x:c r="C4" s="19"/>
      <x:c r="D4" s="19"/>
      <x:c r="E4" s="19"/>
      <x:c r="F4" s="19"/>
      <x:c r="G4" s="19"/>
      <x:c r="H4" s="19"/>
      <x:c r="I4" s="19"/>
    </x:row>
    <x:row r="5" spans="1:10" ht="3" customHeight="1" x14ac:dyDescent="0.25">
      <x:c r="I5" s="10">
        <x:f ca="1">SUM(I7:I27)</x:f>
        <x:v>0</x:v>
      </x:c>
    </x:row>
    <x:row r="6" spans="1:10" ht="27.75" customHeight="1" x14ac:dyDescent="0.25">
      <x:c r="B6" s="47" t="s">
        <x:v>3</x:v>
      </x:c>
      <x:c r="C6" s="45" t="s">
        <x:v>11</x:v>
      </x:c>
      <x:c r="D6" s="45" t="s">
        <x:v>10</x:v>
      </x:c>
      <x:c r="E6" s="45" t="s">
        <x:v>1</x:v>
      </x:c>
      <x:c r="F6" s="45" t="s">
        <x:v>2</x:v>
      </x:c>
      <x:c r="G6" s="48" t="s">
        <x:v>5</x:v>
      </x:c>
      <x:c r="H6" s="67" t="s">
        <x:v>24</x:v>
      </x:c>
      <x:c r="I6" s="46" t="s">
        <x:v>12</x:v>
      </x:c>
    </x:row>
    <x:row r="7" spans="1:10" x14ac:dyDescent="0.25">
      <x:c r="B7" s="106" t="str">
        <x:v>There are no Cost Avoidance to report.</x:v>
      </x:c>
      <x:c r="C7" s="73" t="str">
        <x:v/>
      </x:c>
      <x:c r="D7" s="73" t="str">
        <x:v/>
      </x:c>
      <x:c r="E7" s="74" t="d">
        <x:v/>
      </x:c>
      <x:c r="F7" s="74" t="d">
        <x:v/>
      </x:c>
      <x:c r="G7" s="51" t="str">
        <x:v/>
      </x:c>
      <x:c r="H7" s="75" t="n">
        <x:v/>
      </x:c>
      <x:c r="I7" s="61" t="str">
        <x:v/>
      </x:c>
    </x:row>
    <x:row r="8" spans="1:8" x14ac:dyDescent="0.25">
      <x:c r="B8" s="60"/>
      <x:c r="C8" s="54"/>
      <x:c r="D8" s="54"/>
      <x:c r="E8" s="54"/>
      <x:c r="F8" s="54"/>
      <x:c r="G8" s="54"/>
      <x:c r="H8" s="54"/>
      <x:c r="I8" s="61"/>
    </x:row>
    <x:row r="9" spans="1:8" x14ac:dyDescent="0.25">
      <x:c r="B9" s="60"/>
      <x:c r="C9" s="54"/>
      <x:c r="D9" s="54"/>
      <x:c r="E9" s="54"/>
      <x:c r="F9" s="54"/>
      <x:c r="G9" s="54"/>
      <x:c r="H9" s="54"/>
      <x:c r="I9" s="61"/>
    </x:row>
    <x:row r="10" spans="1:8" ht="14.25" customHeight="1" x14ac:dyDescent="0.25">
      <x:c r="B10" s="58"/>
      <x:c r="C10" s="26"/>
      <x:c r="D10" s="21"/>
      <x:c r="E10" s="21"/>
      <x:c r="F10" s="8"/>
      <x:c r="G10" s="8">
        <x:v/>
      </x:c>
      <x:c r="H10" s="8"/>
      <x:c r="I10" s="59"/>
    </x:row>
    <x:row r="11" spans="1:8" ht="14.25" customHeight="1" x14ac:dyDescent="0.25">
      <x:c r="B11" s="58"/>
      <x:c r="C11" s="26"/>
      <x:c r="D11" s="21"/>
      <x:c r="E11" s="21"/>
      <x:c r="F11" s="8"/>
      <x:c r="G11" s="8">
        <x:v/>
      </x:c>
      <x:c r="H11" s="8"/>
      <x:c r="I11" s="59"/>
    </x:row>
    <x:row r="12" spans="1:8" x14ac:dyDescent="0.25">
      <x:c r="B12" s="60"/>
      <x:c r="C12" s="54"/>
      <x:c r="D12" s="54"/>
      <x:c r="E12" s="54"/>
      <x:c r="F12" s="54"/>
      <x:c r="G12" s="54"/>
      <x:c r="H12" s="54"/>
      <x:c r="I12" s="61"/>
    </x:row>
    <x:row r="13" spans="1:8" x14ac:dyDescent="0.25">
      <x:c r="B13" s="60"/>
      <x:c r="C13" s="54"/>
      <x:c r="D13" s="54"/>
      <x:c r="E13" s="54"/>
      <x:c r="F13" s="54"/>
      <x:c r="G13" s="54"/>
      <x:c r="H13" s="54"/>
      <x:c r="I13" s="61"/>
    </x:row>
    <x:row r="14" spans="1:8" ht="14.25" customHeight="1" x14ac:dyDescent="0.25">
      <x:c r="B14" s="58"/>
      <x:c r="C14" s="26"/>
      <x:c r="D14" s="21"/>
      <x:c r="E14" s="21"/>
      <x:c r="F14" s="8"/>
      <x:c r="G14" s="8">
        <x:v/>
      </x:c>
      <x:c r="H14" s="8"/>
      <x:c r="I14" s="59"/>
    </x:row>
    <x:row r="15" spans="1:8" ht="14.25" customHeight="1" x14ac:dyDescent="0.25">
      <x:c r="B15" s="58"/>
      <x:c r="C15" s="26"/>
      <x:c r="D15" s="21"/>
      <x:c r="E15" s="21"/>
      <x:c r="F15" s="8"/>
      <x:c r="G15" s="8">
        <x:v/>
      </x:c>
      <x:c r="H15" s="8"/>
      <x:c r="I15" s="59"/>
    </x:row>
    <x:row r="16" spans="1:8" x14ac:dyDescent="0.25">
      <x:c r="B16" s="60"/>
      <x:c r="C16" s="54"/>
      <x:c r="D16" s="54"/>
      <x:c r="E16" s="54"/>
      <x:c r="F16" s="54"/>
      <x:c r="G16" s="54"/>
      <x:c r="H16" s="54"/>
      <x:c r="I16" s="61"/>
    </x:row>
    <x:row r="17" spans="1:8" x14ac:dyDescent="0.25">
      <x:c r="B17" s="60"/>
      <x:c r="C17" s="54"/>
      <x:c r="D17" s="54"/>
      <x:c r="E17" s="54"/>
      <x:c r="F17" s="54"/>
      <x:c r="G17" s="54"/>
      <x:c r="H17" s="54"/>
      <x:c r="I17" s="61"/>
    </x:row>
    <x:row r="18" spans="1:8" ht="14.25" customHeight="1" x14ac:dyDescent="0.25">
      <x:c r="B18" s="58"/>
      <x:c r="C18" s="26"/>
      <x:c r="D18" s="21"/>
      <x:c r="E18" s="21"/>
      <x:c r="F18" s="8"/>
      <x:c r="G18" s="8">
        <x:v/>
      </x:c>
      <x:c r="H18" s="8"/>
      <x:c r="I18" s="59"/>
    </x:row>
    <x:row r="19" spans="1:8" ht="14.25" customHeight="1" x14ac:dyDescent="0.25">
      <x:c r="B19" s="58"/>
      <x:c r="C19" s="26"/>
      <x:c r="D19" s="21"/>
      <x:c r="E19" s="21"/>
      <x:c r="F19" s="8"/>
      <x:c r="G19" s="8">
        <x:v/>
      </x:c>
      <x:c r="H19" s="8"/>
      <x:c r="I19" s="59"/>
    </x:row>
    <x:row r="20" spans="1:8" x14ac:dyDescent="0.25">
      <x:c r="B20" s="60"/>
      <x:c r="C20" s="54"/>
      <x:c r="D20" s="54"/>
      <x:c r="E20" s="54"/>
      <x:c r="F20" s="54"/>
      <x:c r="G20" s="54"/>
      <x:c r="H20" s="54"/>
      <x:c r="I20" s="61"/>
    </x:row>
    <x:row r="21" spans="1:8" x14ac:dyDescent="0.25">
      <x:c r="B21" s="60"/>
      <x:c r="C21" s="54"/>
      <x:c r="D21" s="54"/>
      <x:c r="E21" s="54"/>
      <x:c r="F21" s="54"/>
      <x:c r="G21" s="54"/>
      <x:c r="H21" s="54"/>
      <x:c r="I21" s="61"/>
    </x:row>
    <x:row r="22" spans="1:8" ht="14.25" customHeight="1" x14ac:dyDescent="0.25">
      <x:c r="B22" s="58"/>
      <x:c r="C22" s="26"/>
      <x:c r="D22" s="21"/>
      <x:c r="E22" s="21"/>
      <x:c r="F22" s="8"/>
      <x:c r="G22" s="8">
        <x:v/>
      </x:c>
      <x:c r="H22" s="8"/>
      <x:c r="I22" s="59"/>
    </x:row>
    <x:row r="23" spans="1:8" ht="14.25" customHeight="1" x14ac:dyDescent="0.25">
      <x:c r="B23" s="58"/>
      <x:c r="C23" s="26"/>
      <x:c r="D23" s="21"/>
      <x:c r="E23" s="21"/>
      <x:c r="F23" s="8"/>
      <x:c r="G23" s="8">
        <x:v/>
      </x:c>
      <x:c r="H23" s="8"/>
      <x:c r="I23" s="59"/>
    </x:row>
    <x:row r="24" spans="1:8" x14ac:dyDescent="0.25">
      <x:c r="B24" s="60"/>
      <x:c r="C24" s="54"/>
      <x:c r="D24" s="54"/>
      <x:c r="E24" s="54"/>
      <x:c r="F24" s="54"/>
      <x:c r="G24" s="54"/>
      <x:c r="H24" s="54"/>
      <x:c r="I24" s="61"/>
    </x:row>
    <x:row r="25" spans="1:8" x14ac:dyDescent="0.25">
      <x:c r="B25" s="60"/>
      <x:c r="C25" s="54"/>
      <x:c r="D25" s="54"/>
      <x:c r="E25" s="54"/>
      <x:c r="F25" s="54"/>
      <x:c r="G25" s="54"/>
      <x:c r="H25" s="54"/>
      <x:c r="I25" s="61"/>
    </x:row>
    <x:row r="26" spans="1:8" ht="14.25" customHeight="1" x14ac:dyDescent="0.25">
      <x:c r="B26" s="58"/>
      <x:c r="C26" s="26"/>
      <x:c r="D26" s="21"/>
      <x:c r="E26" s="21"/>
      <x:c r="F26" s="8"/>
      <x:c r="G26" s="8">
        <x:v/>
      </x:c>
      <x:c r="H26" s="8"/>
      <x:c r="I26" s="59"/>
    </x:row>
    <x:row r="27" spans="1:8" ht="14.25" customHeight="1" x14ac:dyDescent="0.25">
      <x:c r="B27" s="58"/>
      <x:c r="C27" s="26"/>
      <x:c r="D27" s="21"/>
      <x:c r="E27" s="21"/>
      <x:c r="F27" s="8"/>
      <x:c r="G27" s="8">
        <x:v/>
      </x:c>
      <x:c r="H27" s="8"/>
      <x:c r="I27" s="59"/>
    </x:row>
    <x:row r="28" spans="1:8" x14ac:dyDescent="0.25">
      <x:c r="B28" s="60"/>
      <x:c r="C28" s="54"/>
      <x:c r="D28" s="54"/>
      <x:c r="E28" s="54"/>
      <x:c r="F28" s="54"/>
      <x:c r="G28" s="54"/>
      <x:c r="H28" s="54"/>
      <x:c r="I28" s="61"/>
    </x:row>
    <x:row r="29" spans="1:8" x14ac:dyDescent="0.25">
      <x:c r="B29" s="60"/>
      <x:c r="C29" s="54"/>
      <x:c r="D29" s="54"/>
      <x:c r="E29" s="54"/>
      <x:c r="F29" s="54"/>
      <x:c r="G29" s="54"/>
      <x:c r="H29" s="54"/>
      <x:c r="I29" s="61"/>
    </x:row>
    <x:row r="30" spans="1:8" ht="14.25" customHeight="1" x14ac:dyDescent="0.25">
      <x:c r="B30" s="58"/>
      <x:c r="C30" s="26"/>
      <x:c r="D30" s="21"/>
      <x:c r="E30" s="21"/>
      <x:c r="F30" s="8"/>
      <x:c r="G30" s="8">
        <x:v/>
      </x:c>
      <x:c r="H30" s="8"/>
      <x:c r="I30" s="59"/>
    </x:row>
    <x:row r="31" spans="1:7" x14ac:dyDescent="0.25">
      <x:c r="B31" s="92"/>
      <x:c r="C31" s="119"/>
      <x:c r="D31" s="120"/>
      <x:c r="E31" s="120"/>
      <x:c r="F31" s="120"/>
      <x:c r="G31" s="120"/>
      <x:c r="H31" s="120"/>
      <x:c r="I31" s="121"/>
    </x:row>
    <x:row r="32" spans="1:7" x14ac:dyDescent="0.25">
      <x:c r="B32" s="14"/>
      <x:c r="C32" s="14"/>
      <x:c r="D32" s="14"/>
      <x:c r="E32" s="14"/>
      <x:c r="F32" s="14"/>
      <x:c r="G32" s="14"/>
      <x:c r="H32" s="164">
        <x:v>Total Cost Avoidance:</x:v>
      </x:c>
      <x:c r="I32" s="167">
        <x:f>SUM(I7:I31)</x:f>
      </x:c>
    </x:row>
  </x:sheetData>
  <x:mergeCells count="3">
    <x:mergeCell ref="B7:C7"/>
    <x:mergeCell ref="A1:J1"/>
    <x:mergeCell ref="A2:J2"/>
    <x:mergeCell ref="B3:J3"/>
  </x:mergeCells>
  <x:dataValidations count="1">
    <x:dataValidation allowBlank="1" showInputMessage="1" sqref="C7:D27"/>
  </x:dataValidations>
  <x:pageMargins left="0.333" right="0.333" top="1.3958333333333333" bottom="0.94791666666666663" header="0.3" footer="0.3"/>
  <x:pageSetup orientation="landscape" r:id="rId1"/>
  <x:headerFooter>
    <x:oddHeader>&amp;C&amp;G</x:oddHeader>
    <x:oddFooter>&amp;C&amp;G</x:oddFooter>
  </x:headerFooter>
  <x:legacyDrawing r:id="rId2"/>
  <x:legacyDrawingHF r:id="rId3"/>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7"/>
  <x:dimension ref="A1:H28"/>
  <x:sheetViews>
    <x:sheetView showGridLines="0" view="pageLayout" zoomScaleNormal="100" workbookViewId="0">
      <x:selection activeCell="B8" sqref="B8"/>
    </x:sheetView>
  </x:sheetViews>
  <x:sheetFormatPr defaultRowHeight="15" x14ac:dyDescent="0.25"/>
  <x:cols>
    <x:col min="1" max="2" width="9.140625" style="1"/>
    <x:col min="3" max="3" width="23.85546875" style="1" customWidth="1"/>
    <x:col min="4" max="4" width="22.85546875" style="1" customWidth="1"/>
    <x:col min="5" max="5" width="14" style="1" customWidth="1"/>
    <x:col min="6" max="6" width="27.85546875" style="5" customWidth="1"/>
    <x:col min="7" max="7" width="15.28515625" style="1" customWidth="1"/>
    <x:col min="8" max="8" width="7.5703125" style="1" customWidth="1"/>
    <x:col min="9" max="16384" width="9.140625" style="1"/>
  </x:cols>
  <x:sheetData>
    <x:row r="1" spans="1:8" ht="15.75" x14ac:dyDescent="0.25">
      <x:c r="A1" s="125" t="str">
        <x:f ca="1">SETUP!$B$2</x:f>
        <x:v>?</x:v>
      </x:c>
      <x:c r="B1" s="126"/>
      <x:c r="C1" s="126"/>
      <x:c r="D1" s="126"/>
      <x:c r="E1" s="126"/>
      <x:c r="F1" s="126"/>
      <x:c r="G1" s="126"/>
      <x:c r="H1" s="126"/>
    </x:row>
    <x:row r="2" spans="1:8" x14ac:dyDescent="0.25">
      <x:c r="A2" s="123" t="str">
        <x:f ca="1">IF(B8="","","Asset Replacement Summary Through Period Ending "&amp;TEXT(SETUP!B4,"MMMMMMMMM DD, YYYY")&amp;"")</x:f>
        <x:v/>
      </x:c>
      <x:c r="B2" s="124"/>
      <x:c r="C2" s="124"/>
      <x:c r="D2" s="124"/>
      <x:c r="E2" s="124"/>
      <x:c r="F2" s="124"/>
      <x:c r="G2" s="124"/>
      <x:c r="H2" s="124"/>
    </x:row>
    <x:row r="3" spans="1:8" ht="6.75" customHeight="1" x14ac:dyDescent="0.25">
      <x:c r="C3" s="18"/>
    </x:row>
    <x:row r="4" spans="1:8" ht="27" customHeight="1" x14ac:dyDescent="0.25">
      <x:c r="B4" s="199" t="str">
        <x:f ca="1">"The summary below details the assets replaced by FPR with the respective asset replacement cost that would have been incurred by "&amp;SETUP!$B$2&amp;" to refresh the non-functioning asset."</x:f>
        <x:v>The summary below details the assets replaced by FPR with the respective asset replacement cost that would have been incurred by ? to refresh the non-functioning asset.</x:v>
      </x:c>
      <x:c r="C4" s="128"/>
      <x:c r="D4" s="128"/>
      <x:c r="E4" s="128"/>
      <x:c r="F4" s="128"/>
      <x:c r="G4" s="128"/>
    </x:row>
    <x:row r="5" spans="1:8" ht="3.75" customHeight="1" x14ac:dyDescent="0.25">
      <x:c r="B5" s="20"/>
      <x:c r="C5" s="18"/>
    </x:row>
    <x:row r="6" spans="1:8" ht="3" customHeight="1" x14ac:dyDescent="0.25">
      <x:c r="G6" s="10">
        <x:f ca="1">SUM(G8:G30)</x:f>
        <x:v>0</x:v>
      </x:c>
    </x:row>
    <x:row r="7" spans="1:8" ht="28.5" customHeight="1" x14ac:dyDescent="0.25">
      <x:c r="B7" s="47" t="s">
        <x:v>3</x:v>
      </x:c>
      <x:c r="C7" s="45" t="s">
        <x:v>40</x:v>
      </x:c>
      <x:c r="D7" s="45" t="s">
        <x:v>39</x:v>
      </x:c>
      <x:c r="E7" s="45" t="s">
        <x:v>41</x:v>
      </x:c>
      <x:c r="F7" s="48" t="s">
        <x:v>5</x:v>
      </x:c>
      <x:c r="G7" s="46" t="s">
        <x:v>4</x:v>
      </x:c>
    </x:row>
    <x:row r="8" spans="1:8" x14ac:dyDescent="0.25">
      <x:c r="B8" s="216" t="str">
        <x:v>There are no replacements to report.</x:v>
      </x:c>
      <x:c r="C8" s="54">
        <x:v/>
      </x:c>
      <x:c r="D8" s="54">
        <x:v/>
      </x:c>
      <x:c r="E8" s="54" t="str">
        <x:v/>
      </x:c>
      <x:c r="F8" s="51">
        <x:v/>
      </x:c>
      <x:c r="G8" s="61" t="n">
        <x:v/>
      </x:c>
    </x:row>
    <x:row r="9" spans="1:8" x14ac:dyDescent="0.25">
      <x:c r="B9" s="60"/>
      <x:c r="C9" s="54"/>
      <x:c r="D9" s="54"/>
      <x:c r="E9" s="54"/>
      <x:c r="F9" s="54"/>
      <x:c r="G9" s="61"/>
    </x:row>
    <x:row r="10" spans="1:8" x14ac:dyDescent="0.25">
      <x:c r="B10" s="60"/>
      <x:c r="C10" s="54"/>
      <x:c r="D10" s="54"/>
      <x:c r="E10" s="54"/>
      <x:c r="F10" s="54"/>
      <x:c r="G10" s="61"/>
    </x:row>
    <x:row r="11" spans="1:8" ht="14.25" customHeight="1" x14ac:dyDescent="0.25">
      <x:c r="B11" s="58"/>
      <x:c r="C11" s="26"/>
      <x:c r="D11" s="21"/>
      <x:c r="E11" s="21"/>
      <x:c r="F11" s="8"/>
      <x:c r="G11" s="59" t="str">
        <x:f/>
        <x:v/>
      </x:c>
    </x:row>
    <x:row r="12" spans="1:8" ht="14.25" customHeight="1" x14ac:dyDescent="0.25">
      <x:c r="B12" s="58"/>
      <x:c r="C12" s="26"/>
      <x:c r="D12" s="21"/>
      <x:c r="E12" s="21"/>
      <x:c r="F12" s="8"/>
      <x:c r="G12" s="59" t="str">
        <x:f/>
        <x:v/>
      </x:c>
    </x:row>
    <x:row r="13" spans="1:8" x14ac:dyDescent="0.25">
      <x:c r="B13" s="60"/>
      <x:c r="C13" s="54"/>
      <x:c r="D13" s="54"/>
      <x:c r="E13" s="54"/>
      <x:c r="F13" s="54"/>
      <x:c r="G13" s="61"/>
    </x:row>
    <x:row r="14" spans="1:8" x14ac:dyDescent="0.25">
      <x:c r="B14" s="60"/>
      <x:c r="C14" s="54"/>
      <x:c r="D14" s="54"/>
      <x:c r="E14" s="54"/>
      <x:c r="F14" s="54"/>
      <x:c r="G14" s="61"/>
    </x:row>
    <x:row r="15" spans="1:8" ht="14.25" customHeight="1" x14ac:dyDescent="0.25">
      <x:c r="B15" s="58"/>
      <x:c r="C15" s="26"/>
      <x:c r="D15" s="21"/>
      <x:c r="E15" s="21"/>
      <x:c r="F15" s="8"/>
      <x:c r="G15" s="59" t="str">
        <x:f/>
        <x:v/>
      </x:c>
    </x:row>
    <x:row r="16" spans="1:8" ht="14.25" customHeight="1" x14ac:dyDescent="0.25">
      <x:c r="B16" s="58"/>
      <x:c r="C16" s="26"/>
      <x:c r="D16" s="21"/>
      <x:c r="E16" s="21"/>
      <x:c r="F16" s="8"/>
      <x:c r="G16" s="59" t="str">
        <x:f/>
        <x:v/>
      </x:c>
    </x:row>
    <x:row r="17" spans="1:8" x14ac:dyDescent="0.25">
      <x:c r="B17" s="60"/>
      <x:c r="C17" s="54"/>
      <x:c r="D17" s="54"/>
      <x:c r="E17" s="54"/>
      <x:c r="F17" s="54"/>
      <x:c r="G17" s="61"/>
    </x:row>
    <x:row r="18" spans="1:8" x14ac:dyDescent="0.25">
      <x:c r="B18" s="60"/>
      <x:c r="C18" s="54"/>
      <x:c r="D18" s="54"/>
      <x:c r="E18" s="54"/>
      <x:c r="F18" s="54"/>
      <x:c r="G18" s="61"/>
    </x:row>
    <x:row r="19" spans="1:8" ht="14.25" customHeight="1" x14ac:dyDescent="0.25">
      <x:c r="B19" s="58"/>
      <x:c r="C19" s="26"/>
      <x:c r="D19" s="21"/>
      <x:c r="E19" s="21"/>
      <x:c r="F19" s="8"/>
      <x:c r="G19" s="59" t="str">
        <x:f/>
        <x:v/>
      </x:c>
    </x:row>
    <x:row r="20" spans="1:8" ht="14.25" customHeight="1" x14ac:dyDescent="0.25">
      <x:c r="B20" s="58"/>
      <x:c r="C20" s="26"/>
      <x:c r="D20" s="21"/>
      <x:c r="E20" s="21"/>
      <x:c r="F20" s="8"/>
      <x:c r="G20" s="59" t="str">
        <x:f/>
        <x:v/>
      </x:c>
    </x:row>
    <x:row r="21" spans="1:8" x14ac:dyDescent="0.25">
      <x:c r="B21" s="60"/>
      <x:c r="C21" s="54"/>
      <x:c r="D21" s="54"/>
      <x:c r="E21" s="54"/>
      <x:c r="F21" s="54"/>
      <x:c r="G21" s="61"/>
    </x:row>
    <x:row r="22" spans="1:8" x14ac:dyDescent="0.25">
      <x:c r="B22" s="60"/>
      <x:c r="C22" s="54"/>
      <x:c r="D22" s="54"/>
      <x:c r="E22" s="54"/>
      <x:c r="F22" s="54"/>
      <x:c r="G22" s="61"/>
    </x:row>
    <x:row r="23" spans="1:8" ht="14.25" customHeight="1" x14ac:dyDescent="0.25">
      <x:c r="B23" s="58"/>
      <x:c r="C23" s="26"/>
      <x:c r="D23" s="21"/>
      <x:c r="E23" s="21"/>
      <x:c r="F23" s="8"/>
      <x:c r="G23" s="59" t="str">
        <x:f/>
        <x:v/>
      </x:c>
    </x:row>
    <x:row r="24" spans="1:8" ht="14.25" customHeight="1" x14ac:dyDescent="0.25">
      <x:c r="B24" s="58"/>
      <x:c r="C24" s="26"/>
      <x:c r="D24" s="21"/>
      <x:c r="E24" s="21"/>
      <x:c r="F24" s="8"/>
      <x:c r="G24" s="59" t="str">
        <x:f/>
        <x:v/>
      </x:c>
    </x:row>
    <x:row r="25" spans="1:8" x14ac:dyDescent="0.25">
      <x:c r="B25" s="60"/>
      <x:c r="C25" s="54"/>
      <x:c r="D25" s="54"/>
      <x:c r="E25" s="54"/>
      <x:c r="F25" s="54"/>
      <x:c r="G25" s="61"/>
    </x:row>
    <x:row r="26" spans="1:8" x14ac:dyDescent="0.25">
      <x:c r="B26" s="60"/>
      <x:c r="C26" s="54"/>
      <x:c r="D26" s="54"/>
      <x:c r="E26" s="54"/>
      <x:c r="F26" s="54"/>
      <x:c r="G26" s="61"/>
    </x:row>
    <x:row r="27" spans="1:8" ht="14.25" customHeight="1" x14ac:dyDescent="0.25">
      <x:c r="B27" s="58"/>
      <x:c r="C27" s="26"/>
      <x:c r="D27" s="21"/>
      <x:c r="E27" s="21"/>
      <x:c r="F27" s="8"/>
      <x:c r="G27" s="59" t="str">
        <x:f/>
        <x:v/>
      </x:c>
    </x:row>
    <x:row r="28" spans="1:8" ht="14.25" customHeight="1" x14ac:dyDescent="0.25">
      <x:c r="B28" s="58"/>
      <x:c r="C28" s="26"/>
      <x:c r="D28" s="21"/>
      <x:c r="E28" s="21"/>
      <x:c r="F28" s="8"/>
      <x:c r="G28" s="59" t="str">
        <x:f/>
        <x:v/>
      </x:c>
    </x:row>
    <x:row r="29" spans="1:8" x14ac:dyDescent="0.25">
      <x:c r="B29" s="60"/>
      <x:c r="C29" s="54"/>
      <x:c r="D29" s="54"/>
      <x:c r="E29" s="54"/>
      <x:c r="F29" s="54"/>
      <x:c r="G29" s="61"/>
    </x:row>
    <x:row r="30" spans="1:8" x14ac:dyDescent="0.25">
      <x:c r="B30" s="60"/>
      <x:c r="C30" s="54"/>
      <x:c r="D30" s="54"/>
      <x:c r="E30" s="54"/>
      <x:c r="F30" s="54"/>
      <x:c r="G30" s="61"/>
    </x:row>
    <x:row r="31" spans="1:8" ht="14.25" customHeight="1" x14ac:dyDescent="0.25">
      <x:c r="B31" s="58"/>
      <x:c r="C31" s="26"/>
      <x:c r="D31" s="21"/>
      <x:c r="E31" s="21"/>
      <x:c r="F31" s="8"/>
      <x:c r="G31" s="59" t="str">
        <x:f/>
        <x:v/>
      </x:c>
    </x:row>
    <x:row r="32" spans="1:7" x14ac:dyDescent="0.25">
      <x:c r="B32" s="92"/>
      <x:c r="C32" s="119"/>
      <x:c r="D32" s="120"/>
      <x:c r="E32" s="120"/>
      <x:c r="F32" s="120"/>
      <x:c r="G32" s="121"/>
    </x:row>
    <x:row r="33" spans="1:7" x14ac:dyDescent="0.25">
      <x:c r="B33" s="164"/>
      <x:c r="C33" s="164"/>
      <x:c r="D33" s="164"/>
      <x:c r="E33" s="164"/>
      <x:c r="F33" s="164">
        <x:v>Total Replacement Value:</x:v>
      </x:c>
      <x:c r="G33" s="167">
        <x:f>=Sum(G8:G32)</x:f>
      </x:c>
    </x:row>
  </x:sheetData>
  <x:mergeCells count="3">
    <x:mergeCell ref="A2:H2"/>
    <x:mergeCell ref="A1:H1"/>
    <x:mergeCell ref="B4:G4"/>
  </x:mergeCells>
  <x:dataValidations count="1">
    <x:dataValidation allowBlank="1" showInputMessage="1" sqref="D8:D30"/>
  </x:dataValidations>
  <x:pageMargins left="0.333" right="0.333" top="1.3333333333333333" bottom="0.9375" header="0.3" footer="0.3"/>
  <x:pageSetup orientation="landscape" r:id="rId1"/>
  <x:headerFooter>
    <x:oddHeader>&amp;C&amp;G</x:oddHeader>
    <x:oddFooter>&amp;C&amp;G</x:oddFooter>
  </x:headerFooter>
  <x:legacyDrawingHF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dimension ref="A1:C25"/>
  <x:sheetViews>
    <x:sheetView view="pageLayout" zoomScaleNormal="100" workbookViewId="0">
      <x:selection activeCell="B2" sqref="B2"/>
    </x:sheetView>
  </x:sheetViews>
  <x:sheetFormatPr defaultRowHeight="15" x14ac:dyDescent="0.25"/>
  <x:cols>
    <x:col min="1" max="1" width="33" style="3" customWidth="1"/>
    <x:col min="2" max="2" width="48.85546875" style="5" customWidth="1"/>
    <x:col min="3" max="20" width="9.140625" style="1"/>
    <x:col min="21" max="21" width="0" style="1" hidden="1" customWidth="1"/>
    <x:col min="22" max="16384" width="9.140625" style="1"/>
  </x:cols>
  <x:sheetData>
    <x:row r="1" spans="1:3" ht="15.75" x14ac:dyDescent="0.25">
      <x:c r="B1" s="11" t="s">
        <x:v>8</x:v>
      </x:c>
    </x:row>
    <x:row r="2" spans="1:3" x14ac:dyDescent="0.25">
      <x:c r="A2" s="4" t="s">
        <x:v>6</x:v>
      </x:c>
      <x:c r="B2" s="103" t="s">
        <x:v>City Credit Union</x:v>
      </x:c>
    </x:row>
    <x:row r="3" spans="1:3" x14ac:dyDescent="0.25">
      <x:c r="A3" s="4" t="s">
        <x:v>9</x:v>
      </x:c>
      <x:c r="B3" s="103" t="s">
        <x:v>01/01/2016</x:v>
      </x:c>
    </x:row>
    <x:row r="4" spans="1:3" x14ac:dyDescent="0.25">
      <x:c r="A4" s="4" t="s">
        <x:v>7</x:v>
      </x:c>
      <x:c r="B4" s="103" t="s">
        <x:v>10/31/2018</x:v>
      </x:c>
    </x:row>
    <x:row r="6" spans="1:3" x14ac:dyDescent="0.25">
      <x:c r="A6" s="4"/>
    </x:row>
    <x:row r="8" spans="1:3" ht="15.75" thickBot="1" x14ac:dyDescent="0.3">
      <x:c r="A8" s="22" t="s">
        <x:v>27</x:v>
      </x:c>
    </x:row>
    <x:row r="9" spans="1:3" ht="22.5" customHeight="1" thickBot="1" x14ac:dyDescent="0.3">
      <x:c r="A9" s="101" t="s">
        <x:v>0</x:v>
      </x:c>
      <x:c r="B9" s="102" t="s">
        <x:v>28</x:v>
      </x:c>
      <x:c r="C9" s="122" t="str">
        <x:v/>
      </x:c>
    </x:row>
    <x:row r="10" spans="1:3" x14ac:dyDescent="0.25">
      <x:c r="A10" s="106" t="str">
        <x:v>B/W Copies and B/W Laser Prints</x:v>
      </x:c>
      <x:c r="B10" s="197" t="n">
        <x:v>0.03310</x:v>
      </x:c>
    </x:row>
    <x:row r="11" spans="1:3" x14ac:dyDescent="0.25">
      <x:c r="A11" s="43" t="str">
        <x:v>Color Laser Prints</x:v>
      </x:c>
      <x:c r="B11" s="198" t="n">
        <x:v>0.09540</x:v>
      </x:c>
    </x:row>
    <x:row r="12" spans="1:3" x14ac:dyDescent="0.25">
      <x:c r="A12" s="106" t="str">
        <x:v>Color Copier (Color Pages)</x:v>
      </x:c>
      <x:c r="B12" s="197" t="n">
        <x:v>0.59660</x:v>
      </x:c>
    </x:row>
    <x:row r="13" spans="1:3" x14ac:dyDescent="0.25">
      <x:c r="A13" s="43" t="str">
        <x:v/>
      </x:c>
      <x:c r="B13" s="198" t="str">
        <x:v> </x:v>
      </x:c>
    </x:row>
    <x:row r="14" spans="1:3" x14ac:dyDescent="0.25">
      <x:c r="A14" s="106" t="str">
        <x:v/>
      </x:c>
      <x:c r="B14" s="197" t="str">
        <x:v> </x:v>
      </x:c>
    </x:row>
    <x:row r="15" spans="1:3" x14ac:dyDescent="0.25">
      <x:c r="A15" s="43" t="str">
        <x:v/>
      </x:c>
      <x:c r="B15" s="198" t="str">
        <x:v> </x:v>
      </x:c>
    </x:row>
    <x:row r="16" spans="1:3" x14ac:dyDescent="0.25">
      <x:c r="A16" s="106" t="str">
        <x:v/>
      </x:c>
      <x:c r="B16" s="197" t="str">
        <x:v> </x:v>
      </x:c>
    </x:row>
    <x:row r="17" spans="1:3" x14ac:dyDescent="0.25">
      <x:c r="A17" s="43" t="str">
        <x:v/>
      </x:c>
      <x:c r="B17" s="198" t="str">
        <x:v> </x:v>
      </x:c>
    </x:row>
    <x:row r="18" spans="1:3" x14ac:dyDescent="0.25">
      <x:c r="A18" s="106" t="str">
        <x:v/>
      </x:c>
      <x:c r="B18" s="197" t="str">
        <x:v> </x:v>
      </x:c>
    </x:row>
    <x:row r="19" spans="1:3" x14ac:dyDescent="0.25">
      <x:c r="A19" s="43" t="str">
        <x:v/>
      </x:c>
      <x:c r="B19" s="198" t="str">
        <x:v> </x:v>
      </x:c>
    </x:row>
    <x:row r="20" spans="1:3" x14ac:dyDescent="0.25">
      <x:c r="A20" s="106" t="str">
        <x:v/>
      </x:c>
      <x:c r="B20" s="197" t="str">
        <x:v> </x:v>
      </x:c>
    </x:row>
    <x:row r="21" spans="1:3" x14ac:dyDescent="0.25">
      <x:c r="A21" s="43" t="str">
        <x:v/>
      </x:c>
      <x:c r="B21" s="198" t="str">
        <x:v> </x:v>
      </x:c>
    </x:row>
    <x:row r="22" spans="1:3" x14ac:dyDescent="0.25">
      <x:c r="A22" s="106" t="str">
        <x:v/>
      </x:c>
      <x:c r="B22" s="197" t="str">
        <x:v> </x:v>
      </x:c>
    </x:row>
    <x:row r="23" spans="1:3" x14ac:dyDescent="0.25">
      <x:c r="A23" s="43" t="str">
        <x:v/>
      </x:c>
      <x:c r="B23" s="198" t="str">
        <x:v> </x:v>
      </x:c>
    </x:row>
    <x:row r="24" spans="1:3" x14ac:dyDescent="0.25">
      <x:c r="A24" s="106" t="str">
        <x:v/>
      </x:c>
      <x:c r="B24" s="197" t="str">
        <x:v> </x:v>
      </x:c>
    </x:row>
    <x:row r="25" spans="1:2" ht="15.75" thickBot="1" x14ac:dyDescent="0.3">
      <x:c r="A25" s="108"/>
      <x:c r="B25" s="109"/>
    </x:row>
  </x:sheetData>
  <x:pageMargins left="0.25" right="0.25" top="1.2916666666666667" bottom="0.75" header="0.3" footer="0.3"/>
  <x:pageSetup orientation="landscape" r:id="rId1"/>
  <x:headerFooter>
    <x:oddHeader>&amp;C&amp;G</x:oddHeader>
    <x:oddFooter>&amp;C&amp;G</x:oddFooter>
  </x:headerFooter>
  <x:legacyDrawingHF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2"/>
  <x:dimension ref="A1:N21"/>
  <x:sheetViews>
    <x:sheetView view="pageLayout" topLeftCell="A4" zoomScaleNormal="100" workbookViewId="0">
      <x:selection activeCell="D4" sqref="D4"/>
    </x:sheetView>
  </x:sheetViews>
  <x:sheetFormatPr defaultRowHeight="15" x14ac:dyDescent="0.25"/>
  <x:cols>
    <x:col min="1" max="3" width="9.140625" style="1"/>
    <x:col min="4" max="4" width="15" style="1" customWidth="1"/>
    <x:col min="5" max="14" width="7.7109375" style="1" customWidth="1"/>
    <x:col min="15" max="16384" width="9.140625" style="1"/>
  </x:cols>
  <x:sheetData>
    <x:row r="1" spans="1:14" ht="18" x14ac:dyDescent="0.25">
      <x:c r="A1" s="141" t="str">
        <x:f ca="1">SETUP!B2</x:f>
        <x:v>?</x:v>
      </x:c>
      <x:c r="B1" s="142"/>
      <x:c r="C1" s="142"/>
      <x:c r="D1" s="142"/>
      <x:c r="E1" s="142"/>
      <x:c r="F1" s="142"/>
      <x:c r="G1" s="142"/>
      <x:c r="H1" s="142"/>
      <x:c r="I1" s="142"/>
      <x:c r="J1" s="142"/>
      <x:c r="K1" s="142"/>
      <x:c r="L1" s="142"/>
      <x:c r="M1" s="142"/>
      <x:c r="N1" s="142"/>
    </x:row>
    <x:row r="2" spans="1:14" x14ac:dyDescent="0.25">
      <x:c r="A2" s="123" t="str">
        <x:f ca="1">"FPR Service Support Survey for Period Ending  "&amp;TEXT(SETUP!$B$4,"MMMMMMMM DD, YYYY")&amp;""</x:f>
        <x:v>FPR Service Support Survey for Period Ending  ?</x:v>
      </x:c>
      <x:c r="B2" s="144"/>
      <x:c r="C2" s="144"/>
      <x:c r="D2" s="144"/>
      <x:c r="E2" s="144"/>
      <x:c r="F2" s="144"/>
      <x:c r="G2" s="144"/>
      <x:c r="H2" s="144"/>
      <x:c r="I2" s="144"/>
      <x:c r="J2" s="144"/>
      <x:c r="K2" s="144"/>
      <x:c r="L2" s="144"/>
      <x:c r="M2" s="144"/>
      <x:c r="N2" s="144"/>
    </x:row>
    <x:row r="4" spans="1:14" ht="18.75" customHeight="1" x14ac:dyDescent="0.25">
      <x:c r="C4" s="29" t="s">
        <x:v>30</x:v>
      </x:c>
      <x:c r="D4" s="27">
        <x:v/>
      </x:c>
      <x:c r="E4" s="28"/>
      <x:c r="F4" s="28"/>
      <x:c r="G4" s="28"/>
      <x:c r="H4" s="28"/>
      <x:c r="I4" s="28"/>
      <x:c r="J4" s="28"/>
      <x:c r="K4" s="28"/>
      <x:c r="L4" s="2"/>
    </x:row>
    <x:row r="5" spans="1:14" ht="18.75" customHeight="1" x14ac:dyDescent="0.25">
      <x:c r="C5" s="29" t="s">
        <x:v>31</x:v>
      </x:c>
      <x:c r="D5" s="27">
        <x:v/>
      </x:c>
      <x:c r="E5" s="28"/>
      <x:c r="F5" s="28"/>
      <x:c r="G5" s="28"/>
      <x:c r="H5" s="28"/>
      <x:c r="I5" s="28"/>
      <x:c r="J5" s="28"/>
      <x:c r="K5" s="28"/>
      <x:c r="L5" s="2"/>
    </x:row>
    <x:row r="6" spans="1:14" ht="18.75" customHeight="1" x14ac:dyDescent="0.25">
      <x:c r="C6" s="29" t="s">
        <x:v>32</x:v>
      </x:c>
      <x:c r="D6" s="27">
        <x:v/>
      </x:c>
      <x:c r="E6" s="28"/>
      <x:c r="F6" s="28"/>
      <x:c r="G6" s="28"/>
      <x:c r="H6" s="28"/>
      <x:c r="I6" s="28"/>
      <x:c r="J6" s="28"/>
      <x:c r="K6" s="28"/>
      <x:c r="L6" s="2"/>
    </x:row>
    <x:row r="7" spans="1:14" ht="15.75" thickBot="1" x14ac:dyDescent="0.3">
      <x:c r="B7" s="151"/>
      <x:c r="C7" s="152"/>
      <x:c r="D7" s="152"/>
      <x:c r="E7" s="152"/>
      <x:c r="F7" s="152"/>
      <x:c r="G7" s="152"/>
      <x:c r="H7" s="152"/>
      <x:c r="I7" s="152"/>
      <x:c r="J7" s="152"/>
      <x:c r="K7" s="152"/>
      <x:c r="L7" s="152"/>
      <x:c r="M7" s="152"/>
      <x:c r="N7" s="152"/>
    </x:row>
    <x:row r="8" spans="1:14" ht="15.75" thickBot="1" x14ac:dyDescent="0.3">
      <x:c r="B8" s="145" t="s">
        <x:v>33</x:v>
      </x:c>
      <x:c r="C8" s="146"/>
      <x:c r="D8" s="147"/>
      <x:c r="E8" s="99">
        <x:v>1</x:v>
      </x:c>
      <x:c r="F8" s="99">
        <x:v>2</x:v>
      </x:c>
      <x:c r="G8" s="99">
        <x:v>3</x:v>
      </x:c>
      <x:c r="H8" s="99">
        <x:v>4</x:v>
      </x:c>
      <x:c r="I8" s="99">
        <x:v>5</x:v>
      </x:c>
      <x:c r="J8" s="99">
        <x:v>6</x:v>
      </x:c>
      <x:c r="K8" s="99">
        <x:v>7</x:v>
      </x:c>
      <x:c r="L8" s="99">
        <x:v>8</x:v>
      </x:c>
      <x:c r="M8" s="99">
        <x:v>9</x:v>
      </x:c>
      <x:c r="N8" s="100">
        <x:v>10</x:v>
      </x:c>
    </x:row>
    <x:row r="9" spans="1:14" ht="22.5" customHeight="1" x14ac:dyDescent="0.25">
      <x:c r="B9" s="148" t="s">
        <x:v>13</x:v>
      </x:c>
      <x:c r="C9" s="149"/>
      <x:c r="D9" s="150"/>
      <x:c r="E9" s="114">
        <x:v/>
      </x:c>
      <x:c r="F9" s="114">
        <x:v/>
      </x:c>
      <x:c r="G9" s="114">
        <x:v/>
      </x:c>
      <x:c r="H9" s="114">
        <x:v/>
      </x:c>
      <x:c r="I9" s="114">
        <x:v/>
      </x:c>
      <x:c r="J9" s="114">
        <x:v/>
      </x:c>
      <x:c r="K9" s="114">
        <x:v/>
      </x:c>
      <x:c r="L9" s="114">
        <x:v/>
      </x:c>
      <x:c r="M9" s="114">
        <x:v/>
      </x:c>
      <x:c r="N9" s="115">
        <x:v/>
      </x:c>
    </x:row>
    <x:row r="10" spans="1:14" ht="30" customHeight="1" x14ac:dyDescent="0.25">
      <x:c r="B10" s="30"/>
      <x:c r="C10" s="28"/>
      <x:c r="D10" s="37" t="s">
        <x:v>36</x:v>
      </x:c>
      <x:c r="E10" s="31">
        <x:v/>
      </x:c>
      <x:c r="F10" s="32"/>
      <x:c r="G10" s="32"/>
      <x:c r="H10" s="32"/>
      <x:c r="I10" s="32"/>
      <x:c r="J10" s="32"/>
      <x:c r="K10" s="32"/>
      <x:c r="L10" s="32"/>
      <x:c r="M10" s="32"/>
      <x:c r="N10" s="33"/>
    </x:row>
    <x:row r="11" spans="1:14" ht="22.5" customHeight="1" x14ac:dyDescent="0.25">
      <x:c r="B11" s="133" t="s">
        <x:v>14</x:v>
      </x:c>
      <x:c r="C11" s="134"/>
      <x:c r="D11" s="135"/>
      <x:c r="E11" s="112">
        <x:v/>
      </x:c>
      <x:c r="F11" s="112">
        <x:v/>
      </x:c>
      <x:c r="G11" s="112">
        <x:v/>
      </x:c>
      <x:c r="H11" s="112">
        <x:v/>
      </x:c>
      <x:c r="I11" s="112">
        <x:v/>
      </x:c>
      <x:c r="J11" s="112">
        <x:v/>
      </x:c>
      <x:c r="K11" s="112">
        <x:v/>
      </x:c>
      <x:c r="L11" s="112">
        <x:v/>
      </x:c>
      <x:c r="M11" s="112">
        <x:v/>
      </x:c>
      <x:c r="N11" s="113">
        <x:v/>
      </x:c>
    </x:row>
    <x:row r="12" spans="1:14" ht="30" customHeight="1" x14ac:dyDescent="0.25">
      <x:c r="B12" s="30"/>
      <x:c r="C12" s="28"/>
      <x:c r="D12" s="37" t="s">
        <x:v>36</x:v>
      </x:c>
      <x:c r="E12" s="31">
        <x:v/>
      </x:c>
      <x:c r="F12" s="32"/>
      <x:c r="G12" s="32"/>
      <x:c r="H12" s="32"/>
      <x:c r="I12" s="32"/>
      <x:c r="J12" s="32"/>
      <x:c r="K12" s="32"/>
      <x:c r="L12" s="32"/>
      <x:c r="M12" s="32"/>
      <x:c r="N12" s="33"/>
    </x:row>
    <x:row r="13" spans="1:14" ht="22.5" customHeight="1" x14ac:dyDescent="0.25">
      <x:c r="B13" s="133" t="s">
        <x:v>34</x:v>
      </x:c>
      <x:c r="C13" s="134"/>
      <x:c r="D13" s="135"/>
      <x:c r="E13" s="110">
        <x:v/>
      </x:c>
      <x:c r="F13" s="110">
        <x:v/>
      </x:c>
      <x:c r="G13" s="110">
        <x:v/>
      </x:c>
      <x:c r="H13" s="110">
        <x:v/>
      </x:c>
      <x:c r="I13" s="110">
        <x:v/>
      </x:c>
      <x:c r="J13" s="110">
        <x:v/>
      </x:c>
      <x:c r="K13" s="110">
        <x:v/>
      </x:c>
      <x:c r="L13" s="110">
        <x:v/>
      </x:c>
      <x:c r="M13" s="110">
        <x:v/>
      </x:c>
      <x:c r="N13" s="111">
        <x:v/>
      </x:c>
    </x:row>
    <x:row r="14" spans="1:14" ht="37.5" customHeight="1" x14ac:dyDescent="0.25">
      <x:c r="B14" s="30"/>
      <x:c r="C14" s="28"/>
      <x:c r="D14" s="37" t="s">
        <x:v>36</x:v>
      </x:c>
      <x:c r="E14" s="31">
        <x:v/>
      </x:c>
      <x:c r="F14" s="32"/>
      <x:c r="G14" s="32"/>
      <x:c r="H14" s="32"/>
      <x:c r="I14" s="32"/>
      <x:c r="J14" s="32"/>
      <x:c r="K14" s="32"/>
      <x:c r="L14" s="32"/>
      <x:c r="M14" s="32"/>
      <x:c r="N14" s="33"/>
    </x:row>
    <x:row r="15" spans="1:14" ht="22.5" customHeight="1" x14ac:dyDescent="0.25">
      <x:c r="B15" s="133" t="s">
        <x:v>35</x:v>
      </x:c>
      <x:c r="C15" s="134"/>
      <x:c r="D15" s="135"/>
      <x:c r="E15" s="110">
        <x:v/>
      </x:c>
      <x:c r="F15" s="110">
        <x:v/>
      </x:c>
      <x:c r="G15" s="110">
        <x:v/>
      </x:c>
      <x:c r="H15" s="110">
        <x:v/>
      </x:c>
      <x:c r="I15" s="110">
        <x:v/>
      </x:c>
      <x:c r="J15" s="110">
        <x:v/>
      </x:c>
      <x:c r="K15" s="110">
        <x:v/>
      </x:c>
      <x:c r="L15" s="110">
        <x:v/>
      </x:c>
      <x:c r="M15" s="110">
        <x:v/>
      </x:c>
      <x:c r="N15" s="111">
        <x:v/>
      </x:c>
    </x:row>
    <x:row r="16" spans="1:14" ht="30" customHeight="1" x14ac:dyDescent="0.25">
      <x:c r="B16" s="30"/>
      <x:c r="C16" s="28"/>
      <x:c r="D16" s="37" t="s">
        <x:v>36</x:v>
      </x:c>
      <x:c r="E16" s="31">
        <x:v/>
      </x:c>
      <x:c r="F16" s="32"/>
      <x:c r="G16" s="32"/>
      <x:c r="H16" s="32"/>
      <x:c r="I16" s="32"/>
      <x:c r="J16" s="32"/>
      <x:c r="K16" s="32"/>
      <x:c r="L16" s="32"/>
      <x:c r="M16" s="32"/>
      <x:c r="N16" s="33"/>
    </x:row>
    <x:row r="17" spans="1:14" ht="22.5" customHeight="1" x14ac:dyDescent="0.25">
      <x:c r="B17" s="133" t="s">
        <x:v>17</x:v>
      </x:c>
      <x:c r="C17" s="134"/>
      <x:c r="D17" s="135"/>
      <x:c r="E17" s="110">
        <x:v/>
      </x:c>
      <x:c r="F17" s="110">
        <x:v/>
      </x:c>
      <x:c r="G17" s="110">
        <x:v/>
      </x:c>
      <x:c r="H17" s="110">
        <x:v/>
      </x:c>
      <x:c r="I17" s="110">
        <x:v/>
      </x:c>
      <x:c r="J17" s="110">
        <x:v/>
      </x:c>
      <x:c r="K17" s="110">
        <x:v/>
      </x:c>
      <x:c r="L17" s="110">
        <x:v/>
      </x:c>
      <x:c r="M17" s="110">
        <x:v/>
      </x:c>
      <x:c r="N17" s="111">
        <x:v/>
      </x:c>
    </x:row>
    <x:row r="18" spans="1:14" ht="30" customHeight="1" x14ac:dyDescent="0.25">
      <x:c r="B18" s="30"/>
      <x:c r="C18" s="28"/>
      <x:c r="D18" s="37" t="s">
        <x:v>36</x:v>
      </x:c>
      <x:c r="E18" s="31">
        <x:v/>
      </x:c>
      <x:c r="F18" s="32"/>
      <x:c r="G18" s="32"/>
      <x:c r="H18" s="32"/>
      <x:c r="I18" s="32"/>
      <x:c r="J18" s="32"/>
      <x:c r="K18" s="32"/>
      <x:c r="L18" s="32"/>
      <x:c r="M18" s="32"/>
      <x:c r="N18" s="33"/>
    </x:row>
    <x:row r="19" spans="1:14" ht="50.25" customHeight="1" thickBot="1" x14ac:dyDescent="0.3">
      <x:c r="B19" s="136" t="s">
        <x:v>45</x:v>
      </x:c>
      <x:c r="C19" s="137"/>
      <x:c r="D19" s="138"/>
      <x:c r="E19" s="34"/>
      <x:c r="F19" s="35">
        <x:v/>
      </x:c>
      <x:c r="G19" s="35"/>
      <x:c r="H19" s="35"/>
      <x:c r="I19" s="35"/>
      <x:c r="J19" s="35"/>
      <x:c r="K19" s="35"/>
      <x:c r="L19" s="35"/>
      <x:c r="M19" s="35"/>
      <x:c r="N19" s="36"/>
    </x:row>
    <x:row r="20" spans="1:14" ht="5.25" customHeight="1" x14ac:dyDescent="0.25"/>
    <x:row r="21" spans="1:14" ht="10.5" customHeight="1" x14ac:dyDescent="0.25">
      <x:c r="A21" s="139" t="s">
        <x:v>44</x:v>
      </x:c>
      <x:c r="B21" s="140"/>
      <x:c r="C21" s="140"/>
      <x:c r="D21" s="140"/>
      <x:c r="E21" s="140"/>
      <x:c r="F21" s="140"/>
      <x:c r="G21" s="140"/>
      <x:c r="H21" s="140"/>
      <x:c r="I21" s="140"/>
      <x:c r="J21" s="140"/>
      <x:c r="K21" s="140"/>
      <x:c r="L21" s="140"/>
      <x:c r="M21" s="140"/>
      <x:c r="N21" s="140"/>
    </x:row>
  </x:sheetData>
  <x:mergeCells count="11">
    <x:mergeCell ref="B15:D15"/>
    <x:mergeCell ref="B17:D17"/>
    <x:mergeCell ref="B19:D19"/>
    <x:mergeCell ref="A21:O21"/>
    <x:mergeCell ref="A1:O1"/>
    <x:mergeCell ref="A2:O2"/>
    <x:mergeCell ref="B8:D8"/>
    <x:mergeCell ref="B9:D9"/>
    <x:mergeCell ref="B11:D11"/>
    <x:mergeCell ref="B13:D13"/>
    <x:mergeCell ref="B7:N7"/>
  </x:mergeCells>
  <x:pageMargins left="0.333" right="0.333" top="1.2708333333333333" bottom="0.82291666666666663" header="0.3" footer="0.3"/>
  <x:pageSetup orientation="landscape" r:id="rId1"/>
  <x:headerFooter>
    <x:oddHeader>&amp;C&amp;G</x:oddHeader>
    <x:oddFooter>&amp;C&amp;G</x:oddFooter>
  </x:headerFooter>
  <x:legacyDrawingHF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0"/>
  <x:dimension ref="A1:G29"/>
  <x:sheetViews>
    <x:sheetView view="pageLayout" zoomScaleNormal="100" workbookViewId="0">
      <x:selection activeCell="A7" sqref="A7"/>
    </x:sheetView>
  </x:sheetViews>
  <x:sheetFormatPr defaultRowHeight="15" x14ac:dyDescent="0.25"/>
  <x:cols>
    <x:col min="1" max="1" width="19.28515625" style="1" customWidth="1"/>
    <x:col min="2" max="2" width="24.140625" style="1" customWidth="1"/>
    <x:col min="3" max="7" width="14.85546875" style="12" customWidth="1"/>
    <x:col min="8" max="16384" width="9.140625" style="1"/>
  </x:cols>
  <x:sheetData>
    <x:row r="1" spans="1:7" ht="15.75" x14ac:dyDescent="0.25">
      <x:c r="A1" s="125" t="str">
        <x:f ca="1">SETUP!$B$2</x:f>
        <x:v>?</x:v>
      </x:c>
      <x:c r="B1" s="132"/>
      <x:c r="C1" s="132"/>
      <x:c r="D1" s="132"/>
      <x:c r="E1" s="132"/>
      <x:c r="F1" s="132"/>
      <x:c r="G1" s="132"/>
    </x:row>
    <x:row r="2" spans="1:7" x14ac:dyDescent="0.25">
      <x:c r="A2" s="123" t="str">
        <x:f ca="1">="Service Survey Summaries Through Period Ending " &amp; TEXT(SETUP!$B$4,"MMMMMMMMM DD, YYYY") </x:f>
        <x:v/>
      </x:c>
      <x:c r="B2" s="132"/>
      <x:c r="C2" s="132"/>
      <x:c r="D2" s="132"/>
      <x:c r="E2" s="132"/>
      <x:c r="F2" s="132"/>
      <x:c r="G2" s="132"/>
    </x:row>
    <x:row r="3" spans="1:7" x14ac:dyDescent="0.25">
      <x:c r="A3" s="19"/>
      <x:c r="B3" s="12"/>
    </x:row>
    <x:row r="4" spans="1:7" ht="22.75" customHeight="1" x14ac:dyDescent="0.25">
      <x:c r="B4" s="199" t="str">
        <x:v>Each period, FPR petitions your feedback regarding our overall delivery of service.  The historical results provided to us are detailed below.  On a scale from 5 (worst) to 100 (best), the results below indicate how you have rated us in the past, for the respective categories.</x:v>
      </x:c>
      <x:c r="B4" s="128"/>
      <x:c r="C4" s="128"/>
      <x:c r="D4" s="128"/>
      <x:c r="E4" s="128"/>
      <x:c r="F4" s="128"/>
      <x:c r="G4" s="128"/>
    </x:row>
    <x:row r="6" spans="1:7" ht="34.5" x14ac:dyDescent="0.25">
      <x:c r="A6" s="47" t="s">
        <x:v>29</x:v>
      </x:c>
      <x:c r="B6" s="45" t="s">
        <x:v>18</x:v>
      </x:c>
      <x:c r="C6" s="45" t="s">
        <x:v>13</x:v>
      </x:c>
      <x:c r="D6" s="45" t="s">
        <x:v>14</x:v>
      </x:c>
      <x:c r="E6" s="45" t="s">
        <x:v>15</x:v>
      </x:c>
      <x:c r="F6" s="45" t="s">
        <x:v>16</x:v>
      </x:c>
      <x:c r="G6" s="46" t="s">
        <x:v>17</x:v>
      </x:c>
    </x:row>
    <x:row r="7" spans="1:7" x14ac:dyDescent="0.25">
      <x:c r="A7" s="96">
        <x:v>3/5/2018</x:v>
      </x:c>
      <x:c r="B7" s="117">
        <x:v>Garreth Cada</x:v>
      </x:c>
      <x:c r="C7" s="97">
        <x:v>100%</x:v>
      </x:c>
      <x:c r="D7" s="97">
        <x:v>100%</x:v>
      </x:c>
      <x:c r="E7" s="97">
        <x:v>100%</x:v>
      </x:c>
      <x:c r="F7" s="97">
        <x:v>100%</x:v>
      </x:c>
      <x:c r="G7" s="98">
        <x:v>100%</x:v>
      </x:c>
    </x:row>
    <x:row r="8" spans="1:7" x14ac:dyDescent="0.25">
      <x:c r="A8" s="96">
        <x:v> </x:v>
      </x:c>
      <x:c r="B8" s="97">
        <x:v>Thanks for great service!</x:v>
      </x:c>
      <x:c r="C8" s="97">
        <x:v>Great Service</x:v>
      </x:c>
      <x:c r="D8" s="97">
        <x:v>Cass &amp; the team are great</x:v>
      </x:c>
      <x:c r="E8" s="97">
        <x:v>Very Professional</x:v>
      </x:c>
      <x:c r="F8" s="97">
        <x:v>Ray &amp; guys are great</x:v>
      </x:c>
      <x:c r="G8" s="98">
        <x:v/>
      </x:c>
    </x:row>
    <x:row r="9" spans="1:7" x14ac:dyDescent="0.25">
      <x:c r="A9" s="90">
        <x:v>11/13/2017</x:v>
      </x:c>
      <x:c r="B9" s="118">
        <x:v>Garreth L. Cada </x:v>
      </x:c>
      <x:c r="C9" s="25">
        <x:v>100%</x:v>
      </x:c>
      <x:c r="D9" s="25">
        <x:v>100%</x:v>
      </x:c>
      <x:c r="E9" s="25">
        <x:v>100%</x:v>
      </x:c>
      <x:c r="F9" s="25">
        <x:v>100%</x:v>
      </x:c>
      <x:c r="G9" s="91">
        <x:v>100%</x:v>
      </x:c>
    </x:row>
    <x:row r="10" spans="1:7" x14ac:dyDescent="0.25">
      <x:c r="A10" s="90">
        <x:v> </x:v>
      </x:c>
      <x:c r="B10" s="25">
        <x:v>Another great quarter; thank you!</x:v>
      </x:c>
      <x:c r="C10" s="25">
        <x:v/>
      </x:c>
      <x:c r="D10" s="25">
        <x:v/>
      </x:c>
      <x:c r="E10" s="25">
        <x:v/>
      </x:c>
      <x:c r="F10" s="25">
        <x:v/>
      </x:c>
      <x:c r="G10" s="91">
        <x:v/>
      </x:c>
    </x:row>
    <x:row r="11" spans="1:7" x14ac:dyDescent="0.25">
      <x:c r="A11" s="96">
        <x:v>8/4/2017</x:v>
      </x:c>
      <x:c r="B11" s="117">
        <x:v>Garreth L. Cada </x:v>
      </x:c>
      <x:c r="C11" s="97">
        <x:v>100%</x:v>
      </x:c>
      <x:c r="D11" s="97">
        <x:v>100%</x:v>
      </x:c>
      <x:c r="E11" s="97">
        <x:v>100%</x:v>
      </x:c>
      <x:c r="F11" s="97">
        <x:v>100%</x:v>
      </x:c>
      <x:c r="G11" s="98">
        <x:v>100%</x:v>
      </x:c>
    </x:row>
    <x:row r="12" spans="1:7" x14ac:dyDescent="0.25">
      <x:c r="A12" s="96">
        <x:v> </x:v>
      </x:c>
      <x:c r="B12" s="97">
        <x:v>Thanks for the great service and professionalism. </x:v>
      </x:c>
      <x:c r="C12" s="97">
        <x:v/>
      </x:c>
      <x:c r="D12" s="97">
        <x:v/>
      </x:c>
      <x:c r="E12" s="97">
        <x:v/>
      </x:c>
      <x:c r="F12" s="97">
        <x:v/>
      </x:c>
      <x:c r="G12" s="98">
        <x:v/>
      </x:c>
    </x:row>
    <x:row r="13" spans="1:7" x14ac:dyDescent="0.25">
      <x:c r="A13" s="90">
        <x:v>5/9/2017</x:v>
      </x:c>
      <x:c r="B13" s="118">
        <x:v>Garreth L. Cada </x:v>
      </x:c>
      <x:c r="C13" s="25">
        <x:v>100%</x:v>
      </x:c>
      <x:c r="D13" s="25">
        <x:v>100%</x:v>
      </x:c>
      <x:c r="E13" s="25">
        <x:v>100%</x:v>
      </x:c>
      <x:c r="F13" s="25">
        <x:v>100%</x:v>
      </x:c>
      <x:c r="G13" s="91">
        <x:v>100%</x:v>
      </x:c>
    </x:row>
    <x:row r="14" spans="1:7" x14ac:dyDescent="0.25">
      <x:c r="A14" s="90">
        <x:v> </x:v>
      </x:c>
      <x:c r="B14" s="25">
        <x:v>Good service and happy customer.</x:v>
      </x:c>
      <x:c r="C14" s="25">
        <x:v/>
      </x:c>
      <x:c r="D14" s="25">
        <x:v/>
      </x:c>
      <x:c r="E14" s="25">
        <x:v/>
      </x:c>
      <x:c r="F14" s="25">
        <x:v/>
      </x:c>
      <x:c r="G14" s="91">
        <x:v/>
      </x:c>
    </x:row>
    <x:row r="15" spans="1:7" x14ac:dyDescent="0.25">
      <x:c r="A15" s="96">
        <x:v>3/1/2017</x:v>
      </x:c>
      <x:c r="B15" s="117">
        <x:v>Garreth Cada</x:v>
      </x:c>
      <x:c r="C15" s="97">
        <x:v>100%</x:v>
      </x:c>
      <x:c r="D15" s="97">
        <x:v>100%</x:v>
      </x:c>
      <x:c r="E15" s="97">
        <x:v>100%</x:v>
      </x:c>
      <x:c r="F15" s="97">
        <x:v>100%</x:v>
      </x:c>
      <x:c r="G15" s="98">
        <x:v>100%</x:v>
      </x:c>
    </x:row>
    <x:row r="16" spans="1:7" x14ac:dyDescent="0.25">
      <x:c r="A16" s="96">
        <x:v> </x:v>
      </x:c>
      <x:c r="B16" s="97">
        <x:v>Great job this quarter!</x:v>
      </x:c>
      <x:c r="C16" s="97">
        <x:v/>
      </x:c>
      <x:c r="D16" s="97">
        <x:v/>
      </x:c>
      <x:c r="E16" s="97">
        <x:v/>
      </x:c>
      <x:c r="F16" s="97">
        <x:v/>
      </x:c>
      <x:c r="G16" s="98">
        <x:v/>
      </x:c>
    </x:row>
    <x:row r="17" spans="1:7" x14ac:dyDescent="0.25">
      <x:c r="A17" s="90">
        <x:v>8/9/2016</x:v>
      </x:c>
      <x:c r="B17" s="118">
        <x:v>Garreth L. Cada</x:v>
      </x:c>
      <x:c r="C17" s="25">
        <x:v>100%</x:v>
      </x:c>
      <x:c r="D17" s="25">
        <x:v>100%</x:v>
      </x:c>
      <x:c r="E17" s="25">
        <x:v>100%</x:v>
      </x:c>
      <x:c r="F17" s="25">
        <x:v>100%</x:v>
      </x:c>
      <x:c r="G17" s="91">
        <x:v>100%</x:v>
      </x:c>
    </x:row>
    <x:row r="18" spans="1:7" x14ac:dyDescent="0.25">
      <x:c r="A18" s="90">
        <x:v> </x:v>
      </x:c>
      <x:c r="B18" s="25">
        <x:v>Service this quarter was excellent.  Thank you.			
</x:v>
      </x:c>
      <x:c r="C18" s="25">
        <x:v/>
      </x:c>
      <x:c r="D18" s="25">
        <x:v/>
      </x:c>
      <x:c r="E18" s="25">
        <x:v/>
      </x:c>
      <x:c r="F18" s="25">
        <x:v/>
      </x:c>
      <x:c r="G18" s="91">
        <x:v/>
      </x:c>
    </x:row>
    <x:row r="15" spans="1:8" x14ac:dyDescent="0.25">
      <x:c r="A15" s="60"/>
      <x:c r="B15" s="54"/>
      <x:c r="C15" s="54"/>
      <x:c r="D15" s="54"/>
      <x:c r="E15" s="54"/>
      <x:c r="F15" s="54"/>
      <x:c r="G15" s="98"/>
    </x:row>
    <x:row r="16" spans="1:8" x14ac:dyDescent="0.25">
      <x:c r="A16" s="60"/>
      <x:c r="B16" s="54"/>
      <x:c r="C16" s="54"/>
      <x:c r="D16" s="54"/>
      <x:c r="E16" s="54"/>
      <x:c r="F16" s="54"/>
      <x:c r="G16" s="98"/>
    </x:row>
    <x:row r="17" spans="1:8" ht="14.25" customHeight="1" x14ac:dyDescent="0.25">
      <x:c r="A17" s="58"/>
      <x:c r="B17" s="26"/>
      <x:c r="C17" s="21"/>
      <x:c r="D17" s="21"/>
      <x:c r="E17" s="8"/>
      <x:c r="F17" s="8">
        <x:v/>
      </x:c>
      <x:c r="G17" s="59"/>
    </x:row>
    <x:row r="18" spans="1:8" ht="14.25" customHeight="1" x14ac:dyDescent="0.25">
      <x:c r="A18" s="58"/>
      <x:c r="B18" s="26"/>
      <x:c r="C18" s="21"/>
      <x:c r="D18" s="21"/>
      <x:c r="E18" s="8"/>
      <x:c r="F18" s="8">
        <x:v/>
      </x:c>
      <x:c r="G18" s="59"/>
    </x:row>
    <x:row r="19" spans="1:8" x14ac:dyDescent="0.25">
      <x:c r="A19" s="60"/>
      <x:c r="B19" s="54"/>
      <x:c r="C19" s="54"/>
      <x:c r="D19" s="54"/>
      <x:c r="E19" s="54"/>
      <x:c r="F19" s="54"/>
      <x:c r="G19" s="98"/>
    </x:row>
    <x:row r="20" spans="1:8" x14ac:dyDescent="0.25">
      <x:c r="A20" s="60"/>
      <x:c r="B20" s="54"/>
      <x:c r="C20" s="54"/>
      <x:c r="D20" s="54"/>
      <x:c r="E20" s="54"/>
      <x:c r="F20" s="54"/>
      <x:c r="G20" s="98"/>
    </x:row>
    <x:row r="21" spans="1:8" ht="14.25" customHeight="1" x14ac:dyDescent="0.25">
      <x:c r="A21" s="58"/>
      <x:c r="B21" s="26"/>
      <x:c r="C21" s="21"/>
      <x:c r="D21" s="21"/>
      <x:c r="E21" s="8"/>
      <x:c r="F21" s="8">
        <x:v/>
      </x:c>
      <x:c r="G21" s="59"/>
    </x:row>
    <x:row r="22" spans="1:8" ht="14.25" customHeight="1" x14ac:dyDescent="0.25">
      <x:c r="A22" s="58"/>
      <x:c r="B22" s="26"/>
      <x:c r="C22" s="21"/>
      <x:c r="D22" s="21"/>
      <x:c r="E22" s="8"/>
      <x:c r="F22" s="8">
        <x:v/>
      </x:c>
      <x:c r="G22" s="59"/>
    </x:row>
    <x:row r="23" spans="1:8" x14ac:dyDescent="0.25">
      <x:c r="A23" s="60"/>
      <x:c r="B23" s="54"/>
      <x:c r="C23" s="54"/>
      <x:c r="D23" s="54"/>
      <x:c r="E23" s="54"/>
      <x:c r="F23" s="54"/>
      <x:c r="G23" s="98"/>
    </x:row>
    <x:row r="24" spans="1:8" x14ac:dyDescent="0.25">
      <x:c r="A24" s="60"/>
      <x:c r="B24" s="54"/>
      <x:c r="C24" s="54"/>
      <x:c r="D24" s="54"/>
      <x:c r="E24" s="54"/>
      <x:c r="F24" s="54"/>
      <x:c r="G24" s="98"/>
    </x:row>
    <x:row r="25" spans="1:8" ht="14.25" customHeight="1" x14ac:dyDescent="0.25">
      <x:c r="A25" s="58"/>
      <x:c r="B25" s="26"/>
      <x:c r="C25" s="21"/>
      <x:c r="D25" s="21"/>
      <x:c r="E25" s="8"/>
      <x:c r="F25" s="8">
        <x:v/>
      </x:c>
      <x:c r="G25" s="59"/>
    </x:row>
    <x:row r="26" spans="1:8" ht="14.25" customHeight="1" x14ac:dyDescent="0.25">
      <x:c r="A26" s="58"/>
      <x:c r="B26" s="26"/>
      <x:c r="C26" s="21"/>
      <x:c r="D26" s="21"/>
      <x:c r="E26" s="8"/>
      <x:c r="F26" s="8">
        <x:v/>
      </x:c>
      <x:c r="G26" s="59"/>
    </x:row>
    <x:row r="27" spans="1:8" x14ac:dyDescent="0.25">
      <x:c r="A27" s="60"/>
      <x:c r="B27" s="54"/>
      <x:c r="C27" s="54"/>
      <x:c r="D27" s="54"/>
      <x:c r="E27" s="54"/>
      <x:c r="F27" s="54"/>
      <x:c r="G27" s="98"/>
    </x:row>
    <x:row r="28" spans="1:8" x14ac:dyDescent="0.25">
      <x:c r="A28" s="60"/>
      <x:c r="B28" s="54"/>
      <x:c r="C28" s="54"/>
      <x:c r="D28" s="54"/>
      <x:c r="E28" s="54"/>
      <x:c r="F28" s="54"/>
      <x:c r="G28" s="98"/>
    </x:row>
    <x:row r="29" spans="1:8" ht="14.25" customHeight="1" x14ac:dyDescent="0.25">
      <x:c r="A29" s="58"/>
      <x:c r="B29" s="26"/>
      <x:c r="C29" s="21"/>
      <x:c r="D29" s="21"/>
      <x:c r="E29" s="8"/>
      <x:c r="F29" s="8">
        <x:v/>
      </x:c>
      <x:c r="G29" s="59"/>
    </x:row>
    <x:row r="30" spans="1:8" ht="14.25" customHeight="1" x14ac:dyDescent="0.25">
      <x:c r="A30" s="58"/>
      <x:c r="B30" s="26"/>
      <x:c r="C30" s="21"/>
      <x:c r="D30" s="21"/>
      <x:c r="E30" s="8"/>
      <x:c r="F30" s="8">
        <x:v/>
      </x:c>
      <x:c r="G30" s="59"/>
    </x:row>
    <x:row r="31" spans="1:8" x14ac:dyDescent="0.25">
      <x:c r="A31" s="60"/>
      <x:c r="B31" s="54"/>
      <x:c r="C31" s="54"/>
      <x:c r="D31" s="54"/>
      <x:c r="E31" s="54"/>
      <x:c r="F31" s="54"/>
      <x:c r="G31" s="98"/>
    </x:row>
    <x:row r="32" spans="1:7" x14ac:dyDescent="0.25">
      <x:c r="A32" s="92"/>
      <x:c r="B32" s="119"/>
      <x:c r="C32" s="120"/>
      <x:c r="D32" s="120"/>
      <x:c r="E32" s="120"/>
      <x:c r="F32" s="120"/>
      <x:c r="G32" s="121"/>
    </x:row>
  </x:sheetData>
  <x:mergeCells count="3">
    <x:mergeCell ref="A1:H1"/>
    <x:mergeCell ref="A2:H2"/>
    <x:mergeCell ref="B4:G4"/>
  </x:mergeCells>
  <x:conditionalFormatting sqref="C7">
    <x:cfRule type="cellIs" dxfId="19" priority="116" operator="equal">
      <x:formula>"F"</x:formula>
    </x:cfRule>
    <x:cfRule type="cellIs" dxfId="18" priority="117" operator="equal">
      <x:formula>"D"</x:formula>
    </x:cfRule>
    <x:cfRule type="cellIs" dxfId="17" priority="118" operator="equal">
      <x:formula>"C"</x:formula>
    </x:cfRule>
    <x:cfRule type="cellIs" dxfId="16" priority="119" operator="equal">
      <x:formula>"B"</x:formula>
    </x:cfRule>
    <x:cfRule type="cellIs" dxfId="15" priority="120" operator="equal">
      <x:formula>"A"</x:formula>
    </x:cfRule>
  </x:conditionalFormatting>
  <x:conditionalFormatting sqref="D7:G7">
    <x:cfRule type="cellIs" dxfId="14" priority="111" operator="equal">
      <x:formula>"F"</x:formula>
    </x:cfRule>
    <x:cfRule type="cellIs" dxfId="13" priority="112" operator="equal">
      <x:formula>"D"</x:formula>
    </x:cfRule>
    <x:cfRule type="cellIs" dxfId="12" priority="113" operator="equal">
      <x:formula>"C"</x:formula>
    </x:cfRule>
    <x:cfRule type="cellIs" dxfId="11" priority="114" operator="equal">
      <x:formula>"B"</x:formula>
    </x:cfRule>
    <x:cfRule type="cellIs" dxfId="10" priority="115" operator="equal">
      <x:formula>"A"</x:formula>
    </x:cfRule>
  </x:conditionalFormatting>
  <x:conditionalFormatting sqref="D8:G26">
    <x:cfRule type="cellIs" dxfId="9" priority="6" operator="equal">
      <x:formula>"F"</x:formula>
    </x:cfRule>
    <x:cfRule type="cellIs" dxfId="8" priority="7" operator="equal">
      <x:formula>"D"</x:formula>
    </x:cfRule>
    <x:cfRule type="cellIs" dxfId="7" priority="8" operator="equal">
      <x:formula>"C"</x:formula>
    </x:cfRule>
    <x:cfRule type="cellIs" dxfId="6" priority="9" operator="equal">
      <x:formula>"B"</x:formula>
    </x:cfRule>
    <x:cfRule type="cellIs" dxfId="5" priority="10" operator="equal">
      <x:formula>"A"</x:formula>
    </x:cfRule>
  </x:conditionalFormatting>
  <x:conditionalFormatting sqref="C8:C26">
    <x:cfRule type="cellIs" dxfId="4" priority="1" operator="equal">
      <x:formula>"F"</x:formula>
    </x:cfRule>
    <x:cfRule type="cellIs" dxfId="3" priority="2" operator="equal">
      <x:formula>"D"</x:formula>
    </x:cfRule>
    <x:cfRule type="cellIs" dxfId="2" priority="3" operator="equal">
      <x:formula>"C"</x:formula>
    </x:cfRule>
    <x:cfRule type="cellIs" dxfId="1" priority="4" operator="equal">
      <x:formula>"B"</x:formula>
    </x:cfRule>
    <x:cfRule type="cellIs" dxfId="0" priority="5" operator="equal">
      <x:formula>"A"</x:formula>
    </x:cfRule>
  </x:conditionalFormatting>
  <x:printOptions horizontalCentered="1"/>
  <x:pageMargins left="0.55" right="0.25" top="1.3958333333333333" bottom="0.75" header="0.3" footer="0.3"/>
  <x:pageSetup orientation="landscape" r:id="rId1"/>
  <x:headerFooter>
    <x:oddHeader>&amp;C&amp;G</x:oddHeader>
    <x:oddFooter>&amp;C&amp;G</x:oddFooter>
  </x:headerFooter>
  <x:legacyDrawingHF r:id="rId2"/>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dimension ref="A1:E29"/>
  <x:sheetViews>
    <x:sheetView showGridLines="0" view="pageLayout" zoomScaleNormal="100" workbookViewId="0">
      <x:selection activeCell="F1" sqref="F1"/>
    </x:sheetView>
  </x:sheetViews>
  <x:sheetFormatPr defaultRowHeight="15" x14ac:dyDescent="0.25"/>
  <x:cols>
    <x:col min="1" max="1" width="10.28515625" style="42" customWidth="1"/>
    <x:col min="2" max="2" width="28.7109375" style="1" customWidth="1"/>
    <x:col min="3" max="3" width="16.28515625" style="1" customWidth="1"/>
    <x:col min="4" max="4" width="1.1" style="12" customWidth="1"/>
    <x:col min="5" max="5" width="30.140625" style="12" customWidth="1"/>
    <x:col min="6" max="6" width="9.140625" style="1"/>
  </x:cols>
  <x:sheetData>
    <x:row r="1" spans="1:5" ht="15.75" x14ac:dyDescent="0.25">
      <x:c r="A1" s="125" t="str">
        <x:f ca="1">SETUP!$B$2</x:f>
        <x:v>?</x:v>
      </x:c>
      <x:c r="B1" s="132"/>
      <x:c r="C1" s="132"/>
      <x:c r="D1" s="132"/>
      <x:c r="E1" s="132"/>
    </x:row>
    <x:row r="2" spans="1:5" x14ac:dyDescent="0.25">
      <x:c r="A2" s="123" t="str">
        <x:f ca="1">="Easylink Usage by User for Period Ending "&amp;(TEXT(SETUP!B4,"MMMMMMMMM DD, YYYY")&amp;"")</x:f>
        <x:v/>
      </x:c>
      <x:c r="B2" s="132"/>
      <x:c r="C2" s="132"/>
      <x:c r="D2" s="132"/>
      <x:c r="E2" s="132"/>
    </x:row>
    <x:row r="3" spans="1:5" ht="8.25" customHeight="1" x14ac:dyDescent="0.25">
      <x:c r="A3" s="41"/>
      <x:c r="B3" s="20"/>
      <x:c r="C3" s="20"/>
      <x:c r="D3" s="20"/>
      <x:c r="E3" s="20"/>
    </x:row>
    <x:row r="4" spans="1:5" ht="27.25" customHeight="1" x14ac:dyDescent="0.25">
      <x:c r="B4" s="199" t="s">
        <x:v>26</x:v>
      </x:c>
    </x:row>
    <x:row r="5" spans="1:5" ht="6.75" customHeight="1" x14ac:dyDescent="0.25">
      <x:c r="A5" s="41"/>
      <x:c r="B5" s="20"/>
      <x:c r="C5" s="20"/>
      <x:c r="D5" s="20"/>
      <x:c r="E5" s="20"/>
    </x:row>
    <x:row r="6" spans="1:5" x14ac:dyDescent="0.25">
      <x:c r="B6" s="13" t="s">
        <x:v>22</x:v>
      </x:c>
      <x:c r="C6" s="14">
        <x:f ca="1">IF(B9="There is currently no Easylink usage.",0,SUM(A9:A8))</x:f>
        <x:v>0</x:v>
      </x:c>
      <x:c r="D6" s="1"/>
    </x:row>
    <x:row r="7" spans="1:5" x14ac:dyDescent="0.25">
      <x:c r="B7" s="13" t="s">
        <x:v>23</x:v>
      </x:c>
      <x:c r="C7" s="38">
        <x:f ca="1">SUM(E9:E8)</x:f>
        <x:v>0</x:v>
      </x:c>
      <x:c r="D7" s="1"/>
    </x:row>
    <x:row r="8" spans="1:5" ht="30" customHeight="1" x14ac:dyDescent="0.25">
      <x:c r="B8" s="47" t="s">
        <x:v>19</x:v>
      </x:c>
      <x:c r="C8" s="45" t="str">
        <x:v>Fax Number</x:v>
      </x:c>
      <x:c r="D8" s="45" t="str">
        <x:v/>
      </x:c>
      <x:c r="E8" s="46" t="s">
        <x:v>21</x:v>
      </x:c>
    </x:row>
    <x:row r="9" spans="1:5" x14ac:dyDescent="0.25">
      <x:c r="A9" s="42">
        <x:v/>
      </x:c>
      <x:c r="B9" s="60" t="str">
        <x:v>There is currently no Easylink usage.</x:v>
      </x:c>
      <x:c r="C9" s="84"/>
      <x:c r="D9" s="85"/>
      <x:c r="E9" s="86">
        <x:v/>
      </x:c>
    </x:row>
    <x:row r="10" spans="1:7" x14ac:dyDescent="0.25">
      <x:c r="B10" s="92"/>
      <x:c r="C10" s="120"/>
      <x:c r="D10" s="120"/>
      <x:c r="E10" s="121"/>
    </x:row>
  </x:sheetData>
  <x:mergeCells count="3">
    <x:mergeCell ref="A1:I1"/>
    <x:mergeCell ref="A2:I2"/>
    <x:mergeCell ref="B4:I4"/>
  </x:mergeCells>
  <x:printOptions horizontalCentered="1"/>
  <x:pageMargins left="0.553" right="0.333" top="1.3541666666666667" bottom="1.0208333333333333" header="0.3" footer="0.3"/>
  <x:pageSetup orientation="landscape" r:id="rId1"/>
  <x:headerFooter>
    <x:oddHeader>&amp;C&amp;G</x:oddHeader>
    <x:oddFooter>&amp;C&amp;G</x:oddFooter>
  </x:headerFooter>
  <x:legacyDrawingHF r:id="rId2"/>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pageSetUpPr fitToPage="1"/>
  </x:sheetPr>
  <x:dimension ref="A1:I29"/>
  <x:sheetViews>
    <x:sheetView showGridLines="0" view="pageLayout" zoomScaleNormal="78" workbookViewId="0">
      <x:selection activeCell="B7" sqref="B7"/>
    </x:sheetView>
  </x:sheetViews>
  <x:sheetFormatPr defaultRowHeight="15" x14ac:dyDescent="0.25"/>
  <x:cols>
    <x:col min="1" max="1" width="3.28515625" style="1" customWidth="1"/>
    <x:col min="2" max="2" width="12.66" style="1" customWidth="1"/>
    <x:col min="3" max="3" width="9.11" style="1" customWidth="1"/>
    <x:col min="4" max="4" width="11.75" style="1" customWidth="1"/>
    <x:col min="5" max="5" width="15" style="1" customWidth="1"/>
    <x:col min="6" max="6" width="15" style="1" customWidth="1"/>
    <x:col min="7" max="7" width="16.33" style="1" customWidth="1"/>
    <x:col min="8" max="8" width="22.33" style="1" customWidth="1"/>
    <x:col min="9" max="9" width="22.285" style="1" customWidth="1"/>
    <x:col min="10" max="10" width="3.285" style="1" customWidth="1"/>
  </x:cols>
  <x:sheetData>
    <x:row r="1" spans="1:7" ht="15.75" x14ac:dyDescent="0.25">
      <x:c r="A1" s="125" t="str">
        <x:f ca="1">SETUP!$B$2</x:f>
        <x:v>?</x:v>
      </x:c>
      <x:c r="A1" s="132"/>
      <x:c r="C1" s="132"/>
      <x:c r="D1" s="132"/>
      <x:c r="E1" s="132"/>
      <x:c r="F1" s="132"/>
      <x:c r="G1" s="132"/>
      <x:c r="H1" s="132"/>
    </x:row>
    <x:row r="2" spans="1:7" ht="11.75" x14ac:dyDescent="0.25">
      <x:c r="A2" s="123" t="str">
        <x:f ca="1">="Service History For the Period Ending "&amp;TEXT(SETUP!$B$4,"MMMMMMMM DD, YYYY")&amp;""</x:f>
        <x:v>?</x:v>
      </x:c>
      <x:c r="A2" s="132"/>
      <x:c r="C2" s="132"/>
      <x:c r="D2" s="132"/>
      <x:c r="E2" s="132"/>
      <x:c r="F2" s="132"/>
      <x:c r="G2" s="132"/>
      <x:c r="H2" s="132"/>
    </x:row>
    <x:row r="4" spans="1:7" ht="23.75" customHeight="1" x14ac:dyDescent="0.25">
      <x:c r="A4" s="132"/>
      <x:c r="B4" s="199" t="str">
        <x:f ca="1">="The summary below details the "&amp;SETUP!$B$2&amp;" service calls for the assets managed by FPR for the current period.  The assets are sorted by Device ID#, to highlight potentially problematic devices.  For the period reviewed, there were 3 service calls."</x:f>
        <x:v>="The summary below details the "&amp;SETUP!$B$2&amp;" service calls for the assets managed by FPR for the current period.  The assets are sorted by Device ID#, to highlight potentially problematic devices (in RED).  For the period reviewed, there were "&amp;TEXT($I$6,"#,###")&amp;" service calls."</x:v>
      </x:c>
      <x:c r="C4" s="132"/>
      <x:c r="D4" s="132"/>
      <x:c r="E4" s="132"/>
      <x:c r="F4" s="132"/>
      <x:c r="G4" s="132"/>
      <x:c r="H4" s="132"/>
    </x:row>
    <x:row r="6" spans="1:7" ht="24.5" customHeight="1" x14ac:dyDescent="0.25">
      <x:c r="B6" s="194" t="str">
        <x:v>Service Call Summary</x:v>
      </x:c>
    </x:row>
    <x:row r="7" spans="1:3" x14ac:dyDescent="0.25">
      <x:c r="B7" s="99" t="str">
        <x:v>Oct. 2018</x:v>
      </x:c>
      <x:c r="C7" s="45" t="str">
        <x:v>Jun. 2018</x:v>
      </x:c>
      <x:c r="D7" s="45" t="str">
        <x:v>Mar. 2018</x:v>
      </x:c>
      <x:c r="E7" s="45" t="str">
        <x:v>Dec. 2017</x:v>
      </x:c>
      <x:c r="F7" s="45" t="str">
        <x:v>Sep. 2017</x:v>
      </x:c>
      <x:c r="G7" s="45" t="str">
        <x:v>Jun. 2017</x:v>
      </x:c>
      <x:c r="H7" s="45" t="str">
        <x:v>Mar. 2017</x:v>
      </x:c>
      <x:c r="I7" s="46" t="str">
        <x:v>Dec. 2016</x:v>
      </x:c>
    </x:row>
    <x:row r="8" spans="1:4" x14ac:dyDescent="0.25">
      <x:c r="B8" s="215" t="str">
        <x:v>5</x:v>
      </x:c>
      <x:c r="C8" s="120">
        <x:v>5</x:v>
      </x:c>
      <x:c r="D8" s="120">
        <x:v>6</x:v>
      </x:c>
      <x:c r="E8" s="120">
        <x:v>3</x:v>
      </x:c>
      <x:c r="F8" s="120">
        <x:v>3</x:v>
      </x:c>
      <x:c r="G8" s="120">
        <x:v>2</x:v>
      </x:c>
      <x:c r="H8" s="120">
        <x:v>6</x:v>
      </x:c>
      <x:c r="I8" s="121">
        <x:v>5</x:v>
      </x:c>
    </x:row>
    <x:row r="11" spans="1:7" ht="34.5" x14ac:dyDescent="0.25">
      <x:c r="B11" s="47" t="str">
        <x:v>Issue Date</x:v>
      </x:c>
      <x:c r="C11" s="45" t="str">
        <x:v>Submitted By</x:v>
      </x:c>
      <x:c r="D11" s="45" t="str">
        <x:v>Device ID#</x:v>
      </x:c>
      <x:c r="E11" s="45" t="str">
        <x:v>Model</x:v>
      </x:c>
      <x:c r="F11" s="45" t="str">
        <x:v>Asset Location</x:v>
      </x:c>
      <x:c r="G11" s="45" t="str">
        <x:v>Average Mo. Volume</x:v>
      </x:c>
      <x:c r="H11" s="45" t="str">
        <x:v>Issue</x:v>
      </x:c>
      <x:c r="I11" s="46" t="str">
        <x:v>Resolution Notes</x:v>
      </x:c>
    </x:row>
    <x:row r="12" spans="1:7" x14ac:dyDescent="0.25">
      <x:c r="B12" s="96">
        <x:v>9/17/2018</x:v>
      </x:c>
      <x:c r="C12" s="97">
        <x:v>Shayne 2142893126 /shayne.arnedo@citycu.org</x:v>
      </x:c>
      <x:c r="D12" s="97" t="str">
        <x:v>FPR55312</x:v>
      </x:c>
      <x:c r="E12" s="97">
        <x:v>HP LJ M401dn</x:v>
      </x:c>
      <x:c r="F12" s="97">
        <x:v>Corporate</x:v>
      </x:c>
      <x:c r="G12" s="97" t="str">
        <x:v>1,166</x:v>
      </x:c>
      <x:c r="H12" s="97" t="str">
        <x:v>Needs cleaning. Toner broke inside printer. toner dust everywhere inside printer</x:v>
      </x:c>
      <x:c r="I12" s="98" t="str">
        <x:v>9/18/2018: COS; customer had already replaced toner cartridge. Cleaned excess toner from inner cavity of machine.  Cleaned feed roller &amp; covers.  Ran tests w/ no CQ.  Tested ok. Emailed Shayne.  Call complete. </x:v>
      </x:c>
    </x:row>
    <x:row r="13" spans="1:7" x14ac:dyDescent="0.25">
      <x:c r="B13" s="90">
        <x:v>8/21/2018</x:v>
      </x:c>
      <x:c r="C13" s="26">
        <x:v>Shane Arnedo 214-319-4483 /sbrasfield@fprus.com</x:v>
      </x:c>
      <x:c r="D13" s="26" t="str">
        <x:v>FPR55367</x:v>
      </x:c>
      <x:c r="E13" s="26">
        <x:v>HP LJ M630 MFP</x:v>
      </x:c>
      <x:c r="F13" s="26">
        <x:v>Corporate</x:v>
      </x:c>
      <x:c r="G13" s="26" t="n">
        <x:v>8166.000000</x:v>
      </x:c>
      <x:c r="H13" s="26" t="str">
        <x:v>error popping up saying the rollers need to be cleaned</x:v>
      </x:c>
      <x:c r="I13" s="91" t="str">
        <x:v>8/24/2018: COS: Cleaned ADF path, all rollers, ADF sep pad, &amp; slit glass.  Cleaned feed rollers on all trays.  Removed toner &amp; cleaned inner cavity of machine.  Ran tests thru ADF &amp; received prints w/no more issues, tested ok.  Left VM for Shane.  Call...</x:v>
      </x:c>
    </x:row>
    <x:row r="14" spans="1:7" x14ac:dyDescent="0.25">
      <x:c r="B14" s="96">
        <x:v>9/27/2018</x:v>
      </x:c>
      <x:c r="C14" s="97">
        <x:v>Shane A 214-319-4483 /areichhart@fprus.com</x:v>
      </x:c>
      <x:c r="D14" s="97" t="str">
        <x:v>FPR55424</x:v>
      </x:c>
      <x:c r="E14" s="97">
        <x:v>HP LJ M425</x:v>
      </x:c>
      <x:c r="F14" s="97">
        <x:v>Frankford</x:v>
      </x:c>
      <x:c r="G14" s="97" t="str">
        <x:v>871</x:v>
      </x:c>
      <x:c r="H14" s="97" t="str">
        <x:v>making a humming noise when printing &amp; a squeaking noise when using the top feeder. Please schedule call for 1pm on Monday, please let us know if it cant be then.  Alt contact - Tabitha Green 214-319-3080</x:v>
      </x:c>
      <x:c r="I14" s="98" t="str">
        <x:v>10/1/2018: COS; lubed ADF rollers to eliminate intermittent squeak.  Noise when copying is the fan.  Normal noise. Explained to customer.  Cleaned optics &amp; covers, tested ok.  Left VM for Shane.  Call complete. </x:v>
      </x:c>
    </x:row>
    <x:row r="15" spans="1:7" x14ac:dyDescent="0.25">
      <x:c r="B15" s="92">
        <x:v/>
      </x:c>
      <x:c r="C15" s="119"/>
      <x:c r="D15" s="120"/>
      <x:c r="E15" s="120"/>
      <x:c r="F15" s="120"/>
      <x:c r="G15" s="120"/>
      <x:c r="H15" s="120"/>
      <x:c r="I15" s="121"/>
    </x:row>
  </x:sheetData>
  <x:mergeCells count="3">
    <x:mergeCell ref="A1:J1"/>
    <x:mergeCell ref="A2:J2"/>
    <x:mergeCell ref="A3:J3"/>
    <x:mergeCell ref="B4:I4"/>
  </x:mergeCells>
  <x:printOptions horizontalCentered="1"/>
  <x:pageMargins left="0.55" right="0.25" top="1.3958333333333333" bottom="0.75" header="0.25" footer="0.25"/>
  <x:pageSetup scale="100" fitToWidth="1" fitToHeight="0" orientation="landscape" r:id="rId1"/>
  <x:headerFooter>
    <x:oddHeader>&amp;C&amp;G</x:oddHeader>
    <x:oddFooter>&amp;C&amp;G</x:oddFooter>
  </x:headerFooter>
  <x:legacyDrawingHF r:id="rId2"/>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J33"/>
  <x:sheetViews>
    <x:sheetView showGridLines="0" view="pageLayout" zoomScaleNormal="100" workbookViewId="0">
      <x:selection activeCell="B7" sqref="B7"/>
    </x:sheetView>
  </x:sheetViews>
  <x:sheetFormatPr defaultRowHeight="15" x14ac:dyDescent="0.25"/>
  <x:cols>
    <x:col min="1" max="1" width="1.140625" style="1" customWidth="1"/>
    <x:col min="2" max="2" width="26.6" style="1" customWidth="1"/>
    <x:col min="3" max="3" width="12" style="1" customWidth="1"/>
    <x:col min="4" max="4" width="12.5703125" style="1" customWidth="1"/>
    <x:col min="5" max="6" width="18.57" style="1" customWidth="1"/>
    <x:col min="7" max="7" width="12.140625" style="1" customWidth="1"/>
    <x:col min="8" max="8" width="12.5703125" style="16" customWidth="1"/>
    <x:col min="9" max="9" width="12.28515625" style="1" customWidth="1"/>
    <x:col min="10" max="10" width="13.42578125" style="1" customWidth="1"/>
    <x:col min="11" max="16384" width="12.140625" style="1"/>
  </x:cols>
  <x:sheetData>
    <x:row r="1" spans="1:10" ht="15.75" x14ac:dyDescent="0.25">
      <x:c r="A1" s="125" t="str">
        <x:f ca="1">SETUP!$B$2</x:f>
        <x:v>?</x:v>
      </x:c>
      <x:c r="B1" s="126"/>
      <x:c r="C1" s="126"/>
      <x:c r="D1" s="126"/>
      <x:c r="E1" s="126"/>
      <x:c r="F1" s="126"/>
      <x:c r="G1" s="126"/>
      <x:c r="H1" s="126"/>
      <x:c r="I1" s="126"/>
      <x:c r="J1" s="129"/>
    </x:row>
    <x:row r="2" spans="1:10" ht="15.75" x14ac:dyDescent="0.25">
      <x:c r="A2" s="123" t="str">
        <x:f ca="1">="Quarterly History Through Period Ending "&amp;TEXT(SETUP!$B$4,"MMMMMMMMM DD, YYYY")&amp;""</x:f>
        <x:v>?</x:v>
      </x:c>
      <x:c r="B2" s="126"/>
      <x:c r="C2" s="126"/>
      <x:c r="D2" s="126"/>
      <x:c r="E2" s="126"/>
      <x:c r="F2" s="126"/>
      <x:c r="G2" s="126"/>
      <x:c r="H2" s="126"/>
      <x:c r="I2" s="126"/>
      <x:c r="J2" s="129"/>
    </x:row>
    <x:row r="3" spans="1:10" ht="30.75" customHeight="1" x14ac:dyDescent="0.25">
      <x:c r="A3" s="199" t="str">
        <x:f ca="1">="Below, you will find quarterly volume trend summaries for " &amp;SETUP!$B$2&amp;" (by Meter Group). The value of this data, allows you to review historical trends by meter group."</x:f>
        <x:v>Below is the historical quarterly volume trend summaries for  (by Meter Group). The value of this data, allows you to review historical trends by meter group.</x:v>
      </x:c>
      <x:c r="C3" s="124"/>
      <x:c r="D3" s="124"/>
      <x:c r="E3" s="124"/>
      <x:c r="F3" s="124"/>
      <x:c r="G3" s="124"/>
      <x:c r="H3" s="124"/>
      <x:c r="I3" s="124"/>
      <x:c r="J3" s="124"/>
    </x:row>
    <x:row r="4" spans="1:10" ht="15.5" customHeight="1" x14ac:dyDescent="0.25">
      <x:c r="A4" s="19"/>
      <x:c r="B4" s="19"/>
      <x:c r="C4" s="19"/>
      <x:c r="D4" s="19"/>
      <x:c r="E4" s="19"/>
      <x:c r="F4" s="19"/>
      <x:c r="G4" s="19"/>
      <x:c r="H4" s="19">
        <x:v/>
      </x:c>
      <x:c r="I4" s="19">
        <x:f ca="1"/>
      </x:c>
    </x:row>
    <x:row r="5" spans="1:10" ht="25.5" customHeight="1" x14ac:dyDescent="0.25">
      <x:c r="A5" s="19"/>
      <x:c r="B5" s="14">
        <x:v>July 2018 - October 2018</x:v>
      </x:c>
      <x:c r="C5" s="19"/>
      <x:c r="D5" s="19"/>
      <x:c r="E5" s="19"/>
      <x:c r="F5" s="19"/>
      <x:c r="G5" s="19"/>
      <x:c r="H5" s="19"/>
      <x:c r="I5" s="19"/>
    </x:row>
    <x:row r="6" spans="1:10" ht="35.75" customHeight="1" x14ac:dyDescent="0.25">
      <x:c r="B6" s="47" t="str">
        <x:v>Meter Group</x:v>
      </x:c>
      <x:c r="C6" s="45" t="str">
        <x:v>Quarterly Contracted Volume</x:v>
      </x:c>
      <x:c r="D6" s="45" t="str">
        <x:v>Actual Volume For Period</x:v>
      </x:c>
      <x:c r="E6" s="45" t="str">
        <x:v>Overage/(Underage) For Period</x:v>
      </x:c>
      <x:c r="F6" s="45" t="str">
        <x:v>Accrued Rollover Pages</x:v>
      </x:c>
      <x:c r="G6" s="45" t="str">
        <x:v>Net Overage (Underage)</x:v>
      </x:c>
      <x:c r="H6" s="45" t="str">
        <x:v>Excess CPP</x:v>
      </x:c>
      <x:c r="I6" s="46" t="str">
        <x:v>Overage Expense</x:v>
      </x:c>
    </x:row>
    <x:row r="7" spans="1:10" x14ac:dyDescent="0.25">
      <x:c r="B7" s="60" t="str">
        <x:v>B/W Copies and B/W Laser Prints</x:v>
      </x:c>
      <x:c r="C7" s="73" t="str">
        <x:v>220,000</x:v>
      </x:c>
      <x:c r="D7" s="73" t="str">
        <x:v>271,217</x:v>
      </x:c>
      <x:c r="E7" s="177" t="n">
        <x:f ca="1">=SUM(D7 - C7)</x:f>
      </x:c>
      <x:c r="F7" s="73" t="n">
        <x:v>61071</x:v>
      </x:c>
      <x:c r="G7" s="177" t="n">
        <x:f ca="1">=SUM(E7 - F7)</x:f>
      </x:c>
      <x:c r="H7" s="200" t="n">
        <x:v>0.015600</x:v>
      </x:c>
      <x:c r="I7" s="213" t="n">
        <x:f ca="1">=IF(SUM(G7 * H7) &lt; 0, 0,SUM(G7 * H7))</x:f>
      </x:c>
    </x:row>
    <x:row r="8" spans="1:10" x14ac:dyDescent="0.25">
      <x:c r="B8" s="60" t="str">
        <x:v>Color Copier (Color Pages)</x:v>
      </x:c>
      <x:c r="C8" s="73" t="str">
        <x:v>12,000</x:v>
      </x:c>
      <x:c r="D8" s="73" t="str">
        <x:v>14,919</x:v>
      </x:c>
      <x:c r="E8" s="177" t="n">
        <x:f ca="1">=SUM(D8 - C8)</x:f>
      </x:c>
      <x:c r="F8" s="73" t="n">
        <x:v>41068</x:v>
      </x:c>
      <x:c r="G8" s="177" t="n">
        <x:f ca="1">=SUM(E8 - F8)</x:f>
      </x:c>
      <x:c r="H8" s="200" t="n">
        <x:v>0.084000</x:v>
      </x:c>
      <x:c r="I8" s="213" t="n">
        <x:f ca="1">=IF(SUM(G8 * H8) &lt; 0, 0,SUM(G8 * H8))</x:f>
      </x:c>
    </x:row>
    <x:row r="9" spans="1:10" x14ac:dyDescent="0.25">
      <x:c r="B9" s="58" t="str">
        <x:v>Color Laser Prints</x:v>
      </x:c>
      <x:c r="C9" s="6" t="str">
        <x:v>20,000</x:v>
      </x:c>
      <x:c r="D9" s="6" t="str">
        <x:v>28,644</x:v>
      </x:c>
      <x:c r="E9" s="176" t="n">
        <x:f ca="1">=SUM(D9 - C9)</x:f>
      </x:c>
      <x:c r="F9" s="6" t="n">
        <x:v>0</x:v>
      </x:c>
      <x:c r="G9" s="176" t="n">
        <x:f ca="1">=SUM(E9 - F9)</x:f>
      </x:c>
      <x:c r="H9" s="201" t="n">
        <x:v>0.144000</x:v>
      </x:c>
      <x:c r="I9" s="212" t="str">
        <x:f ca="1">=IF(SUM(G9 * H9) &lt; 0, 0,SUM(G9 * H9))</x:f>
      </x:c>
    </x:row>
    <x:row r="10" spans="1:10" ht="15.5" customHeight="1" x14ac:dyDescent="0.25">
      <x:c r="A10" s="19"/>
      <x:c r="B10" s="209"/>
      <x:c r="C10" s="209"/>
      <x:c r="D10" s="209"/>
      <x:c r="E10" s="209"/>
      <x:c r="F10" s="209"/>
      <x:c r="G10" s="209"/>
      <x:c r="H10" s="209">
        <x:v>Total Overage Expense:</x:v>
      </x:c>
      <x:c r="I10" s="209">
        <x:f ca="1">=SUM(I7:I9)</x:f>
      </x:c>
    </x:row>
    <x:row r="11" spans="1:10" ht="25.5" customHeight="1" x14ac:dyDescent="0.25">
      <x:c r="A11" s="19"/>
      <x:c r="B11" s="14">
        <x:v>April 2018 - June 2018</x:v>
      </x:c>
      <x:c r="C11" s="19"/>
      <x:c r="D11" s="19"/>
      <x:c r="E11" s="19"/>
      <x:c r="F11" s="19"/>
      <x:c r="G11" s="19"/>
      <x:c r="H11" s="19"/>
      <x:c r="I11" s="19"/>
    </x:row>
    <x:row r="12" spans="1:10" ht="35.75" customHeight="1" x14ac:dyDescent="0.25">
      <x:c r="B12" s="47" t="str">
        <x:v>Meter Group</x:v>
      </x:c>
      <x:c r="C12" s="45" t="str">
        <x:v>Quarterly Contracted Volume</x:v>
      </x:c>
      <x:c r="D12" s="45" t="str">
        <x:v>Actual Volume For Period</x:v>
      </x:c>
      <x:c r="E12" s="45" t="str">
        <x:v>Overage/(Underage) For Period</x:v>
      </x:c>
      <x:c r="F12" s="45" t="str">
        <x:v>Accrued Rollover Pages</x:v>
      </x:c>
      <x:c r="G12" s="45" t="str">
        <x:v>Net Overage (Underage)</x:v>
      </x:c>
      <x:c r="H12" s="45" t="str">
        <x:v>Excess CPP</x:v>
      </x:c>
      <x:c r="I12" s="46" t="str">
        <x:v>Overage Expense</x:v>
      </x:c>
    </x:row>
    <x:row r="13" spans="1:10" x14ac:dyDescent="0.25">
      <x:c r="B13" s="58" t="str">
        <x:v>B/W Copies and B/W Laser Prints</x:v>
      </x:c>
      <x:c r="C13" s="6" t="str">
        <x:v>165,000</x:v>
      </x:c>
      <x:c r="D13" s="6" t="str">
        <x:v>217,764</x:v>
      </x:c>
      <x:c r="E13" s="176" t="n">
        <x:f ca="1">=SUM(D13 - C13)</x:f>
      </x:c>
      <x:c r="F13" s="6" t="n">
        <x:v>113835</x:v>
      </x:c>
      <x:c r="G13" s="176" t="n">
        <x:f ca="1">=SUM(E13 - F13)</x:f>
      </x:c>
      <x:c r="H13" s="201" t="n">
        <x:v>0.015600</x:v>
      </x:c>
      <x:c r="I13" s="212" t="str">
        <x:f ca="1">=IF(SUM(G13 * H13) &lt; 0, 0,SUM(G13 * H13))</x:f>
      </x:c>
    </x:row>
    <x:row r="14" spans="1:10" x14ac:dyDescent="0.25">
      <x:c r="B14" s="60" t="str">
        <x:v>Color Copier (Color Pages)</x:v>
      </x:c>
      <x:c r="C14" s="73" t="str">
        <x:v>9,000</x:v>
      </x:c>
      <x:c r="D14" s="73" t="str">
        <x:v>12,200</x:v>
      </x:c>
      <x:c r="E14" s="177" t="n">
        <x:f ca="1">=SUM(D14 - C14)</x:f>
      </x:c>
      <x:c r="F14" s="73" t="n">
        <x:v>44268</x:v>
      </x:c>
      <x:c r="G14" s="177" t="n">
        <x:f ca="1">=SUM(E14 - F14)</x:f>
      </x:c>
      <x:c r="H14" s="200" t="n">
        <x:v>0.084000</x:v>
      </x:c>
      <x:c r="I14" s="213" t="n">
        <x:f ca="1">=IF(SUM(G14 * H14) &lt; 0, 0,SUM(G14 * H14))</x:f>
      </x:c>
    </x:row>
    <x:row r="15" spans="1:10" x14ac:dyDescent="0.25">
      <x:c r="B15" s="60" t="str">
        <x:v>Color Laser Prints</x:v>
      </x:c>
      <x:c r="C15" s="73" t="str">
        <x:v>15,000</x:v>
      </x:c>
      <x:c r="D15" s="73" t="str">
        <x:v>23,846</x:v>
      </x:c>
      <x:c r="E15" s="177" t="n">
        <x:f ca="1">=SUM(D15 - C15)</x:f>
      </x:c>
      <x:c r="F15" s="73" t="n">
        <x:v>6063</x:v>
      </x:c>
      <x:c r="G15" s="177" t="n">
        <x:f ca="1">=SUM(E15 - F15)</x:f>
      </x:c>
      <x:c r="H15" s="200" t="n">
        <x:v>0.144000</x:v>
      </x:c>
      <x:c r="I15" s="213" t="n">
        <x:f ca="1">=IF(SUM(G15 * H15) &lt; 0, 0,SUM(G15 * H15))</x:f>
      </x:c>
    </x:row>
    <x:row r="16" spans="1:10" ht="15.5" customHeight="1" x14ac:dyDescent="0.25">
      <x:c r="A16" s="19"/>
      <x:c r="B16" s="209"/>
      <x:c r="C16" s="209"/>
      <x:c r="D16" s="209"/>
      <x:c r="E16" s="209"/>
      <x:c r="F16" s="209"/>
      <x:c r="G16" s="209"/>
      <x:c r="H16" s="209">
        <x:v>Total Overage Expense:</x:v>
      </x:c>
      <x:c r="I16" s="209">
        <x:f ca="1">=SUM(I13:I15)</x:f>
      </x:c>
    </x:row>
    <x:row r="17" spans="1:10" ht="25.5" customHeight="1" x14ac:dyDescent="0.25">
      <x:c r="A17" s="19"/>
      <x:c r="B17" s="14">
        <x:v>January 2018 - March 2018</x:v>
      </x:c>
      <x:c r="C17" s="19"/>
      <x:c r="D17" s="19"/>
      <x:c r="E17" s="19"/>
      <x:c r="F17" s="19"/>
      <x:c r="G17" s="19"/>
      <x:c r="H17" s="19"/>
      <x:c r="I17" s="19"/>
    </x:row>
    <x:row r="18" spans="1:10" ht="35.75" customHeight="1" x14ac:dyDescent="0.25">
      <x:c r="B18" s="47" t="str">
        <x:v>Meter Group</x:v>
      </x:c>
      <x:c r="C18" s="45" t="str">
        <x:v>Quarterly Contracted Volume</x:v>
      </x:c>
      <x:c r="D18" s="45" t="str">
        <x:v>Actual Volume For Period</x:v>
      </x:c>
      <x:c r="E18" s="45" t="str">
        <x:v>Overage/(Underage) For Period</x:v>
      </x:c>
      <x:c r="F18" s="45" t="str">
        <x:v>Accrued Rollover Pages</x:v>
      </x:c>
      <x:c r="G18" s="45" t="str">
        <x:v>Net Overage (Underage)</x:v>
      </x:c>
      <x:c r="H18" s="45" t="str">
        <x:v>Excess CPP</x:v>
      </x:c>
      <x:c r="I18" s="46" t="str">
        <x:v>Overage Expense</x:v>
      </x:c>
    </x:row>
    <x:row r="19" spans="1:10" x14ac:dyDescent="0.25">
      <x:c r="B19" s="58" t="str">
        <x:v>B/W Copies and B/W Laser Prints</x:v>
      </x:c>
      <x:c r="C19" s="6" t="str">
        <x:v>192,000</x:v>
      </x:c>
      <x:c r="D19" s="6" t="str">
        <x:v>200,849</x:v>
      </x:c>
      <x:c r="E19" s="176" t="n">
        <x:f ca="1">=SUM(D19 - C19)</x:f>
      </x:c>
      <x:c r="F19" s="6" t="n">
        <x:v>122684</x:v>
      </x:c>
      <x:c r="G19" s="176" t="n">
        <x:f ca="1">=SUM(E19 - F19)</x:f>
      </x:c>
      <x:c r="H19" s="201" t="n">
        <x:v>0.015600</x:v>
      </x:c>
      <x:c r="I19" s="212" t="str">
        <x:f ca="1">=IF(SUM(G19 * H19) &lt; 0, 0,SUM(G19 * H19))</x:f>
      </x:c>
    </x:row>
    <x:row r="20" spans="1:10" x14ac:dyDescent="0.25">
      <x:c r="B20" s="58" t="str">
        <x:v>Color Copier (Color Pages)</x:v>
      </x:c>
      <x:c r="C20" s="6" t="str">
        <x:v>18,000</x:v>
      </x:c>
      <x:c r="D20" s="6" t="str">
        <x:v>14,853</x:v>
      </x:c>
      <x:c r="E20" s="176" t="n">
        <x:f ca="1">=SUM(D20 - C20)</x:f>
      </x:c>
      <x:c r="F20" s="6" t="n">
        <x:v>41121</x:v>
      </x:c>
      <x:c r="G20" s="176" t="n">
        <x:f ca="1">=SUM(E20 - F20)</x:f>
      </x:c>
      <x:c r="H20" s="201" t="n">
        <x:v>0.084000</x:v>
      </x:c>
      <x:c r="I20" s="212" t="str">
        <x:f ca="1">=IF(SUM(G20 * H20) &lt; 0, 0,SUM(G20 * H20))</x:f>
      </x:c>
    </x:row>
    <x:row r="21" spans="1:10" x14ac:dyDescent="0.25">
      <x:c r="B21" s="60" t="str">
        <x:v>Color Laser Prints</x:v>
      </x:c>
      <x:c r="C21" s="73" t="str">
        <x:v>18,900</x:v>
      </x:c>
      <x:c r="D21" s="73" t="str">
        <x:v>22,224</x:v>
      </x:c>
      <x:c r="E21" s="177" t="n">
        <x:f ca="1">=SUM(D21 - C21)</x:f>
      </x:c>
      <x:c r="F21" s="73" t="n">
        <x:v>9387</x:v>
      </x:c>
      <x:c r="G21" s="177" t="n">
        <x:f ca="1">=SUM(E21 - F21)</x:f>
      </x:c>
      <x:c r="H21" s="200" t="n">
        <x:v>0.144000</x:v>
      </x:c>
      <x:c r="I21" s="213" t="n">
        <x:f ca="1">=IF(SUM(G21 * H21) &lt; 0, 0,SUM(G21 * H21))</x:f>
      </x:c>
    </x:row>
    <x:row r="22" spans="1:10" ht="15.5" customHeight="1" x14ac:dyDescent="0.25">
      <x:c r="A22" s="19"/>
      <x:c r="B22" s="209"/>
      <x:c r="C22" s="209"/>
      <x:c r="D22" s="209"/>
      <x:c r="E22" s="209"/>
      <x:c r="F22" s="209"/>
      <x:c r="G22" s="209"/>
      <x:c r="H22" s="209">
        <x:v>Total Overage Expense:</x:v>
      </x:c>
      <x:c r="I22" s="209">
        <x:f ca="1">=SUM(I19:I21)</x:f>
      </x:c>
    </x:row>
    <x:row r="23" spans="1:10" ht="25.5" customHeight="1" x14ac:dyDescent="0.25">
      <x:c r="A23" s="19"/>
      <x:c r="B23" s="14">
        <x:v>October 2017 - December 2017</x:v>
      </x:c>
      <x:c r="C23" s="19"/>
      <x:c r="D23" s="19"/>
      <x:c r="E23" s="19"/>
      <x:c r="F23" s="19"/>
      <x:c r="G23" s="19"/>
      <x:c r="H23" s="19"/>
      <x:c r="I23" s="19"/>
    </x:row>
    <x:row r="24" spans="1:10" ht="35.75" customHeight="1" x14ac:dyDescent="0.25">
      <x:c r="B24" s="47" t="str">
        <x:v>Meter Group</x:v>
      </x:c>
      <x:c r="C24" s="45" t="str">
        <x:v>Quarterly Contracted Volume</x:v>
      </x:c>
      <x:c r="D24" s="45" t="str">
        <x:v>Actual Volume For Period</x:v>
      </x:c>
      <x:c r="E24" s="45" t="str">
        <x:v>Overage/(Underage) For Period</x:v>
      </x:c>
      <x:c r="F24" s="45" t="str">
        <x:v>Accrued Rollover Pages</x:v>
      </x:c>
      <x:c r="G24" s="45" t="str">
        <x:v>Net Overage (Underage)</x:v>
      </x:c>
      <x:c r="H24" s="45" t="str">
        <x:v>Excess CPP</x:v>
      </x:c>
      <x:c r="I24" s="46" t="str">
        <x:v>Overage Expense</x:v>
      </x:c>
    </x:row>
    <x:row r="25" spans="1:10" x14ac:dyDescent="0.25">
      <x:c r="B25" s="60" t="str">
        <x:v>B/W Copies and B/W Laser Prints</x:v>
      </x:c>
      <x:c r="C25" s="73" t="str">
        <x:v>192,000</x:v>
      </x:c>
      <x:c r="D25" s="73" t="str">
        <x:v>189,349</x:v>
      </x:c>
      <x:c r="E25" s="177" t="n">
        <x:f ca="1">=SUM(D25 - C25)</x:f>
      </x:c>
      <x:c r="F25" s="73" t="n">
        <x:v>120033</x:v>
      </x:c>
      <x:c r="G25" s="177" t="n">
        <x:f ca="1">=SUM(E25 - F25)</x:f>
      </x:c>
      <x:c r="H25" s="200" t="n">
        <x:v>0.015600</x:v>
      </x:c>
      <x:c r="I25" s="213" t="n">
        <x:f ca="1">=IF(SUM(G25 * H25) &lt; 0, 0,SUM(G25 * H25))</x:f>
      </x:c>
    </x:row>
    <x:row r="26" spans="1:10" x14ac:dyDescent="0.25">
      <x:c r="B26" s="58" t="str">
        <x:v>Color Copier (Color Pages)</x:v>
      </x:c>
      <x:c r="C26" s="6" t="str">
        <x:v>18,000</x:v>
      </x:c>
      <x:c r="D26" s="6" t="str">
        <x:v>11,666</x:v>
      </x:c>
      <x:c r="E26" s="176" t="n">
        <x:f ca="1">=SUM(D26 - C26)</x:f>
      </x:c>
      <x:c r="F26" s="6" t="n">
        <x:v>34787</x:v>
      </x:c>
      <x:c r="G26" s="176" t="n">
        <x:f ca="1">=SUM(E26 - F26)</x:f>
      </x:c>
      <x:c r="H26" s="201" t="n">
        <x:v>0.084000</x:v>
      </x:c>
      <x:c r="I26" s="212" t="str">
        <x:f ca="1">=IF(SUM(G26 * H26) &lt; 0, 0,SUM(G26 * H26))</x:f>
      </x:c>
    </x:row>
    <x:row r="27" spans="1:10" x14ac:dyDescent="0.25">
      <x:c r="B27" s="58" t="str">
        <x:v>Color Laser Prints</x:v>
      </x:c>
      <x:c r="C27" s="6" t="str">
        <x:v>18,900</x:v>
      </x:c>
      <x:c r="D27" s="6" t="str">
        <x:v>12,353</x:v>
      </x:c>
      <x:c r="E27" s="176" t="n">
        <x:f ca="1">=SUM(D27 - C27)</x:f>
      </x:c>
      <x:c r="F27" s="6" t="n">
        <x:v>2840</x:v>
      </x:c>
      <x:c r="G27" s="176" t="n">
        <x:f ca="1">=SUM(E27 - F27)</x:f>
      </x:c>
      <x:c r="H27" s="201" t="n">
        <x:v>0.144000</x:v>
      </x:c>
      <x:c r="I27" s="212" t="str">
        <x:f ca="1">=IF(SUM(G27 * H27) &lt; 0, 0,SUM(G27 * H27))</x:f>
      </x:c>
    </x:row>
    <x:row r="28" spans="1:10" ht="15.5" customHeight="1" x14ac:dyDescent="0.25">
      <x:c r="A28" s="19"/>
      <x:c r="B28" s="209"/>
      <x:c r="C28" s="209"/>
      <x:c r="D28" s="209"/>
      <x:c r="E28" s="209"/>
      <x:c r="F28" s="209"/>
      <x:c r="G28" s="209"/>
      <x:c r="H28" s="209">
        <x:v>Total Overage Expense:</x:v>
      </x:c>
      <x:c r="I28" s="209">
        <x:f ca="1">=SUM(I25:I27)</x:f>
      </x:c>
    </x:row>
    <x:row r="29" spans="1:10" ht="25.5" customHeight="1" x14ac:dyDescent="0.25">
      <x:c r="A29" s="19"/>
      <x:c r="B29" s="14">
        <x:v>July 2017 - September 2017</x:v>
      </x:c>
      <x:c r="C29" s="19"/>
      <x:c r="D29" s="19"/>
      <x:c r="E29" s="19"/>
      <x:c r="F29" s="19"/>
      <x:c r="G29" s="19"/>
      <x:c r="H29" s="19"/>
      <x:c r="I29" s="19"/>
    </x:row>
    <x:row r="30" spans="1:10" ht="35.75" customHeight="1" x14ac:dyDescent="0.25">
      <x:c r="B30" s="47" t="str">
        <x:v>Meter Group</x:v>
      </x:c>
      <x:c r="C30" s="45" t="str">
        <x:v>Quarterly Contracted Volume</x:v>
      </x:c>
      <x:c r="D30" s="45" t="str">
        <x:v>Actual Volume For Period</x:v>
      </x:c>
      <x:c r="E30" s="45" t="str">
        <x:v>Overage/(Underage) For Period</x:v>
      </x:c>
      <x:c r="F30" s="45" t="str">
        <x:v>Accrued Rollover Pages</x:v>
      </x:c>
      <x:c r="G30" s="45" t="str">
        <x:v>Net Overage (Underage)</x:v>
      </x:c>
      <x:c r="H30" s="45" t="str">
        <x:v>Excess CPP</x:v>
      </x:c>
      <x:c r="I30" s="46" t="str">
        <x:v>Overage Expense</x:v>
      </x:c>
    </x:row>
    <x:row r="31" spans="1:10" x14ac:dyDescent="0.25">
      <x:c r="B31" s="60" t="str">
        <x:v>B/W Copies and B/W Laser Prints</x:v>
      </x:c>
      <x:c r="C31" s="73" t="str">
        <x:v>192,000</x:v>
      </x:c>
      <x:c r="D31" s="73" t="str">
        <x:v>244,781</x:v>
      </x:c>
      <x:c r="E31" s="177" t="n">
        <x:f ca="1">=SUM(D31 - C31)</x:f>
      </x:c>
      <x:c r="F31" s="73" t="n">
        <x:v>172814</x:v>
      </x:c>
      <x:c r="G31" s="177" t="n">
        <x:f ca="1">=SUM(E31 - F31)</x:f>
      </x:c>
      <x:c r="H31" s="200" t="n">
        <x:v>0.015600</x:v>
      </x:c>
      <x:c r="I31" s="213" t="n">
        <x:f ca="1">=IF(SUM(G31 * H31) &lt; 0, 0,SUM(G31 * H31))</x:f>
      </x:c>
    </x:row>
    <x:row r="32" spans="1:10" x14ac:dyDescent="0.25">
      <x:c r="B32" s="60" t="str">
        <x:v>Color Copier (Color Pages)</x:v>
      </x:c>
      <x:c r="C32" s="73" t="str">
        <x:v>18,000</x:v>
      </x:c>
      <x:c r="D32" s="73" t="str">
        <x:v>12,642</x:v>
      </x:c>
      <x:c r="E32" s="177" t="n">
        <x:f ca="1">=SUM(D32 - C32)</x:f>
      </x:c>
      <x:c r="F32" s="73" t="n">
        <x:v>29429</x:v>
      </x:c>
      <x:c r="G32" s="177" t="n">
        <x:f ca="1">=SUM(E32 - F32)</x:f>
      </x:c>
      <x:c r="H32" s="200" t="n">
        <x:v>0.084000</x:v>
      </x:c>
      <x:c r="I32" s="213" t="n">
        <x:f ca="1">=IF(SUM(G32 * H32) &lt; 0, 0,SUM(G32 * H32))</x:f>
      </x:c>
    </x:row>
    <x:row r="33" spans="1:10" x14ac:dyDescent="0.25">
      <x:c r="B33" s="58" t="str">
        <x:v>Color Laser Prints</x:v>
      </x:c>
      <x:c r="C33" s="6" t="str">
        <x:v>18,900</x:v>
      </x:c>
      <x:c r="D33" s="6" t="str">
        <x:v>19,752</x:v>
      </x:c>
      <x:c r="E33" s="176" t="n">
        <x:f ca="1">=SUM(D33 - C33)</x:f>
      </x:c>
      <x:c r="F33" s="6" t="n">
        <x:v>3692</x:v>
      </x:c>
      <x:c r="G33" s="176" t="n">
        <x:f ca="1">=SUM(E33 - F33)</x:f>
      </x:c>
      <x:c r="H33" s="201" t="n">
        <x:v>0.144000</x:v>
      </x:c>
      <x:c r="I33" s="212" t="str">
        <x:f ca="1">=IF(SUM(G33 * H33) &lt; 0, 0,SUM(G33 * H33))</x:f>
      </x:c>
    </x:row>
    <x:row r="34" spans="1:10" ht="15.5" customHeight="1" x14ac:dyDescent="0.25">
      <x:c r="A34" s="19"/>
      <x:c r="B34" s="209"/>
      <x:c r="C34" s="209"/>
      <x:c r="D34" s="209"/>
      <x:c r="E34" s="209"/>
      <x:c r="F34" s="209"/>
      <x:c r="G34" s="209"/>
      <x:c r="H34" s="209">
        <x:v>Total Overage Expense:</x:v>
      </x:c>
      <x:c r="I34" s="209">
        <x:f ca="1">=SUM(I31:I33)</x:f>
      </x:c>
    </x:row>
    <x:row r="35" spans="1:10" ht="25.5" customHeight="1" x14ac:dyDescent="0.25">
      <x:c r="A35" s="19"/>
      <x:c r="B35" s="14">
        <x:v>April 2017 - June 2017</x:v>
      </x:c>
      <x:c r="C35" s="19"/>
      <x:c r="D35" s="19"/>
      <x:c r="E35" s="19"/>
      <x:c r="F35" s="19"/>
      <x:c r="G35" s="19"/>
      <x:c r="H35" s="19"/>
      <x:c r="I35" s="19"/>
    </x:row>
    <x:row r="36" spans="1:10" ht="35.75" customHeight="1" x14ac:dyDescent="0.25">
      <x:c r="B36" s="47" t="str">
        <x:v>Meter Group</x:v>
      </x:c>
      <x:c r="C36" s="45" t="str">
        <x:v>Quarterly Contracted Volume</x:v>
      </x:c>
      <x:c r="D36" s="45" t="str">
        <x:v>Actual Volume For Period</x:v>
      </x:c>
      <x:c r="E36" s="45" t="str">
        <x:v>Overage/(Underage) For Period</x:v>
      </x:c>
      <x:c r="F36" s="45" t="str">
        <x:v>Accrued Rollover Pages</x:v>
      </x:c>
      <x:c r="G36" s="45" t="str">
        <x:v>Net Overage (Underage)</x:v>
      </x:c>
      <x:c r="H36" s="45" t="str">
        <x:v>Excess CPP</x:v>
      </x:c>
      <x:c r="I36" s="46" t="str">
        <x:v>Overage Expense</x:v>
      </x:c>
    </x:row>
    <x:row r="37" spans="1:10" x14ac:dyDescent="0.25">
      <x:c r="B37" s="58" t="str">
        <x:v>B/W Copies and B/W Laser Prints</x:v>
      </x:c>
      <x:c r="C37" s="6" t="str">
        <x:v>240,000</x:v>
      </x:c>
      <x:c r="D37" s="6" t="str">
        <x:v>226,023</x:v>
      </x:c>
      <x:c r="E37" s="176" t="n">
        <x:f ca="1">=SUM(D37 - C37)</x:f>
      </x:c>
      <x:c r="F37" s="6" t="n">
        <x:v>158837</x:v>
      </x:c>
      <x:c r="G37" s="176" t="n">
        <x:f ca="1">=SUM(E37 - F37)</x:f>
      </x:c>
      <x:c r="H37" s="201" t="n">
        <x:v>0.015600</x:v>
      </x:c>
      <x:c r="I37" s="212" t="str">
        <x:f ca="1">=IF(SUM(G37 * H37) &lt; 0, 0,SUM(G37 * H37))</x:f>
      </x:c>
    </x:row>
    <x:row r="38" spans="1:10" x14ac:dyDescent="0.25">
      <x:c r="B38" s="60" t="str">
        <x:v>Color Copier (Color Pages)</x:v>
      </x:c>
      <x:c r="C38" s="73" t="str">
        <x:v>20,400</x:v>
      </x:c>
      <x:c r="D38" s="73" t="str">
        <x:v>13,188</x:v>
      </x:c>
      <x:c r="E38" s="177" t="n">
        <x:f ca="1">=SUM(D38 - C38)</x:f>
      </x:c>
      <x:c r="F38" s="73" t="n">
        <x:v>22217</x:v>
      </x:c>
      <x:c r="G38" s="177" t="n">
        <x:f ca="1">=SUM(E38 - F38)</x:f>
      </x:c>
      <x:c r="H38" s="200" t="n">
        <x:v>0.084000</x:v>
      </x:c>
      <x:c r="I38" s="213" t="n">
        <x:f ca="1">=IF(SUM(G38 * H38) &lt; 0, 0,SUM(G38 * H38))</x:f>
      </x:c>
    </x:row>
    <x:row r="39" spans="1:10" x14ac:dyDescent="0.25">
      <x:c r="B39" s="60" t="str">
        <x:v>Color Laser Prints</x:v>
      </x:c>
      <x:c r="C39" s="73" t="str">
        <x:v>15,000</x:v>
      </x:c>
      <x:c r="D39" s="73" t="str">
        <x:v>16,586</x:v>
      </x:c>
      <x:c r="E39" s="177" t="n">
        <x:f ca="1">=SUM(D39 - C39)</x:f>
      </x:c>
      <x:c r="F39" s="73" t="n">
        <x:v>5278</x:v>
      </x:c>
      <x:c r="G39" s="177" t="n">
        <x:f ca="1">=SUM(E39 - F39)</x:f>
      </x:c>
      <x:c r="H39" s="200" t="n">
        <x:v>0.144000</x:v>
      </x:c>
      <x:c r="I39" s="213" t="n">
        <x:f ca="1">=IF(SUM(G39 * H39) &lt; 0, 0,SUM(G39 * H39))</x:f>
      </x:c>
    </x:row>
    <x:row r="40" spans="1:10" ht="15.5" customHeight="1" x14ac:dyDescent="0.25">
      <x:c r="A40" s="19"/>
      <x:c r="B40" s="209"/>
      <x:c r="C40" s="209"/>
      <x:c r="D40" s="209"/>
      <x:c r="E40" s="209"/>
      <x:c r="F40" s="209"/>
      <x:c r="G40" s="209"/>
      <x:c r="H40" s="209">
        <x:v>Total Overage Expense:</x:v>
      </x:c>
      <x:c r="I40" s="209">
        <x:f ca="1">=SUM(I37:I39)</x:f>
      </x:c>
    </x:row>
    <x:row r="41" spans="1:10" ht="25.5" customHeight="1" x14ac:dyDescent="0.25">
      <x:c r="A41" s="19"/>
      <x:c r="B41" s="14">
        <x:v>January 2017 - March 2017</x:v>
      </x:c>
      <x:c r="C41" s="19"/>
      <x:c r="D41" s="19"/>
      <x:c r="E41" s="19"/>
      <x:c r="F41" s="19"/>
      <x:c r="G41" s="19"/>
      <x:c r="H41" s="19"/>
      <x:c r="I41" s="19"/>
    </x:row>
    <x:row r="42" spans="1:10" ht="35.75" customHeight="1" x14ac:dyDescent="0.25">
      <x:c r="B42" s="47" t="str">
        <x:v>Meter Group</x:v>
      </x:c>
      <x:c r="C42" s="45" t="str">
        <x:v>Quarterly Contracted Volume</x:v>
      </x:c>
      <x:c r="D42" s="45" t="str">
        <x:v>Actual Volume For Period</x:v>
      </x:c>
      <x:c r="E42" s="45" t="str">
        <x:v>Overage/(Underage) For Period</x:v>
      </x:c>
      <x:c r="F42" s="45" t="str">
        <x:v>Accrued Rollover Pages</x:v>
      </x:c>
      <x:c r="G42" s="45" t="str">
        <x:v>Net Overage (Underage)</x:v>
      </x:c>
      <x:c r="H42" s="45" t="str">
        <x:v>Excess CPP</x:v>
      </x:c>
      <x:c r="I42" s="46" t="str">
        <x:v>Overage Expense</x:v>
      </x:c>
    </x:row>
    <x:row r="43" spans="1:10" x14ac:dyDescent="0.25">
      <x:c r="B43" s="58" t="str">
        <x:v>B/W Copies and B/W Laser Prints</x:v>
      </x:c>
      <x:c r="C43" s="6" t="str">
        <x:v>240,000</x:v>
      </x:c>
      <x:c r="D43" s="6" t="str">
        <x:v>184,272</x:v>
      </x:c>
      <x:c r="E43" s="176" t="n">
        <x:f ca="1">=SUM(D43 - C43)</x:f>
      </x:c>
      <x:c r="F43" s="6" t="n">
        <x:v>103109</x:v>
      </x:c>
      <x:c r="G43" s="176" t="n">
        <x:f ca="1">=SUM(E43 - F43)</x:f>
      </x:c>
      <x:c r="H43" s="201" t="n">
        <x:v>0.015600</x:v>
      </x:c>
      <x:c r="I43" s="212" t="str">
        <x:f ca="1">=IF(SUM(G43 * H43) &lt; 0, 0,SUM(G43 * H43))</x:f>
      </x:c>
    </x:row>
    <x:row r="44" spans="1:10" x14ac:dyDescent="0.25">
      <x:c r="B44" s="58" t="str">
        <x:v>Color Copier (Color Pages)</x:v>
      </x:c>
      <x:c r="C44" s="6" t="str">
        <x:v>20,400</x:v>
      </x:c>
      <x:c r="D44" s="6" t="str">
        <x:v>10,621</x:v>
      </x:c>
      <x:c r="E44" s="176" t="n">
        <x:f ca="1">=SUM(D44 - C44)</x:f>
      </x:c>
      <x:c r="F44" s="6" t="n">
        <x:v>12438</x:v>
      </x:c>
      <x:c r="G44" s="176" t="n">
        <x:f ca="1">=SUM(E44 - F44)</x:f>
      </x:c>
      <x:c r="H44" s="201" t="n">
        <x:v>0.084000</x:v>
      </x:c>
      <x:c r="I44" s="212" t="str">
        <x:f ca="1">=IF(SUM(G44 * H44) &lt; 0, 0,SUM(G44 * H44))</x:f>
      </x:c>
    </x:row>
    <x:row r="45" spans="1:10" x14ac:dyDescent="0.25">
      <x:c r="B45" s="60" t="str">
        <x:v>Color Laser Prints</x:v>
      </x:c>
      <x:c r="C45" s="73" t="str">
        <x:v>15,000</x:v>
      </x:c>
      <x:c r="D45" s="73" t="str">
        <x:v>24,190</x:v>
      </x:c>
      <x:c r="E45" s="177" t="n">
        <x:f ca="1">=SUM(D45 - C45)</x:f>
      </x:c>
      <x:c r="F45" s="73" t="n">
        <x:v>14468</x:v>
      </x:c>
      <x:c r="G45" s="177" t="n">
        <x:f ca="1">=SUM(E45 - F45)</x:f>
      </x:c>
      <x:c r="H45" s="200" t="n">
        <x:v>0.144000</x:v>
      </x:c>
      <x:c r="I45" s="213" t="n">
        <x:f ca="1">=IF(SUM(G45 * H45) &lt; 0, 0,SUM(G45 * H45))</x:f>
      </x:c>
    </x:row>
    <x:row r="46" spans="1:10" ht="15.5" customHeight="1" x14ac:dyDescent="0.25">
      <x:c r="A46" s="19"/>
      <x:c r="B46" s="209"/>
      <x:c r="C46" s="209"/>
      <x:c r="D46" s="209"/>
      <x:c r="E46" s="209"/>
      <x:c r="F46" s="209"/>
      <x:c r="G46" s="209"/>
      <x:c r="H46" s="209">
        <x:v>Total Overage Expense:</x:v>
      </x:c>
      <x:c r="I46" s="209">
        <x:f ca="1">=SUM(I43:I45)</x:f>
      </x:c>
    </x:row>
    <x:row r="47" spans="1:10" ht="25.5" customHeight="1" x14ac:dyDescent="0.25">
      <x:c r="A47" s="19"/>
      <x:c r="B47" s="14">
        <x:v>October 2016 - December 2016</x:v>
      </x:c>
      <x:c r="C47" s="19"/>
      <x:c r="D47" s="19"/>
      <x:c r="E47" s="19"/>
      <x:c r="F47" s="19"/>
      <x:c r="G47" s="19"/>
      <x:c r="H47" s="19"/>
      <x:c r="I47" s="19"/>
    </x:row>
    <x:row r="48" spans="1:10" ht="35.75" customHeight="1" x14ac:dyDescent="0.25">
      <x:c r="B48" s="47" t="str">
        <x:v>Meter Group</x:v>
      </x:c>
      <x:c r="C48" s="45" t="str">
        <x:v>Quarterly Contracted Volume</x:v>
      </x:c>
      <x:c r="D48" s="45" t="str">
        <x:v>Actual Volume For Period</x:v>
      </x:c>
      <x:c r="E48" s="45" t="str">
        <x:v>Overage/(Underage) For Period</x:v>
      </x:c>
      <x:c r="F48" s="45" t="str">
        <x:v>Accrued Rollover Pages</x:v>
      </x:c>
      <x:c r="G48" s="45" t="str">
        <x:v>Net Overage (Underage)</x:v>
      </x:c>
      <x:c r="H48" s="45" t="str">
        <x:v>Excess CPP</x:v>
      </x:c>
      <x:c r="I48" s="46" t="str">
        <x:v>Overage Expense</x:v>
      </x:c>
    </x:row>
    <x:row r="49" spans="1:10" x14ac:dyDescent="0.25">
      <x:c r="B49" s="60" t="str">
        <x:v>B/W Copies and B/W Laser Prints</x:v>
      </x:c>
      <x:c r="C49" s="73" t="str">
        <x:v>240,000</x:v>
      </x:c>
      <x:c r="D49" s="73" t="str">
        <x:v>263,755</x:v>
      </x:c>
      <x:c r="E49" s="177" t="n">
        <x:f ca="1">=SUM(D49 - C49)</x:f>
      </x:c>
      <x:c r="F49" s="73" t="n">
        <x:v>126864</x:v>
      </x:c>
      <x:c r="G49" s="177" t="n">
        <x:f ca="1">=SUM(E49 - F49)</x:f>
      </x:c>
      <x:c r="H49" s="200" t="n">
        <x:v>0.015600</x:v>
      </x:c>
      <x:c r="I49" s="213" t="n">
        <x:f ca="1">=IF(SUM(G49 * H49) &lt; 0, 0,SUM(G49 * H49))</x:f>
      </x:c>
    </x:row>
    <x:row r="50" spans="1:10" x14ac:dyDescent="0.25">
      <x:c r="B50" s="58" t="str">
        <x:v>Color Copier (Color Pages)</x:v>
      </x:c>
      <x:c r="C50" s="6" t="str">
        <x:v>20,400</x:v>
      </x:c>
      <x:c r="D50" s="6" t="str">
        <x:v>25,830</x:v>
      </x:c>
      <x:c r="E50" s="176" t="n">
        <x:f ca="1">=SUM(D50 - C50)</x:f>
      </x:c>
      <x:c r="F50" s="6" t="n">
        <x:v>17868</x:v>
      </x:c>
      <x:c r="G50" s="176" t="n">
        <x:f ca="1">=SUM(E50 - F50)</x:f>
      </x:c>
      <x:c r="H50" s="201" t="n">
        <x:v>0.084000</x:v>
      </x:c>
      <x:c r="I50" s="212" t="str">
        <x:f ca="1">=IF(SUM(G50 * H50) &lt; 0, 0,SUM(G50 * H50))</x:f>
      </x:c>
    </x:row>
    <x:row r="51" spans="1:10" x14ac:dyDescent="0.25">
      <x:c r="B51" s="58" t="str">
        <x:v>Color Laser Prints</x:v>
      </x:c>
      <x:c r="C51" s="6" t="str">
        <x:v>15,000</x:v>
      </x:c>
      <x:c r="D51" s="6" t="str">
        <x:v>22,675</x:v>
      </x:c>
      <x:c r="E51" s="176" t="n">
        <x:f ca="1">=SUM(D51 - C51)</x:f>
      </x:c>
      <x:c r="F51" s="6" t="n">
        <x:v>22143</x:v>
      </x:c>
      <x:c r="G51" s="176" t="n">
        <x:f ca="1">=SUM(E51 - F51)</x:f>
      </x:c>
      <x:c r="H51" s="201" t="n">
        <x:v>0.144000</x:v>
      </x:c>
      <x:c r="I51" s="212" t="str">
        <x:f ca="1">=IF(SUM(G51 * H51) &lt; 0, 0,SUM(G51 * H51))</x:f>
      </x:c>
    </x:row>
    <x:row r="52" spans="1:10" ht="15.5" customHeight="1" x14ac:dyDescent="0.25">
      <x:c r="A52" s="19"/>
      <x:c r="B52" s="209"/>
      <x:c r="C52" s="209"/>
      <x:c r="D52" s="209"/>
      <x:c r="E52" s="209"/>
      <x:c r="F52" s="209"/>
      <x:c r="G52" s="209"/>
      <x:c r="H52" s="209">
        <x:v>Total Overage Expense:</x:v>
      </x:c>
      <x:c r="I52" s="209">
        <x:f ca="1">=SUM(I49:I51)</x:f>
      </x:c>
    </x:row>
    <x:row r="53" spans="1:10" ht="25.5" customHeight="1" x14ac:dyDescent="0.25">
      <x:c r="A53" s="19"/>
      <x:c r="B53" s="14">
        <x:v>July 2016 - September 2016</x:v>
      </x:c>
      <x:c r="C53" s="19"/>
      <x:c r="D53" s="19"/>
      <x:c r="E53" s="19"/>
      <x:c r="F53" s="19"/>
      <x:c r="G53" s="19"/>
      <x:c r="H53" s="19"/>
      <x:c r="I53" s="19"/>
    </x:row>
    <x:row r="54" spans="1:10" ht="35.75" customHeight="1" x14ac:dyDescent="0.25">
      <x:c r="B54" s="47" t="str">
        <x:v>Meter Group</x:v>
      </x:c>
      <x:c r="C54" s="45" t="str">
        <x:v>Quarterly Contracted Volume</x:v>
      </x:c>
      <x:c r="D54" s="45" t="str">
        <x:v>Actual Volume For Period</x:v>
      </x:c>
      <x:c r="E54" s="45" t="str">
        <x:v>Overage/(Underage) For Period</x:v>
      </x:c>
      <x:c r="F54" s="45" t="str">
        <x:v>Accrued Rollover Pages</x:v>
      </x:c>
      <x:c r="G54" s="45" t="str">
        <x:v>Net Overage (Underage)</x:v>
      </x:c>
      <x:c r="H54" s="45" t="str">
        <x:v>Excess CPP</x:v>
      </x:c>
      <x:c r="I54" s="46" t="str">
        <x:v>Overage Expense</x:v>
      </x:c>
    </x:row>
    <x:row r="55" spans="1:10" x14ac:dyDescent="0.25">
      <x:c r="B55" s="60" t="str">
        <x:v>B/W Copies and B/W Laser Prints</x:v>
      </x:c>
      <x:c r="C55" s="73" t="str">
        <x:v>290,700</x:v>
      </x:c>
      <x:c r="D55" s="73" t="str">
        <x:v>249,538</x:v>
      </x:c>
      <x:c r="E55" s="177" t="n">
        <x:f ca="1">=SUM(D55 - C55)</x:f>
      </x:c>
      <x:c r="F55" s="73" t="n">
        <x:v>85702</x:v>
      </x:c>
      <x:c r="G55" s="177" t="n">
        <x:f ca="1">=SUM(E55 - F55)</x:f>
      </x:c>
      <x:c r="H55" s="200" t="n">
        <x:v>0.015600</x:v>
      </x:c>
      <x:c r="I55" s="213" t="n">
        <x:f ca="1">=IF(SUM(G55 * H55) &lt; 0, 0,SUM(G55 * H55))</x:f>
      </x:c>
    </x:row>
    <x:row r="56" spans="1:10" x14ac:dyDescent="0.25">
      <x:c r="B56" s="60" t="str">
        <x:v>Color Copier (Color Pages)</x:v>
      </x:c>
      <x:c r="C56" s="73" t="str">
        <x:v>20,400</x:v>
      </x:c>
      <x:c r="D56" s="73" t="str">
        <x:v>11,501</x:v>
      </x:c>
      <x:c r="E56" s="177" t="n">
        <x:f ca="1">=SUM(D56 - C56)</x:f>
      </x:c>
      <x:c r="F56" s="73" t="n">
        <x:v>8969</x:v>
      </x:c>
      <x:c r="G56" s="177" t="n">
        <x:f ca="1">=SUM(E56 - F56)</x:f>
      </x:c>
      <x:c r="H56" s="200" t="n">
        <x:v>0.084000</x:v>
      </x:c>
      <x:c r="I56" s="213" t="n">
        <x:f ca="1">=IF(SUM(G56 * H56) &lt; 0, 0,SUM(G56 * H56))</x:f>
      </x:c>
    </x:row>
    <x:row r="57" spans="1:10" x14ac:dyDescent="0.25">
      <x:c r="B57" s="58" t="str">
        <x:v>Color Laser Prints</x:v>
      </x:c>
      <x:c r="C57" s="6" t="str">
        <x:v>24,000</x:v>
      </x:c>
      <x:c r="D57" s="6" t="str">
        <x:v>13,977</x:v>
      </x:c>
      <x:c r="E57" s="176" t="n">
        <x:f ca="1">=SUM(D57 - C57)</x:f>
      </x:c>
      <x:c r="F57" s="6" t="n">
        <x:v>12120</x:v>
      </x:c>
      <x:c r="G57" s="176" t="n">
        <x:f ca="1">=SUM(E57 - F57)</x:f>
      </x:c>
      <x:c r="H57" s="201" t="n">
        <x:v>0.144000</x:v>
      </x:c>
      <x:c r="I57" s="212" t="str">
        <x:f ca="1">=IF(SUM(G57 * H57) &lt; 0, 0,SUM(G57 * H57))</x:f>
      </x:c>
    </x:row>
    <x:row r="58" spans="1:10" ht="15.5" customHeight="1" x14ac:dyDescent="0.25">
      <x:c r="A58" s="19"/>
      <x:c r="B58" s="209"/>
      <x:c r="C58" s="209"/>
      <x:c r="D58" s="209"/>
      <x:c r="E58" s="209"/>
      <x:c r="F58" s="209"/>
      <x:c r="G58" s="209"/>
      <x:c r="H58" s="209">
        <x:v>Total Overage Expense:</x:v>
      </x:c>
      <x:c r="I58" s="209">
        <x:f ca="1">=SUM(I55:I57)</x:f>
      </x:c>
    </x:row>
    <x:row r="59" spans="1:10" ht="25.5" customHeight="1" x14ac:dyDescent="0.25">
      <x:c r="A59" s="19"/>
      <x:c r="B59" s="14">
        <x:v>April 2016 - June 2016</x:v>
      </x:c>
      <x:c r="C59" s="19"/>
      <x:c r="D59" s="19"/>
      <x:c r="E59" s="19"/>
      <x:c r="F59" s="19"/>
      <x:c r="G59" s="19"/>
      <x:c r="H59" s="19"/>
      <x:c r="I59" s="19"/>
    </x:row>
    <x:row r="60" spans="1:10" ht="35.75" customHeight="1" x14ac:dyDescent="0.25">
      <x:c r="B60" s="47" t="str">
        <x:v>Meter Group</x:v>
      </x:c>
      <x:c r="C60" s="45" t="str">
        <x:v>Quarterly Contracted Volume</x:v>
      </x:c>
      <x:c r="D60" s="45" t="str">
        <x:v>Actual Volume For Period</x:v>
      </x:c>
      <x:c r="E60" s="45" t="str">
        <x:v>Overage/(Underage) For Period</x:v>
      </x:c>
      <x:c r="F60" s="45" t="str">
        <x:v>Accrued Rollover Pages</x:v>
      </x:c>
      <x:c r="G60" s="45" t="str">
        <x:v>Net Overage (Underage)</x:v>
      </x:c>
      <x:c r="H60" s="45" t="str">
        <x:v>Excess CPP</x:v>
      </x:c>
      <x:c r="I60" s="46" t="str">
        <x:v>Overage Expense</x:v>
      </x:c>
    </x:row>
    <x:row r="61" spans="1:10" x14ac:dyDescent="0.25">
      <x:c r="B61" s="58" t="str">
        <x:v>B/W Copies and B/W Laser Prints</x:v>
      </x:c>
      <x:c r="C61" s="6" t="str">
        <x:v>290,700</x:v>
      </x:c>
      <x:c r="D61" s="6" t="str">
        <x:v>257,380</x:v>
      </x:c>
      <x:c r="E61" s="176" t="n">
        <x:f ca="1">=SUM(D61 - C61)</x:f>
      </x:c>
      <x:c r="F61" s="6" t="n">
        <x:v>52382</x:v>
      </x:c>
      <x:c r="G61" s="176" t="n">
        <x:f ca="1">=SUM(E61 - F61)</x:f>
      </x:c>
      <x:c r="H61" s="201" t="n">
        <x:v>0.015600</x:v>
      </x:c>
      <x:c r="I61" s="212" t="str">
        <x:f ca="1">=IF(SUM(G61 * H61) &lt; 0, 0,SUM(G61 * H61))</x:f>
      </x:c>
    </x:row>
    <x:row r="62" spans="1:10" x14ac:dyDescent="0.25">
      <x:c r="B62" s="60" t="str">
        <x:v>Color Copier (Color Pages)</x:v>
      </x:c>
      <x:c r="C62" s="73" t="str">
        <x:v>20,400</x:v>
      </x:c>
      <x:c r="D62" s="73" t="str">
        <x:v>21,114</x:v>
      </x:c>
      <x:c r="E62" s="177" t="n">
        <x:f ca="1">=SUM(D62 - C62)</x:f>
      </x:c>
      <x:c r="F62" s="73" t="n">
        <x:v>9683</x:v>
      </x:c>
      <x:c r="G62" s="177" t="n">
        <x:f ca="1">=SUM(E62 - F62)</x:f>
      </x:c>
      <x:c r="H62" s="200" t="n">
        <x:v>0.084000</x:v>
      </x:c>
      <x:c r="I62" s="213" t="n">
        <x:f ca="1">=IF(SUM(G62 * H62) &lt; 0, 0,SUM(G62 * H62))</x:f>
      </x:c>
    </x:row>
    <x:row r="63" spans="1:10" x14ac:dyDescent="0.25">
      <x:c r="B63" s="60" t="str">
        <x:v>Color Laser Prints</x:v>
      </x:c>
      <x:c r="C63" s="73" t="str">
        <x:v>24,000</x:v>
      </x:c>
      <x:c r="D63" s="73" t="str">
        <x:v>23,786</x:v>
      </x:c>
      <x:c r="E63" s="177" t="n">
        <x:f ca="1">=SUM(D63 - C63)</x:f>
      </x:c>
      <x:c r="F63" s="73" t="n">
        <x:v>11906</x:v>
      </x:c>
      <x:c r="G63" s="177" t="n">
        <x:f ca="1">=SUM(E63 - F63)</x:f>
      </x:c>
      <x:c r="H63" s="200" t="n">
        <x:v>0.144000</x:v>
      </x:c>
      <x:c r="I63" s="213" t="n">
        <x:f ca="1">=IF(SUM(G63 * H63) &lt; 0, 0,SUM(G63 * H63))</x:f>
      </x:c>
    </x:row>
    <x:row r="64" spans="1:10" ht="15.5" customHeight="1" x14ac:dyDescent="0.25">
      <x:c r="A64" s="19"/>
      <x:c r="B64" s="209"/>
      <x:c r="C64" s="209"/>
      <x:c r="D64" s="209"/>
      <x:c r="E64" s="209"/>
      <x:c r="F64" s="209"/>
      <x:c r="G64" s="209"/>
      <x:c r="H64" s="209">
        <x:v>Total Overage Expense:</x:v>
      </x:c>
      <x:c r="I64" s="209">
        <x:f ca="1">=SUM(I61:I63)</x:f>
      </x:c>
    </x:row>
    <x:row r="65" spans="1:10" ht="25.5" customHeight="1" x14ac:dyDescent="0.25">
      <x:c r="A65" s="19"/>
      <x:c r="B65" s="14">
        <x:v>January 2016 - March 2016</x:v>
      </x:c>
      <x:c r="C65" s="19"/>
      <x:c r="D65" s="19"/>
      <x:c r="E65" s="19"/>
      <x:c r="F65" s="19"/>
      <x:c r="G65" s="19"/>
      <x:c r="H65" s="19"/>
      <x:c r="I65" s="19"/>
    </x:row>
    <x:row r="66" spans="1:10" ht="35.75" customHeight="1" x14ac:dyDescent="0.25">
      <x:c r="B66" s="47" t="str">
        <x:v>Meter Group</x:v>
      </x:c>
      <x:c r="C66" s="45" t="str">
        <x:v>Quarterly Contracted Volume</x:v>
      </x:c>
      <x:c r="D66" s="45" t="str">
        <x:v>Actual Volume For Period</x:v>
      </x:c>
      <x:c r="E66" s="45" t="str">
        <x:v>Overage/(Underage) For Period</x:v>
      </x:c>
      <x:c r="F66" s="45" t="str">
        <x:v>Accrued Rollover Pages</x:v>
      </x:c>
      <x:c r="G66" s="45" t="str">
        <x:v>Net Overage (Underage)</x:v>
      </x:c>
      <x:c r="H66" s="45" t="str">
        <x:v>Excess CPP</x:v>
      </x:c>
      <x:c r="I66" s="46" t="str">
        <x:v>Overage Expense</x:v>
      </x:c>
    </x:row>
    <x:row r="67" spans="1:10" x14ac:dyDescent="0.25">
      <x:c r="B67" s="58" t="str">
        <x:v>B/W Copies and B/W Laser Prints</x:v>
      </x:c>
      <x:c r="C67" s="6" t="str">
        <x:v>365,719</x:v>
      </x:c>
      <x:c r="D67" s="6" t="str">
        <x:v>313,337</x:v>
      </x:c>
      <x:c r="E67" s="176" t="n">
        <x:f ca="1">=SUM(D67 - C67)</x:f>
      </x:c>
      <x:c r="F67" s="6" t="n">
        <x:v>0</x:v>
      </x:c>
      <x:c r="G67" s="176" t="n">
        <x:f ca="1">=SUM(E67 - F67)</x:f>
      </x:c>
      <x:c r="H67" s="201" t="n">
        <x:v>0.015600</x:v>
      </x:c>
      <x:c r="I67" s="212" t="str">
        <x:f ca="1">=IF(SUM(G67 * H67) &lt; 0, 0,SUM(G67 * H67))</x:f>
      </x:c>
    </x:row>
    <x:row r="68" spans="1:10" x14ac:dyDescent="0.25">
      <x:c r="B68" s="58" t="str">
        <x:v>Color Copier (Color Pages)</x:v>
      </x:c>
      <x:c r="C68" s="6" t="str">
        <x:v>25,665</x:v>
      </x:c>
      <x:c r="D68" s="6" t="str">
        <x:v>15,982</x:v>
      </x:c>
      <x:c r="E68" s="176" t="n">
        <x:f ca="1">=SUM(D68 - C68)</x:f>
      </x:c>
      <x:c r="F68" s="6" t="n">
        <x:v>0</x:v>
      </x:c>
      <x:c r="G68" s="176" t="n">
        <x:f ca="1">=SUM(E68 - F68)</x:f>
      </x:c>
      <x:c r="H68" s="201" t="n">
        <x:v>0.084000</x:v>
      </x:c>
      <x:c r="I68" s="212" t="str">
        <x:f ca="1">=IF(SUM(G68 * H68) &lt; 0, 0,SUM(G68 * H68))</x:f>
      </x:c>
    </x:row>
    <x:row r="69" spans="1:10" x14ac:dyDescent="0.25">
      <x:c r="B69" s="60" t="str">
        <x:v>Color Laser Prints</x:v>
      </x:c>
      <x:c r="C69" s="73" t="str">
        <x:v>30,194</x:v>
      </x:c>
      <x:c r="D69" s="73" t="str">
        <x:v>18,288</x:v>
      </x:c>
      <x:c r="E69" s="177" t="n">
        <x:f ca="1">=SUM(D69 - C69)</x:f>
      </x:c>
      <x:c r="F69" s="73" t="n">
        <x:v>0</x:v>
      </x:c>
      <x:c r="G69" s="177" t="n">
        <x:f ca="1">=SUM(E69 - F69)</x:f>
      </x:c>
      <x:c r="H69" s="200" t="n">
        <x:v>0.144000</x:v>
      </x:c>
      <x:c r="I69" s="213" t="n">
        <x:f ca="1">=IF(SUM(G69 * H69) &lt; 0, 0,SUM(G69 * H69))</x:f>
      </x:c>
    </x:row>
    <x:row r="70" spans="1:7" x14ac:dyDescent="0.25">
      <x:c r="B70" s="92"/>
      <x:c r="C70" s="119"/>
      <x:c r="D70" s="120"/>
      <x:c r="E70" s="120"/>
      <x:c r="F70" s="120"/>
      <x:c r="G70" s="120"/>
      <x:c r="H70" s="120"/>
      <x:c r="I70" s="121"/>
    </x:row>
    <x:row r="71" spans="1:10" ht="15.5" customHeight="1" x14ac:dyDescent="0.25">
      <x:c r="A71" s="19"/>
      <x:c r="B71" s="19"/>
      <x:c r="C71" s="19"/>
      <x:c r="D71" s="19"/>
      <x:c r="E71" s="19"/>
      <x:c r="F71" s="19"/>
      <x:c r="G71" s="19"/>
      <x:c r="H71" s="209">
        <x:v>Total Overage Expense:</x:v>
      </x:c>
      <x:c r="I71" s="209">
        <x:f ca="1">=SUM(I67:I70)</x:f>
      </x:c>
    </x:row>
  </x:sheetData>
  <x:mergeCells count="3">
    <x:mergeCell ref="A1:I1"/>
    <x:mergeCell ref="A2:I2"/>
    <x:mergeCell ref="A3:I3"/>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0.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F11"/>
  <x:sheetViews>
    <x:sheetView showGridLines="0" view="pageLayout" zoomScaleNormal="100" workbookViewId="0">
      <x:selection activeCell="B7" sqref="B7"/>
    </x:sheetView>
  </x:sheetViews>
  <x:sheetFormatPr defaultRowHeight="15" x14ac:dyDescent="0.25"/>
  <x:cols>
    <x:col min="1" max="1" width="14.1" style="1" customWidth="1"/>
    <x:col min="2" max="2" width="38.6" style="1" customWidth="1"/>
    <x:col min="3" max="3" width="14.5" style="1" customWidth="1"/>
    <x:col min="4" max="4" width="14.5" style="1" customWidth="1"/>
    <x:col min="5" max="6" width="15.57" style="1" customWidth="1"/>
    <x:col min="7" max="7" width="12.140625" style="5" customWidth="1"/>
  </x:cols>
  <x:sheetData>
    <x:row r="1" spans="1:10" ht="15.75" x14ac:dyDescent="0.25">
      <x:c r="A1" s="125" t="str">
        <x:f ca="1">SETUP!$B$2</x:f>
        <x:v>?</x:v>
      </x:c>
      <x:c r="B1" s="126"/>
      <x:c r="C1" s="126"/>
      <x:c r="D1" s="126"/>
      <x:c r="E1" s="126"/>
    </x:row>
    <x:row r="2" spans="1:10" x14ac:dyDescent="0.25">
      <x:c r="A2" s="123" t="str">
        <x:f ca="1">="Rollover Savings Through Period Ending "&amp;TEXT(SETUP!$B$4,"MMMMMMMMM DD, YYYY")&amp;""</x:f>
        <x:v>="Rollover Savings Through Period Ending "&amp;TEXT(SETUP!$B$4,"MMMMMMMMM DD, YYYY")&amp;""</x:v>
      </x:c>
      <x:c r="B2" s="124"/>
      <x:c r="C2" s="124"/>
      <x:c r="D2" s="124"/>
      <x:c r="E2" s="124"/>
    </x:row>
    <x:row r="3" spans="1:10" ht="50.5" customHeight="1" x14ac:dyDescent="0.25">
      <x:c r="A3" s="199" t="str">
        <x:v>The data below details the incremental cost which has been deferred in comparison with your prior operating environment to FPR.  By calculating the product of the Rollover Pages for the Period and your actual cost per page for that specific meter group, FPR is able to determine an overall Rollover Savings by period, below.  This is yet another way in which FPR separates itself from any other company in the marketplace.</x:v>
      </x:c>
      <x:c r="B3" s="19"/>
      <x:c r="C3" s="131"/>
      <x:c r="D3" s="131"/>
      <x:c r="E3" s="131"/>
    </x:row>
    <x:row r="4" spans="1:10" ht="15.5" customHeight="1" x14ac:dyDescent="0.25">
      <x:c r="A4"/>
      <x:c r="B4" s="194" t="str">
        <x:v>July 2018 - October 2018</x:v>
      </x:c>
      <x:c r="C4" s="19"/>
      <x:c r="D4" s="19"/>
      <x:c r="E4" s="19"/>
    </x:row>
    <x:row r="5" spans="1:10" ht="27.75" customHeight="1" x14ac:dyDescent="0.25">
      <x:c r="B5" s="47" t="str">
        <x:v>Meter Group</x:v>
      </x:c>
      <x:c r="C5" s="45" t="str">
        <x:v>Rollover Pages For Period</x:v>
      </x:c>
      <x:c r="D5" s="45" t="str">
        <x:v>Pre-FPR CPP</x:v>
      </x:c>
      <x:c r="E5" s="46" t="str">
        <x:v>Rollover Savings</x:v>
      </x:c>
    </x:row>
    <x:row r="6" spans="1:10" x14ac:dyDescent="0.25">
      <x:c r="B6" s="60" t="str">
        <x:v>B/W Copies and B/W Laser Prints</x:v>
      </x:c>
      <x:c r="C6" s="73" t="str">
        <x:v>0</x:v>
      </x:c>
      <x:c r="D6" s="73" t="str">
        <x:v>$ .0331</x:v>
      </x:c>
      <x:c r="E6" s="61" t="n">
        <x:f>=SUM(C6* D6)</x:f>
      </x:c>
    </x:row>
    <x:row r="7" spans="1:10" x14ac:dyDescent="0.25">
      <x:c r="B7" s="60" t="str">
        <x:v>Color Copier (Color Pages)</x:v>
      </x:c>
      <x:c r="C7" s="73" t="str">
        <x:v>0</x:v>
      </x:c>
      <x:c r="D7" s="73" t="str">
        <x:v>$ .5966</x:v>
      </x:c>
      <x:c r="E7" s="61" t="n">
        <x:f>=SUM(C7* D7)</x:f>
      </x:c>
    </x:row>
    <x:row r="8" spans="1:10" x14ac:dyDescent="0.25">
      <x:c r="B8" s="58" t="str">
        <x:v>Color Laser Prints</x:v>
      </x:c>
      <x:c r="C8" s="6" t="str">
        <x:v>0</x:v>
      </x:c>
      <x:c r="D8" s="6" t="str">
        <x:v>$ .0954</x:v>
      </x:c>
      <x:c r="E8" s="59" t="str">
        <x:f>=SUM(C8* D8)</x:f>
      </x:c>
    </x:row>
    <x:row r="9" spans="1:10" x14ac:dyDescent="0.25">
      <x:c r="A9" s="19"/>
      <x:c r="B9" s="174"/>
      <x:c r="C9" s="174"/>
      <x:c r="D9" s="174">
        <x:v>Rollover Savings: </x:v>
      </x:c>
      <x:c r="E9" s="174">
        <x:f ca="1">SUM(E5:E8)</x:f>
      </x:c>
    </x:row>
    <x:row r="11" spans="1:10" ht="15.5" customHeight="1" x14ac:dyDescent="0.25">
      <x:c r="A11"/>
      <x:c r="B11" s="194" t="str">
        <x:v>April 2018 - June 2018</x:v>
      </x:c>
      <x:c r="C11" s="19"/>
      <x:c r="D11" s="19"/>
      <x:c r="E11" s="19"/>
    </x:row>
    <x:row r="12" spans="1:10" ht="27.75" customHeight="1" x14ac:dyDescent="0.25">
      <x:c r="B12" s="47" t="str">
        <x:v>Meter Group</x:v>
      </x:c>
      <x:c r="C12" s="45" t="str">
        <x:v>Rollover Pages For Period</x:v>
      </x:c>
      <x:c r="D12" s="45" t="str">
        <x:v>Pre-FPR CPP</x:v>
      </x:c>
      <x:c r="E12" s="46" t="str">
        <x:v>Rollover Savings</x:v>
      </x:c>
    </x:row>
    <x:row r="13" spans="1:10" x14ac:dyDescent="0.25">
      <x:c r="B13" s="58" t="str">
        <x:v>B/W Copies and B/W Laser Prints</x:v>
      </x:c>
      <x:c r="C13" s="6" t="str">
        <x:v>0</x:v>
      </x:c>
      <x:c r="D13" s="6" t="str">
        <x:v>$ .0331</x:v>
      </x:c>
      <x:c r="E13" s="59" t="str">
        <x:f>=SUM(C13* D13)</x:f>
      </x:c>
    </x:row>
    <x:row r="14" spans="1:10" x14ac:dyDescent="0.25">
      <x:c r="B14" s="60" t="str">
        <x:v>Color Copier (Color Pages)</x:v>
      </x:c>
      <x:c r="C14" s="73" t="str">
        <x:v>0</x:v>
      </x:c>
      <x:c r="D14" s="73" t="str">
        <x:v>$ .5966</x:v>
      </x:c>
      <x:c r="E14" s="61" t="n">
        <x:f>=SUM(C14* D14)</x:f>
      </x:c>
    </x:row>
    <x:row r="15" spans="1:10" x14ac:dyDescent="0.25">
      <x:c r="B15" s="60" t="str">
        <x:v>Color Laser Prints</x:v>
      </x:c>
      <x:c r="C15" s="73" t="str">
        <x:v>0</x:v>
      </x:c>
      <x:c r="D15" s="73" t="str">
        <x:v>$ .0954</x:v>
      </x:c>
      <x:c r="E15" s="61" t="n">
        <x:f>=SUM(C15* D15)</x:f>
      </x:c>
    </x:row>
    <x:row r="16" spans="1:10" x14ac:dyDescent="0.25">
      <x:c r="A16" s="19"/>
      <x:c r="B16" s="174"/>
      <x:c r="C16" s="174"/>
      <x:c r="D16" s="174">
        <x:v>Rollover Savings: </x:v>
      </x:c>
      <x:c r="E16" s="174">
        <x:f ca="1">SUM(E12:E15)</x:f>
      </x:c>
    </x:row>
    <x:row r="18" spans="1:10" ht="15.5" customHeight="1" x14ac:dyDescent="0.25">
      <x:c r="A18"/>
      <x:c r="B18" s="194" t="str">
        <x:v>January 2018 - March 2018</x:v>
      </x:c>
      <x:c r="C18" s="19"/>
      <x:c r="D18" s="19"/>
      <x:c r="E18" s="19"/>
    </x:row>
    <x:row r="19" spans="1:10" ht="27.75" customHeight="1" x14ac:dyDescent="0.25">
      <x:c r="B19" s="47" t="str">
        <x:v>Meter Group</x:v>
      </x:c>
      <x:c r="C19" s="45" t="str">
        <x:v>Rollover Pages For Period</x:v>
      </x:c>
      <x:c r="D19" s="45" t="str">
        <x:v>Pre-FPR CPP</x:v>
      </x:c>
      <x:c r="E19" s="46" t="str">
        <x:v>Rollover Savings</x:v>
      </x:c>
    </x:row>
    <x:row r="20" spans="1:10" x14ac:dyDescent="0.25">
      <x:c r="B20" s="58" t="str">
        <x:v>B/W Copies and B/W Laser Prints</x:v>
      </x:c>
      <x:c r="C20" s="6" t="str">
        <x:v>0</x:v>
      </x:c>
      <x:c r="D20" s="6" t="str">
        <x:v>$ .0331</x:v>
      </x:c>
      <x:c r="E20" s="59" t="str">
        <x:f>=SUM(C20* D20)</x:f>
      </x:c>
    </x:row>
    <x:row r="21" spans="1:10" x14ac:dyDescent="0.25">
      <x:c r="B21" s="58" t="str">
        <x:v>Color Copier (Color Pages)</x:v>
      </x:c>
      <x:c r="C21" s="6" t="str">
        <x:v>3,147</x:v>
      </x:c>
      <x:c r="D21" s="6" t="str">
        <x:v>$ .5966</x:v>
      </x:c>
      <x:c r="E21" s="59" t="str">
        <x:f>=SUM(C21* D21)</x:f>
      </x:c>
    </x:row>
    <x:row r="22" spans="1:10" x14ac:dyDescent="0.25">
      <x:c r="B22" s="60" t="str">
        <x:v>Color Laser Prints</x:v>
      </x:c>
      <x:c r="C22" s="73" t="str">
        <x:v>0</x:v>
      </x:c>
      <x:c r="D22" s="73" t="str">
        <x:v>$ .0954</x:v>
      </x:c>
      <x:c r="E22" s="61" t="n">
        <x:f>=SUM(C22* D22)</x:f>
      </x:c>
    </x:row>
    <x:row r="23" spans="1:10" x14ac:dyDescent="0.25">
      <x:c r="A23" s="19"/>
      <x:c r="B23" s="174"/>
      <x:c r="C23" s="174"/>
      <x:c r="D23" s="174">
        <x:v>Rollover Savings: </x:v>
      </x:c>
      <x:c r="E23" s="174">
        <x:f ca="1">SUM(E19:E22)</x:f>
      </x:c>
    </x:row>
    <x:row r="25" spans="1:10" ht="15.5" customHeight="1" x14ac:dyDescent="0.25">
      <x:c r="A25"/>
      <x:c r="B25" s="194" t="str">
        <x:v>October 2017 - December 2017</x:v>
      </x:c>
      <x:c r="C25" s="19"/>
      <x:c r="D25" s="19"/>
      <x:c r="E25" s="19"/>
    </x:row>
    <x:row r="26" spans="1:10" ht="27.75" customHeight="1" x14ac:dyDescent="0.25">
      <x:c r="B26" s="47" t="str">
        <x:v>Meter Group</x:v>
      </x:c>
      <x:c r="C26" s="45" t="str">
        <x:v>Rollover Pages For Period</x:v>
      </x:c>
      <x:c r="D26" s="45" t="str">
        <x:v>Pre-FPR CPP</x:v>
      </x:c>
      <x:c r="E26" s="46" t="str">
        <x:v>Rollover Savings</x:v>
      </x:c>
    </x:row>
    <x:row r="27" spans="1:10" x14ac:dyDescent="0.25">
      <x:c r="B27" s="60" t="str">
        <x:v>B/W Copies and B/W Laser Prints</x:v>
      </x:c>
      <x:c r="C27" s="73" t="str">
        <x:v>2,651</x:v>
      </x:c>
      <x:c r="D27" s="73" t="str">
        <x:v>$ .0331</x:v>
      </x:c>
      <x:c r="E27" s="61" t="n">
        <x:f>=SUM(C27* D27)</x:f>
      </x:c>
    </x:row>
    <x:row r="28" spans="1:10" x14ac:dyDescent="0.25">
      <x:c r="B28" s="58" t="str">
        <x:v>Color Copier (Color Pages)</x:v>
      </x:c>
      <x:c r="C28" s="6" t="str">
        <x:v>6,334</x:v>
      </x:c>
      <x:c r="D28" s="6" t="str">
        <x:v>$ .5966</x:v>
      </x:c>
      <x:c r="E28" s="59" t="str">
        <x:f>=SUM(C28* D28)</x:f>
      </x:c>
    </x:row>
    <x:row r="29" spans="1:10" x14ac:dyDescent="0.25">
      <x:c r="B29" s="58" t="str">
        <x:v>Color Laser Prints</x:v>
      </x:c>
      <x:c r="C29" s="6" t="str">
        <x:v>6,547</x:v>
      </x:c>
      <x:c r="D29" s="6" t="str">
        <x:v>$ .0954</x:v>
      </x:c>
      <x:c r="E29" s="59" t="str">
        <x:f>=SUM(C29* D29)</x:f>
      </x:c>
    </x:row>
    <x:row r="30" spans="1:10" x14ac:dyDescent="0.25">
      <x:c r="A30" s="19"/>
      <x:c r="B30" s="174"/>
      <x:c r="C30" s="174"/>
      <x:c r="D30" s="174">
        <x:v>Rollover Savings: </x:v>
      </x:c>
      <x:c r="E30" s="174">
        <x:f ca="1">SUM(E26:E29)</x:f>
      </x:c>
    </x:row>
    <x:row r="32" spans="1:10" ht="15.5" customHeight="1" x14ac:dyDescent="0.25">
      <x:c r="A32"/>
      <x:c r="B32" s="194" t="str">
        <x:v>July 2017 - September 2017</x:v>
      </x:c>
      <x:c r="C32" s="19"/>
      <x:c r="D32" s="19"/>
      <x:c r="E32" s="19"/>
    </x:row>
    <x:row r="33" spans="1:10" ht="27.75" customHeight="1" x14ac:dyDescent="0.25">
      <x:c r="B33" s="47" t="str">
        <x:v>Meter Group</x:v>
      </x:c>
      <x:c r="C33" s="45" t="str">
        <x:v>Rollover Pages For Period</x:v>
      </x:c>
      <x:c r="D33" s="45" t="str">
        <x:v>Pre-FPR CPP</x:v>
      </x:c>
      <x:c r="E33" s="46" t="str">
        <x:v>Rollover Savings</x:v>
      </x:c>
    </x:row>
    <x:row r="34" spans="1:10" x14ac:dyDescent="0.25">
      <x:c r="B34" s="60" t="str">
        <x:v>B/W Copies and B/W Laser Prints</x:v>
      </x:c>
      <x:c r="C34" s="73" t="str">
        <x:v>0</x:v>
      </x:c>
      <x:c r="D34" s="73" t="str">
        <x:v>$ .0331</x:v>
      </x:c>
      <x:c r="E34" s="61" t="n">
        <x:f>=SUM(C34* D34)</x:f>
      </x:c>
    </x:row>
    <x:row r="35" spans="1:10" x14ac:dyDescent="0.25">
      <x:c r="B35" s="60" t="str">
        <x:v>Color Copier (Color Pages)</x:v>
      </x:c>
      <x:c r="C35" s="73" t="str">
        <x:v>5,358</x:v>
      </x:c>
      <x:c r="D35" s="73" t="str">
        <x:v>$ .5966</x:v>
      </x:c>
      <x:c r="E35" s="61" t="n">
        <x:f>=SUM(C35* D35)</x:f>
      </x:c>
    </x:row>
    <x:row r="36" spans="1:10" x14ac:dyDescent="0.25">
      <x:c r="B36" s="58" t="str">
        <x:v>Color Laser Prints</x:v>
      </x:c>
      <x:c r="C36" s="6" t="str">
        <x:v>0</x:v>
      </x:c>
      <x:c r="D36" s="6" t="str">
        <x:v>$ .0954</x:v>
      </x:c>
      <x:c r="E36" s="59" t="str">
        <x:f>=SUM(C36* D36)</x:f>
      </x:c>
    </x:row>
    <x:row r="37" spans="1:10" x14ac:dyDescent="0.25">
      <x:c r="A37" s="19"/>
      <x:c r="B37" s="174"/>
      <x:c r="C37" s="174"/>
      <x:c r="D37" s="174">
        <x:v>Rollover Savings: </x:v>
      </x:c>
      <x:c r="E37" s="174">
        <x:f ca="1">SUM(E33:E36)</x:f>
      </x:c>
    </x:row>
    <x:row r="39" spans="1:10" ht="15.5" customHeight="1" x14ac:dyDescent="0.25">
      <x:c r="A39"/>
      <x:c r="B39" s="194" t="str">
        <x:v>April 2017 - June 2017</x:v>
      </x:c>
      <x:c r="C39" s="19"/>
      <x:c r="D39" s="19"/>
      <x:c r="E39" s="19"/>
    </x:row>
    <x:row r="40" spans="1:10" ht="27.75" customHeight="1" x14ac:dyDescent="0.25">
      <x:c r="B40" s="47" t="str">
        <x:v>Meter Group</x:v>
      </x:c>
      <x:c r="C40" s="45" t="str">
        <x:v>Rollover Pages For Period</x:v>
      </x:c>
      <x:c r="D40" s="45" t="str">
        <x:v>Pre-FPR CPP</x:v>
      </x:c>
      <x:c r="E40" s="46" t="str">
        <x:v>Rollover Savings</x:v>
      </x:c>
    </x:row>
    <x:row r="41" spans="1:10" x14ac:dyDescent="0.25">
      <x:c r="B41" s="58" t="str">
        <x:v>B/W Copies and B/W Laser Prints</x:v>
      </x:c>
      <x:c r="C41" s="6" t="str">
        <x:v>13,977</x:v>
      </x:c>
      <x:c r="D41" s="6" t="str">
        <x:v>$ .0331</x:v>
      </x:c>
      <x:c r="E41" s="59" t="str">
        <x:f>=SUM(C41* D41)</x:f>
      </x:c>
    </x:row>
    <x:row r="42" spans="1:10" x14ac:dyDescent="0.25">
      <x:c r="B42" s="60" t="str">
        <x:v>Color Copier (Color Pages)</x:v>
      </x:c>
      <x:c r="C42" s="73" t="str">
        <x:v>7,212</x:v>
      </x:c>
      <x:c r="D42" s="73" t="str">
        <x:v>$ .5966</x:v>
      </x:c>
      <x:c r="E42" s="61" t="n">
        <x:f>=SUM(C42* D42)</x:f>
      </x:c>
    </x:row>
    <x:row r="43" spans="1:10" x14ac:dyDescent="0.25">
      <x:c r="B43" s="60" t="str">
        <x:v>Color Laser Prints</x:v>
      </x:c>
      <x:c r="C43" s="73" t="str">
        <x:v>0</x:v>
      </x:c>
      <x:c r="D43" s="73" t="str">
        <x:v>$ .0954</x:v>
      </x:c>
      <x:c r="E43" s="61" t="n">
        <x:f>=SUM(C43* D43)</x:f>
      </x:c>
    </x:row>
    <x:row r="44" spans="1:10" x14ac:dyDescent="0.25">
      <x:c r="A44" s="19"/>
      <x:c r="B44" s="174"/>
      <x:c r="C44" s="174"/>
      <x:c r="D44" s="174">
        <x:v>Rollover Savings: </x:v>
      </x:c>
      <x:c r="E44" s="174">
        <x:f ca="1">SUM(E40:E43)</x:f>
      </x:c>
    </x:row>
    <x:row r="46" spans="1:10" ht="15.5" customHeight="1" x14ac:dyDescent="0.25">
      <x:c r="A46"/>
      <x:c r="B46" s="194" t="str">
        <x:v>January 2017 - March 2017</x:v>
      </x:c>
      <x:c r="C46" s="19"/>
      <x:c r="D46" s="19"/>
      <x:c r="E46" s="19"/>
    </x:row>
    <x:row r="47" spans="1:10" ht="27.75" customHeight="1" x14ac:dyDescent="0.25">
      <x:c r="B47" s="47" t="str">
        <x:v>Meter Group</x:v>
      </x:c>
      <x:c r="C47" s="45" t="str">
        <x:v>Rollover Pages For Period</x:v>
      </x:c>
      <x:c r="D47" s="45" t="str">
        <x:v>Pre-FPR CPP</x:v>
      </x:c>
      <x:c r="E47" s="46" t="str">
        <x:v>Rollover Savings</x:v>
      </x:c>
    </x:row>
    <x:row r="48" spans="1:10" x14ac:dyDescent="0.25">
      <x:c r="B48" s="58" t="str">
        <x:v>B/W Copies and B/W Laser Prints</x:v>
      </x:c>
      <x:c r="C48" s="6" t="str">
        <x:v>55,728</x:v>
      </x:c>
      <x:c r="D48" s="6" t="str">
        <x:v>$ .0331</x:v>
      </x:c>
      <x:c r="E48" s="59" t="str">
        <x:f>=SUM(C48* D48)</x:f>
      </x:c>
    </x:row>
    <x:row r="49" spans="1:10" x14ac:dyDescent="0.25">
      <x:c r="B49" s="58" t="str">
        <x:v>Color Copier (Color Pages)</x:v>
      </x:c>
      <x:c r="C49" s="6" t="str">
        <x:v>9,779</x:v>
      </x:c>
      <x:c r="D49" s="6" t="str">
        <x:v>$ .5966</x:v>
      </x:c>
      <x:c r="E49" s="59" t="str">
        <x:f>=SUM(C49* D49)</x:f>
      </x:c>
    </x:row>
    <x:row r="50" spans="1:10" x14ac:dyDescent="0.25">
      <x:c r="B50" s="60" t="str">
        <x:v>Color Laser Prints</x:v>
      </x:c>
      <x:c r="C50" s="73" t="str">
        <x:v>0</x:v>
      </x:c>
      <x:c r="D50" s="73" t="str">
        <x:v>$ .0954</x:v>
      </x:c>
      <x:c r="E50" s="61" t="n">
        <x:f>=SUM(C50* D50)</x:f>
      </x:c>
    </x:row>
    <x:row r="51" spans="1:10" x14ac:dyDescent="0.25">
      <x:c r="A51" s="19"/>
      <x:c r="B51" s="174"/>
      <x:c r="C51" s="174"/>
      <x:c r="D51" s="174">
        <x:v>Rollover Savings: </x:v>
      </x:c>
      <x:c r="E51" s="174">
        <x:f ca="1">SUM(E47:E50)</x:f>
      </x:c>
    </x:row>
    <x:row r="53" spans="1:10" ht="15.5" customHeight="1" x14ac:dyDescent="0.25">
      <x:c r="A53"/>
      <x:c r="B53" s="194" t="str">
        <x:v>October 2016 - December 2016</x:v>
      </x:c>
      <x:c r="C53" s="19"/>
      <x:c r="D53" s="19"/>
      <x:c r="E53" s="19"/>
    </x:row>
    <x:row r="54" spans="1:10" ht="27.75" customHeight="1" x14ac:dyDescent="0.25">
      <x:c r="B54" s="47" t="str">
        <x:v>Meter Group</x:v>
      </x:c>
      <x:c r="C54" s="45" t="str">
        <x:v>Rollover Pages For Period</x:v>
      </x:c>
      <x:c r="D54" s="45" t="str">
        <x:v>Pre-FPR CPP</x:v>
      </x:c>
      <x:c r="E54" s="46" t="str">
        <x:v>Rollover Savings</x:v>
      </x:c>
    </x:row>
    <x:row r="55" spans="1:10" x14ac:dyDescent="0.25">
      <x:c r="B55" s="60" t="str">
        <x:v>B/W Copies and B/W Laser Prints</x:v>
      </x:c>
      <x:c r="C55" s="73" t="str">
        <x:v>0</x:v>
      </x:c>
      <x:c r="D55" s="73" t="str">
        <x:v>$ .0331</x:v>
      </x:c>
      <x:c r="E55" s="61" t="n">
        <x:f>=SUM(C55* D55)</x:f>
      </x:c>
    </x:row>
    <x:row r="56" spans="1:10" x14ac:dyDescent="0.25">
      <x:c r="B56" s="58" t="str">
        <x:v>Color Copier (Color Pages)</x:v>
      </x:c>
      <x:c r="C56" s="6" t="str">
        <x:v>0</x:v>
      </x:c>
      <x:c r="D56" s="6" t="str">
        <x:v>$ .5966</x:v>
      </x:c>
      <x:c r="E56" s="59" t="str">
        <x:f>=SUM(C56* D56)</x:f>
      </x:c>
    </x:row>
    <x:row r="57" spans="1:10" x14ac:dyDescent="0.25">
      <x:c r="B57" s="58" t="str">
        <x:v>Color Laser Prints</x:v>
      </x:c>
      <x:c r="C57" s="6" t="str">
        <x:v>0</x:v>
      </x:c>
      <x:c r="D57" s="6" t="str">
        <x:v>$ .0954</x:v>
      </x:c>
      <x:c r="E57" s="59" t="str">
        <x:f>=SUM(C57* D57)</x:f>
      </x:c>
    </x:row>
    <x:row r="58" spans="1:10" x14ac:dyDescent="0.25">
      <x:c r="A58" s="19"/>
      <x:c r="B58" s="174"/>
      <x:c r="C58" s="174"/>
      <x:c r="D58" s="174">
        <x:v>Rollover Savings: </x:v>
      </x:c>
      <x:c r="E58" s="174">
        <x:f ca="1">SUM(E54:E57)</x:f>
      </x:c>
    </x:row>
    <x:row r="60" spans="1:10" ht="15.5" customHeight="1" x14ac:dyDescent="0.25">
      <x:c r="A60"/>
      <x:c r="B60" s="194" t="str">
        <x:v>July 2016 - September 2016</x:v>
      </x:c>
      <x:c r="C60" s="19"/>
      <x:c r="D60" s="19"/>
      <x:c r="E60" s="19"/>
    </x:row>
    <x:row r="61" spans="1:10" ht="27.75" customHeight="1" x14ac:dyDescent="0.25">
      <x:c r="B61" s="47" t="str">
        <x:v>Meter Group</x:v>
      </x:c>
      <x:c r="C61" s="45" t="str">
        <x:v>Rollover Pages For Period</x:v>
      </x:c>
      <x:c r="D61" s="45" t="str">
        <x:v>Pre-FPR CPP</x:v>
      </x:c>
      <x:c r="E61" s="46" t="str">
        <x:v>Rollover Savings</x:v>
      </x:c>
    </x:row>
    <x:row r="62" spans="1:10" x14ac:dyDescent="0.25">
      <x:c r="B62" s="60" t="str">
        <x:v>B/W Copies and B/W Laser Prints</x:v>
      </x:c>
      <x:c r="C62" s="73" t="str">
        <x:v>41,162</x:v>
      </x:c>
      <x:c r="D62" s="73" t="str">
        <x:v>$ .0331</x:v>
      </x:c>
      <x:c r="E62" s="61" t="n">
        <x:f>=SUM(C62* D62)</x:f>
      </x:c>
    </x:row>
    <x:row r="63" spans="1:10" x14ac:dyDescent="0.25">
      <x:c r="B63" s="60" t="str">
        <x:v>Color Copier (Color Pages)</x:v>
      </x:c>
      <x:c r="C63" s="73" t="str">
        <x:v>8,899</x:v>
      </x:c>
      <x:c r="D63" s="73" t="str">
        <x:v>$ .5966</x:v>
      </x:c>
      <x:c r="E63" s="61" t="n">
        <x:f>=SUM(C63* D63)</x:f>
      </x:c>
    </x:row>
    <x:row r="64" spans="1:10" x14ac:dyDescent="0.25">
      <x:c r="B64" s="58" t="str">
        <x:v>Color Laser Prints</x:v>
      </x:c>
      <x:c r="C64" s="6" t="str">
        <x:v>10,023</x:v>
      </x:c>
      <x:c r="D64" s="6" t="str">
        <x:v>$ .0954</x:v>
      </x:c>
      <x:c r="E64" s="59" t="str">
        <x:f>=SUM(C64* D64)</x:f>
      </x:c>
    </x:row>
    <x:row r="65" spans="1:10" x14ac:dyDescent="0.25">
      <x:c r="A65" s="19"/>
      <x:c r="B65" s="174"/>
      <x:c r="C65" s="174"/>
      <x:c r="D65" s="174">
        <x:v>Rollover Savings: </x:v>
      </x:c>
      <x:c r="E65" s="174">
        <x:f ca="1">SUM(E61:E64)</x:f>
      </x:c>
    </x:row>
    <x:row r="67" spans="1:10" ht="15.5" customHeight="1" x14ac:dyDescent="0.25">
      <x:c r="A67"/>
      <x:c r="B67" s="194" t="str">
        <x:v>April 2016 - June 2016</x:v>
      </x:c>
      <x:c r="C67" s="19"/>
      <x:c r="D67" s="19"/>
      <x:c r="E67" s="19"/>
    </x:row>
    <x:row r="68" spans="1:10" ht="27.75" customHeight="1" x14ac:dyDescent="0.25">
      <x:c r="B68" s="47" t="str">
        <x:v>Meter Group</x:v>
      </x:c>
      <x:c r="C68" s="45" t="str">
        <x:v>Rollover Pages For Period</x:v>
      </x:c>
      <x:c r="D68" s="45" t="str">
        <x:v>Pre-FPR CPP</x:v>
      </x:c>
      <x:c r="E68" s="46" t="str">
        <x:v>Rollover Savings</x:v>
      </x:c>
    </x:row>
    <x:row r="69" spans="1:10" x14ac:dyDescent="0.25">
      <x:c r="B69" s="58" t="str">
        <x:v>B/W Copies and B/W Laser Prints</x:v>
      </x:c>
      <x:c r="C69" s="6" t="str">
        <x:v>33,320</x:v>
      </x:c>
      <x:c r="D69" s="6" t="str">
        <x:v>$ .0331</x:v>
      </x:c>
      <x:c r="E69" s="59" t="str">
        <x:f>=SUM(C69* D69)</x:f>
      </x:c>
    </x:row>
    <x:row r="70" spans="1:10" x14ac:dyDescent="0.25">
      <x:c r="B70" s="60" t="str">
        <x:v>Color Copier (Color Pages)</x:v>
      </x:c>
      <x:c r="C70" s="73" t="str">
        <x:v>0</x:v>
      </x:c>
      <x:c r="D70" s="73" t="str">
        <x:v>$ .5966</x:v>
      </x:c>
      <x:c r="E70" s="61" t="n">
        <x:f>=SUM(C70* D70)</x:f>
      </x:c>
    </x:row>
    <x:row r="71" spans="1:10" x14ac:dyDescent="0.25">
      <x:c r="B71" s="60" t="str">
        <x:v>Color Laser Prints</x:v>
      </x:c>
      <x:c r="C71" s="73" t="str">
        <x:v>214</x:v>
      </x:c>
      <x:c r="D71" s="73" t="str">
        <x:v>$ .0954</x:v>
      </x:c>
      <x:c r="E71" s="61" t="n">
        <x:f>=SUM(C71* D71)</x:f>
      </x:c>
    </x:row>
    <x:row r="72" spans="1:10" x14ac:dyDescent="0.25">
      <x:c r="A72" s="19"/>
      <x:c r="B72" s="174"/>
      <x:c r="C72" s="174"/>
      <x:c r="D72" s="174">
        <x:v>Rollover Savings: </x:v>
      </x:c>
      <x:c r="E72" s="174">
        <x:f ca="1">SUM(E68:E71)</x:f>
      </x:c>
    </x:row>
    <x:row r="74" spans="1:10" ht="15.5" customHeight="1" x14ac:dyDescent="0.25">
      <x:c r="A74"/>
      <x:c r="B74" s="194" t="str">
        <x:v>January 2016 - March 2016</x:v>
      </x:c>
      <x:c r="C74" s="19"/>
      <x:c r="D74" s="19"/>
      <x:c r="E74" s="19"/>
    </x:row>
    <x:row r="75" spans="1:10" ht="27.75" customHeight="1" x14ac:dyDescent="0.25">
      <x:c r="B75" s="47" t="str">
        <x:v>Meter Group</x:v>
      </x:c>
      <x:c r="C75" s="45" t="str">
        <x:v>Rollover Pages For Period</x:v>
      </x:c>
      <x:c r="D75" s="45" t="str">
        <x:v>Pre-FPR CPP</x:v>
      </x:c>
      <x:c r="E75" s="46" t="str">
        <x:v>Rollover Savings</x:v>
      </x:c>
    </x:row>
    <x:row r="76" spans="1:10" x14ac:dyDescent="0.25">
      <x:c r="B76" s="58" t="str">
        <x:v>B/W Copies and B/W Laser Prints</x:v>
      </x:c>
      <x:c r="C76" s="6" t="str">
        <x:v>52,382</x:v>
      </x:c>
      <x:c r="D76" s="6" t="str">
        <x:v>$ .0331</x:v>
      </x:c>
      <x:c r="E76" s="59" t="str">
        <x:f>=SUM(C76* D76)</x:f>
      </x:c>
    </x:row>
    <x:row r="77" spans="1:10" x14ac:dyDescent="0.25">
      <x:c r="B77" s="58" t="str">
        <x:v>Color Copier (Color Pages)</x:v>
      </x:c>
      <x:c r="C77" s="6" t="str">
        <x:v>9,683</x:v>
      </x:c>
      <x:c r="D77" s="6" t="str">
        <x:v>$ .5966</x:v>
      </x:c>
      <x:c r="E77" s="59" t="str">
        <x:f>=SUM(C77* D77)</x:f>
      </x:c>
    </x:row>
    <x:row r="78" spans="1:10" x14ac:dyDescent="0.25">
      <x:c r="B78" s="60" t="str">
        <x:v>Color Laser Prints</x:v>
      </x:c>
      <x:c r="C78" s="73" t="str">
        <x:v>11,906</x:v>
      </x:c>
      <x:c r="D78" s="73" t="str">
        <x:v>$ .0954</x:v>
      </x:c>
      <x:c r="E78" s="61" t="n">
        <x:f>=SUM(C78* D78)</x:f>
      </x:c>
    </x:row>
    <x:row r="79" spans="1:10" x14ac:dyDescent="0.25">
      <x:c r="A79" s="19"/>
      <x:c r="B79" s="174"/>
      <x:c r="C79" s="174"/>
      <x:c r="D79" s="174">
        <x:v>Rollover Savings: </x:v>
      </x:c>
      <x:c r="E79" s="174">
        <x:f ca="1">SUM(E75:E78)</x:f>
      </x:c>
    </x:row>
    <x:row r="81" spans="1:10" x14ac:dyDescent="0.25">
      <x:c r="B81" s="6"/>
      <x:c r="C81" s="6"/>
      <x:c r="D81" s="174">
        <x:v>Total Rollover Savings: </x:v>
      </x:c>
      <x:c r="E81" s="174">
        <x:v>39407.00720000000</x:v>
      </x:c>
    </x:row>
  </x:sheetData>
  <x:mergeCells count="3">
    <x:mergeCell ref="A1:G1"/>
    <x:mergeCell ref="A2:G2"/>
    <x:mergeCell ref="A3:G3"/>
  </x:mergeCells>
  <x:dataValidations count="1">
    <x:dataValidation allowBlank="1" showInputMessage="1" sqref="C7:D27"/>
  </x:dataValidations>
  <x:printOptions horizontalCentered="1"/>
  <x:pageMargins left="0.553" right="0.333" top="1.3958333333333333" bottom="0.94791666666666663" header="0.3" footer="0.3"/>
  <x:pageSetup orientation="landscape" r:id="rId1"/>
  <x:headerFooter>
    <x:oddHeader>&amp;C&amp;G</x:oddHeader>
    <x:oddFooter>&amp;C&amp;G</x:oddFooter>
  </x:headerFooter>
  <x:legacyDrawingHF r:id="rId2"/>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6"/>
  <x:dimension ref="A1:F12"/>
  <x:sheetViews>
    <x:sheetView showGridLines="0" view="pageLayout" zoomScaleNormal="100" workbookViewId="0">
      <x:selection activeCell="B7" sqref="B7"/>
    </x:sheetView>
  </x:sheetViews>
  <x:sheetFormatPr defaultRowHeight="15" x14ac:dyDescent="0.25"/>
  <x:cols>
    <x:col min="1" max="1" width="14.5" style="1" customWidth="1"/>
    <x:col min="2" max="2" width="14.6" style="1" customWidth="1"/>
    <x:col min="3" max="3" width="24.5" style="1" customWidth="1"/>
    <x:col min="4" max="4" width="24.5" style="1" customWidth="1"/>
    <x:col min="5" max="5" width="15.57" style="1" customWidth="1"/>
    <x:col min="6" max="7" width="12.140625" style="5" customWidth="1"/>
  </x:cols>
  <x:sheetData>
    <x:row r="1" spans="1:10" ht="15.75" x14ac:dyDescent="0.25">
      <x:c r="A1" s="125" t="str">
        <x:f ca="1">SETUP!$B$2</x:f>
        <x:v>?</x:v>
      </x:c>
      <x:c r="C1" s="126"/>
      <x:c r="D1" s="126"/>
      <x:c r="E1" s="126"/>
      <x:c r="F1" s="126"/>
    </x:row>
    <x:row r="2" spans="1:10" x14ac:dyDescent="0.25">
      <x:c r="A2" s="123" t="str">
        <x:f ca="1">="Model Matrix Period Ending "&amp;TEXT(SETUP!$B$4,"MMMMMMMMM DD, YYYY")&amp;""</x:f>
        <x:v>="Model Matrix Period Ending "&amp;TEXT(SETUP!$B$4,"MMMMMMMMM DD, YYYY")&amp;""</x:v>
      </x:c>
      <x:c r="C2" s="124"/>
      <x:c r="D2" s="124"/>
      <x:c r="E2" s="124"/>
      <x:c r="F2" s="124"/>
    </x:row>
    <x:row r="3" spans="1:10" x14ac:dyDescent="0.25">
      <x:c r="B3" s="199" t="str">
        <x:v>The matrix below displays the quanitity and volume by Model in tabular format.</x:v>
      </x:c>
      <x:c r="C3" s="131"/>
      <x:c r="D3" s="131"/>
      <x:c r="E3" s="131"/>
    </x:row>
    <x:row r="4" spans="1:10" x14ac:dyDescent="0.25">
      <x:c r="A4" s="19"/>
      <x:c r="B4" s="127" t="str"/>
      <x:c r="C4" s="131"/>
      <x:c r="D4" s="131"/>
      <x:c r="E4" s="131"/>
    </x:row>
    <x:row r="5" spans="1:10" ht="51.75" customHeight="1" x14ac:dyDescent="0.25">
      <x:c r="B5" s="47" t="str">
        <x:v>Line #</x:v>
      </x:c>
      <x:c r="C5" s="45" t="str">
        <x:v>Device Type</x:v>
      </x:c>
      <x:c r="D5" s="45" t="str">
        <x:v>Model</x:v>
      </x:c>
      <x:c r="E5" s="45" t="str">
        <x:f ca="1">="(" &amp; Text(Sum(E6:E18),"###,###") &amp; ") 
 Quantity by Model "</x:f>
      </x:c>
      <x:c r="F5" s="46" t="str">
        <x:f ca="1">="(" &amp; Text(Sum(F6:F18),"###,###") &amp; ")
 Volume by Model "</x:f>
      </x:c>
    </x:row>
    <x:row r="6" spans="1:10" x14ac:dyDescent="0.25">
      <x:c r="B6" s="60" t="str">
        <x:v>1</x:v>
      </x:c>
      <x:c r="C6" s="73" t="str">
        <x:v>B/W MFP</x:v>
      </x:c>
      <x:c r="D6" s="73" t="str">
        <x:v>HP LJ M425</x:v>
      </x:c>
      <x:c r="E6" s="73" t="n">
        <x:v>6</x:v>
      </x:c>
      <x:c r="F6" s="98" t="n">
        <x:v>37930.000000</x:v>
      </x:c>
    </x:row>
    <x:row r="7" spans="1:10" x14ac:dyDescent="0.25">
      <x:c r="B7" s="60" t="str">
        <x:v>2</x:v>
      </x:c>
      <x:c r="C7" s="73" t="str">
        <x:v>B/W MFP</x:v>
      </x:c>
      <x:c r="D7" s="73" t="str">
        <x:v>HP LJ M426fdn</x:v>
      </x:c>
      <x:c r="E7" s="73" t="n">
        <x:v>1</x:v>
      </x:c>
      <x:c r="F7" s="98" t="n">
        <x:v>1605.000000</x:v>
      </x:c>
    </x:row>
    <x:row r="8" spans="1:10" x14ac:dyDescent="0.25">
      <x:c r="B8" s="58" t="str">
        <x:v>3</x:v>
      </x:c>
      <x:c r="C8" s="6" t="str">
        <x:v>B/W MFP</x:v>
      </x:c>
      <x:c r="D8" s="6" t="str">
        <x:v>HP LJ M525</x:v>
      </x:c>
      <x:c r="E8" s="6" t="n">
        <x:v>4</x:v>
      </x:c>
      <x:c r="F8" s="91" t="n">
        <x:v>20944.000000</x:v>
      </x:c>
    </x:row>
    <x:row r="9" spans="1:10" x14ac:dyDescent="0.25">
      <x:c r="B9" s="58" t="str">
        <x:v>4</x:v>
      </x:c>
      <x:c r="C9" s="6" t="str">
        <x:v>B/W MFP</x:v>
      </x:c>
      <x:c r="D9" s="6" t="str">
        <x:v>HP LJ M630 MFP</x:v>
      </x:c>
      <x:c r="E9" s="6" t="n">
        <x:v>3</x:v>
      </x:c>
      <x:c r="F9" s="91" t="n">
        <x:v>48885.000000</x:v>
      </x:c>
    </x:row>
    <x:row r="10" spans="1:10" x14ac:dyDescent="0.25">
      <x:c r="B10" s="60" t="str">
        <x:v>5</x:v>
      </x:c>
      <x:c r="C10" s="73" t="str">
        <x:v>B/W Printer</x:v>
      </x:c>
      <x:c r="D10" s="73" t="str">
        <x:v>HP LJ M401dn</x:v>
      </x:c>
      <x:c r="E10" s="73" t="n">
        <x:v>7</x:v>
      </x:c>
      <x:c r="F10" s="98" t="n">
        <x:v>20668.000000</x:v>
      </x:c>
    </x:row>
    <x:row r="11" spans="1:10" x14ac:dyDescent="0.25">
      <x:c r="B11" s="60" t="str">
        <x:v>6</x:v>
      </x:c>
      <x:c r="C11" s="73" t="str">
        <x:v>B/W Printer</x:v>
      </x:c>
      <x:c r="D11" s="73" t="str">
        <x:v>HP LJ M401n</x:v>
      </x:c>
      <x:c r="E11" s="73" t="n">
        <x:v>13</x:v>
      </x:c>
      <x:c r="F11" s="98" t="n">
        <x:v>13808.000000</x:v>
      </x:c>
    </x:row>
    <x:row r="12" spans="1:10" x14ac:dyDescent="0.25">
      <x:c r="B12" s="58" t="str">
        <x:v>7</x:v>
      </x:c>
      <x:c r="C12" s="6" t="str">
        <x:v>B/W Printer</x:v>
      </x:c>
      <x:c r="D12" s="6" t="str">
        <x:v>HP LJ M402n</x:v>
      </x:c>
      <x:c r="E12" s="6" t="n">
        <x:v>5</x:v>
      </x:c>
      <x:c r="F12" s="91" t="n">
        <x:v>28589.000000</x:v>
      </x:c>
    </x:row>
    <x:row r="13" spans="1:10" x14ac:dyDescent="0.25">
      <x:c r="B13" s="58" t="str">
        <x:v>8</x:v>
      </x:c>
      <x:c r="C13" s="6" t="str">
        <x:v>B/W Printer</x:v>
      </x:c>
      <x:c r="D13" s="6" t="str">
        <x:v>HP LJ M521dn</x:v>
      </x:c>
      <x:c r="E13" s="6" t="n">
        <x:v>9</x:v>
      </x:c>
      <x:c r="F13" s="91" t="n">
        <x:v>59220.000000</x:v>
      </x:c>
    </x:row>
    <x:row r="14" spans="1:10" x14ac:dyDescent="0.25">
      <x:c r="B14" s="60" t="str">
        <x:v>9</x:v>
      </x:c>
      <x:c r="C14" s="73" t="str">
        <x:v>B/W Printer</x:v>
      </x:c>
      <x:c r="D14" s="73" t="str">
        <x:v>HP LJ P3015</x:v>
      </x:c>
      <x:c r="E14" s="73" t="n">
        <x:v>18</x:v>
      </x:c>
      <x:c r="F14" s="98" t="n">
        <x:v>18469.000000</x:v>
      </x:c>
    </x:row>
    <x:row r="15" spans="1:10" x14ac:dyDescent="0.25">
      <x:c r="B15" s="60" t="str">
        <x:v>10</x:v>
      </x:c>
      <x:c r="C15" s="73" t="str">
        <x:v>Color Copier</x:v>
      </x:c>
      <x:c r="D15" s="73" t="str">
        <x:v>Konica Minolta BizHub C454e</x:v>
      </x:c>
      <x:c r="E15" s="73" t="n">
        <x:v>4</x:v>
      </x:c>
      <x:c r="F15" s="98" t="n">
        <x:v>19643.000000</x:v>
      </x:c>
    </x:row>
    <x:row r="16" spans="1:10" x14ac:dyDescent="0.25">
      <x:c r="B16" s="58" t="str">
        <x:v>11</x:v>
      </x:c>
      <x:c r="C16" s="6" t="str">
        <x:v>color mfp</x:v>
      </x:c>
      <x:c r="D16" s="6" t="str">
        <x:v>HP CLJ M575</x:v>
      </x:c>
      <x:c r="E16" s="6" t="n">
        <x:v>4</x:v>
      </x:c>
      <x:c r="F16" s="91" t="n">
        <x:v>36271.000000</x:v>
      </x:c>
    </x:row>
    <x:row r="17" spans="1:10" x14ac:dyDescent="0.25">
      <x:c r="B17" s="58" t="str">
        <x:v>12</x:v>
      </x:c>
      <x:c r="C17" s="6" t="str">
        <x:v>color mfp</x:v>
      </x:c>
      <x:c r="D17" s="6" t="str">
        <x:v>HP CLJ M577</x:v>
      </x:c>
      <x:c r="E17" s="6" t="n">
        <x:v>2</x:v>
      </x:c>
      <x:c r="F17" s="91" t="n">
        <x:v>6665.000000</x:v>
      </x:c>
    </x:row>
    <x:row r="18" spans="1:7" x14ac:dyDescent="0.25">
      <x:c r="B18" s="92"/>
      <x:c r="C18" s="120"/>
      <x:c r="D18" s="120"/>
      <x:c r="E18" s="120"/>
      <x:c r="F18" s="121"/>
    </x:row>
  </x:sheetData>
  <x:mergeCells count="4">
    <x:mergeCell ref="A1:H1"/>
    <x:mergeCell ref="A2:H2"/>
    <x:mergeCell ref="B3:F3"/>
    <x:mergeCell ref="A4:H4"/>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1"/>
  <x:sheetViews>
    <x:sheetView showGridLines="0" view="pageLayout" zoomScaleNormal="100" workbookViewId="0">
      <x:selection activeCell="A7" sqref="A7"/>
    </x:sheetView>
  </x:sheetViews>
  <x:sheetFormatPr defaultRowHeight="15" x14ac:dyDescent="0.25"/>
  <x:cols>
    <x:col min="1" max="1" width="14.28515625" style="1" customWidth="1"/>
    <x:col min="2" max="2" width="19.140625" style="1" customWidth="1"/>
    <x:col min="3" max="3" width="10.5" style="12" customWidth="1"/>
    <x:col min="4" max="4" width="12.5" style="1" customWidth="1"/>
    <x:col min="5" max="5" width="13.5" style="1" customWidth="1"/>
    <x:col min="6" max="6" width="10.5" style="12" customWidth="1"/>
    <x:col min="7" max="7" width="10.5" style="12" customWidth="1"/>
    <x:col min="8" max="8" width="11.5" style="12" customWidth="1"/>
    <x:col min="9" max="9" width="11.5" style="12" customWidth="1"/>
    <x:col min="10" max="10" width="12.888" style="12" customWidth="1"/>
  </x:cols>
  <x:sheetData>
    <x:row r="1" spans="1:7" ht="15.75" x14ac:dyDescent="0.25">
      <x:c r="A1" s="125" t="str">
        <x:f ca="1">SETUP!$B$2</x:f>
        <x:v>?</x:v>
      </x:c>
      <x:c r="C1" s="132"/>
      <x:c r="D1" s="132"/>
      <x:c r="E1" s="132"/>
      <x:c r="F1" s="132"/>
      <x:c r="G1" s="132"/>
      <x:c r="H1" s="132"/>
      <x:c r="J1" s="132"/>
    </x:row>
    <x:row r="2" spans="1:7" x14ac:dyDescent="0.25">
      <x:c r="A2" s="123" t="str">
        <x:f ca="1">="REVision Summary Through the Period Ending "&amp;TEXT(SETUP!$B$4,"MMMMMMMM DD, YYYY")&amp;""</x:f>
        <x:v>="REVision Summary Through the Period Ending "&amp;TEXT(SETUP!$B$4,"MMMMMMMM DD, YYYY")&amp;""</x:v>
      </x:c>
      <x:c r="C2" s="132"/>
      <x:c r="D2" s="132"/>
      <x:c r="E2" s="132"/>
      <x:c r="F2" s="132"/>
      <x:c r="G2" s="132"/>
      <x:c r="H2" s="132"/>
      <x:c r="J2" s="123"/>
    </x:row>
    <x:row r="3" spans="1:7" ht="51.5" customHeight="1" x14ac:dyDescent="0.25">
      <x:c r="A3" s="199" t="str">
        <x:v>REVision is a summary of the savings delivered by FPR in two key areas:  a)  the difference in base contract expense with FPR as it compares to your "before" FPR base operating expense and  b) your net savings per period as it relates to the overage expense you incurred with FPR (if applicable) compared to what you "would have" spent in overage expense had you not contracted with FPR to manage this portion of your business.</x:v>
      </x:c>
      <x:c r="A3" s="132"/>
      <x:c r="C3" s="132"/>
      <x:c r="D3" s="132"/>
      <x:c r="E3" s="132"/>
      <x:c r="F3" s="132"/>
      <x:c r="G3" s="132"/>
      <x:c r="H3" s="132"/>
    </x:row>
    <x:row r="4" spans="1:7" ht="15" customHeight="1" x14ac:dyDescent="0.25"/>
    <x:row r="5" spans="1:7" ht="34.5" x14ac:dyDescent="0.25">
      <x:c r="B5" s="47" t="str">
        <x:v>Reconciliation Period</x:v>
      </x:c>
      <x:c r="C5" s="45" t="str">
        <x:v>Old Cost</x:v>
      </x:c>
      <x:c r="D5" s="45" t="str">
        <x:v>Overage Cost W/O FPR</x:v>
      </x:c>
      <x:c r="E5" s="45" t="str">
        <x:v>Credits</x:v>
      </x:c>
      <x:c r="F5" s="45" t="str">
        <x:v>New Cost</x:v>
      </x:c>
      <x:c r="G5" s="45" t="str">
        <x:v>FPR Overage Cost</x:v>
      </x:c>
      <x:c r="H5" s="45" t="str">
        <x:v>Savings / Expense Increase</x:v>
      </x:c>
      <x:c r="I5" s="46" t="str">
        <x:v>Percent Savings</x:v>
      </x:c>
    </x:row>
    <x:row r="6" spans="1:9" ht="17.2" customHeight="1" x14ac:dyDescent="0.2">
      <x:c r="B6" s="169" t="str">
        <x:v>Jul - Oct 2018</x:v>
      </x:c>
      <x:c r="C6" s="75">
        <x:v>29124.00</x:v>
      </x:c>
      <x:c r="D6" s="75" t="n">
        <x:v>2288.917200000000</x:v>
      </x:c>
      <x:c r="E6" s="75">
        <x:v>0</x:v>
      </x:c>
      <x:c r="F6" s="75">
        <x:v>24300.00</x:v>
      </x:c>
      <x:c r="G6" s="75">
        <x:v>1244.736000000000</x:v>
      </x:c>
      <x:c r="H6" s="75">
        <x:f ca="1">SUM((C6+D6)-(-E6+F6+G6))</x:f>
        <x:v/>
      </x:c>
      <x:c r="I6" s="168">
        <x:f ca="1">IF(G6 = "","",SUM((C6+D6)-(F6+G6-E6))/ (C6+D6))</x:f>
      </x:c>
    </x:row>
    <x:row r="7" spans="1:9" ht="17.2" customHeight="1" x14ac:dyDescent="0.2">
      <x:c r="B7" s="171" t="str">
        <x:v>Apr - Jun 2018</x:v>
      </x:c>
      <x:c r="C7" s="17">
        <x:v>21843.00</x:v>
      </x:c>
      <x:c r="D7" s="17" t="n">
        <x:v>2365.742400000000</x:v>
      </x:c>
      <x:c r="E7" s="17">
        <x:v>0</x:v>
      </x:c>
      <x:c r="F7" s="17">
        <x:v>18225.00</x:v>
      </x:c>
      <x:c r="G7" s="17">
        <x:v>400.752000000000</x:v>
      </x:c>
      <x:c r="H7" s="17">
        <x:f ca="1">SUM((C7+D7)-(-E7+F7+G7))</x:f>
        <x:v/>
      </x:c>
      <x:c r="I7" s="170">
        <x:f ca="1">IF(G7 = "","",SUM((C7+D7)-(F7+G7-E7))/ (C7+D7) )</x:f>
      </x:c>
    </x:row>
    <x:row r="8" spans="1:9" ht="17.2" customHeight="1" x14ac:dyDescent="0.2">
      <x:c r="B8" s="169" t="str">
        <x:v>Jan - Mar 2018</x:v>
      </x:c>
      <x:c r="C8" s="75">
        <x:v>21843.00</x:v>
      </x:c>
      <x:c r="D8" s="75" t="n">
        <x:v>616.700400000000</x:v>
      </x:c>
      <x:c r="E8" s="75">
        <x:v>0</x:v>
      </x:c>
      <x:c r="F8" s="75">
        <x:v>18225.00</x:v>
      </x:c>
      <x:c r="G8" s="75">
        <x:v>0.00</x:v>
      </x:c>
      <x:c r="H8" s="75">
        <x:f ca="1">SUM((C8+D8)-(-E8+F8+G8))</x:f>
        <x:v/>
      </x:c>
      <x:c r="I8" s="168">
        <x:f ca="1">IF(G8 = "","",SUM((C8+D8)-(F8+G8-E8))/ (C8+D8))</x:f>
      </x:c>
    </x:row>
    <x:row r="9" spans="1:9" ht="17.2" customHeight="1" x14ac:dyDescent="0.2">
      <x:c r="B9" s="171" t="str">
        <x:v>Oct - Dec 2017</x:v>
      </x:c>
      <x:c r="C9" s="17">
        <x:v>21843.00</x:v>
      </x:c>
      <x:c r="D9" s="17" t="n">
        <x:v>0.00</x:v>
      </x:c>
      <x:c r="E9" s="17">
        <x:v>0</x:v>
      </x:c>
      <x:c r="F9" s="17">
        <x:v>18225.00</x:v>
      </x:c>
      <x:c r="G9" s="17">
        <x:v>0.00</x:v>
      </x:c>
      <x:c r="H9" s="17">
        <x:f ca="1">SUM((C9+D9)-(-E9+F9+G9))</x:f>
        <x:v/>
      </x:c>
      <x:c r="I9" s="170">
        <x:f ca="1">IF(G9 = "","",SUM((C9+D9)-(F9+G9-E9))/ (C9+D9) )</x:f>
      </x:c>
    </x:row>
    <x:row r="10" spans="1:9" ht="17.2" customHeight="1" x14ac:dyDescent="0.2">
      <x:c r="B10" s="169" t="str">
        <x:v>Jul - Sep 2017</x:v>
      </x:c>
      <x:c r="C10" s="75">
        <x:v>21843.00</x:v>
      </x:c>
      <x:c r="D10" s="75" t="n">
        <x:v>946.071600000000</x:v>
      </x:c>
      <x:c r="E10" s="75">
        <x:v>0</x:v>
      </x:c>
      <x:c r="F10" s="75">
        <x:v>18225.00</x:v>
      </x:c>
      <x:c r="G10" s="75">
        <x:v>0.00</x:v>
      </x:c>
      <x:c r="H10" s="75">
        <x:f ca="1">SUM((C10+D10)-(-E10+F10+G10))</x:f>
        <x:v/>
      </x:c>
      <x:c r="I10" s="168">
        <x:f ca="1">IF(G10 = "","",SUM((C10+D10)-(F10+G10-E10))/ (C10+D10))</x:f>
      </x:c>
    </x:row>
    <x:row r="11" spans="1:9" ht="17.2" customHeight="1" x14ac:dyDescent="0.2">
      <x:c r="B11" s="171" t="str">
        <x:v>Apr - Jun 2017</x:v>
      </x:c>
      <x:c r="C11" s="17">
        <x:v>21843.00</x:v>
      </x:c>
      <x:c r="D11" s="17" t="n">
        <x:v>228.384000000000</x:v>
      </x:c>
      <x:c r="E11" s="17">
        <x:v>0</x:v>
      </x:c>
      <x:c r="F11" s="17">
        <x:v>18225.00</x:v>
      </x:c>
      <x:c r="G11" s="17">
        <x:v>0.00</x:v>
      </x:c>
      <x:c r="H11" s="17">
        <x:f ca="1">SUM((C11+D11)-(-E11+F11+G11))</x:f>
        <x:v/>
      </x:c>
      <x:c r="I11" s="170">
        <x:f ca="1">IF(G11 = "","",SUM((C11+D11)-(F11+G11-E11))/ (C11+D11) )</x:f>
      </x:c>
    </x:row>
    <x:row r="12" spans="1:9" ht="17.2" customHeight="1" x14ac:dyDescent="0.2">
      <x:c r="B12" s="169" t="str">
        <x:v>Jan - Mar 2017</x:v>
      </x:c>
      <x:c r="C12" s="75">
        <x:v>21843.00</x:v>
      </x:c>
      <x:c r="D12" s="75" t="n">
        <x:v>1323.360000000000</x:v>
      </x:c>
      <x:c r="E12" s="75">
        <x:v>0</x:v>
      </x:c>
      <x:c r="F12" s="75">
        <x:v>18225.00</x:v>
      </x:c>
      <x:c r="G12" s="75">
        <x:v>0.00</x:v>
      </x:c>
      <x:c r="H12" s="75">
        <x:f ca="1">SUM((C12+D12)-(-E12+F12+G12))</x:f>
        <x:v/>
      </x:c>
      <x:c r="I12" s="168">
        <x:f ca="1">IF(G12 = "","",SUM((C12+D12)-(F12+G12-E12))/ (C12+D12))</x:f>
      </x:c>
    </x:row>
    <x:row r="13" spans="1:9" ht="17.2" customHeight="1" x14ac:dyDescent="0.2">
      <x:c r="B13" s="171" t="str">
        <x:v>Oct - Dec 2016</x:v>
      </x:c>
      <x:c r="C13" s="17">
        <x:v>21843.00</x:v>
      </x:c>
      <x:c r="D13" s="17" t="n">
        <x:v>1931.898000000000</x:v>
      </x:c>
      <x:c r="E13" s="17">
        <x:v>0</x:v>
      </x:c>
      <x:c r="F13" s="17">
        <x:v>18225.00</x:v>
      </x:c>
      <x:c r="G13" s="17">
        <x:v>0.00</x:v>
      </x:c>
      <x:c r="H13" s="17">
        <x:f ca="1">SUM((C13+D13)-(-E13+F13+G13))</x:f>
        <x:v/>
      </x:c>
      <x:c r="I13" s="170">
        <x:f ca="1">IF(G13 = "","",SUM((C13+D13)-(F13+G13-E13))/ (C13+D13) )</x:f>
      </x:c>
    </x:row>
    <x:row r="14" spans="1:9" ht="17.2" customHeight="1" x14ac:dyDescent="0.2">
      <x:c r="B14" s="169" t="str">
        <x:v>Jul - Sep 2016</x:v>
      </x:c>
      <x:c r="C14" s="75">
        <x:v>21843.00</x:v>
      </x:c>
      <x:c r="D14" s="75" t="n">
        <x:v>0.00</x:v>
      </x:c>
      <x:c r="E14" s="75">
        <x:v>0</x:v>
      </x:c>
      <x:c r="F14" s="75">
        <x:v>18225.00</x:v>
      </x:c>
      <x:c r="G14" s="75">
        <x:v>0.00</x:v>
      </x:c>
      <x:c r="H14" s="75">
        <x:f ca="1">SUM((C14+D14)-(-E14+F14+G14))</x:f>
        <x:v/>
      </x:c>
      <x:c r="I14" s="168">
        <x:f ca="1">IF(G14 = "","",SUM((C14+D14)-(F14+G14-E14))/ (C14+D14))</x:f>
      </x:c>
    </x:row>
    <x:row r="15" spans="1:9" ht="17.2" customHeight="1" x14ac:dyDescent="0.2">
      <x:c r="B15" s="171" t="str">
        <x:v>Apr - Jun 2016</x:v>
      </x:c>
      <x:c r="C15" s="17">
        <x:v>21843.00</x:v>
      </x:c>
      <x:c r="D15" s="17" t="n">
        <x:v>59.976000000000</x:v>
      </x:c>
      <x:c r="E15" s="17">
        <x:v>0</x:v>
      </x:c>
      <x:c r="F15" s="17">
        <x:v>18225.00</x:v>
      </x:c>
      <x:c r="G15" s="17">
        <x:v>0.00</x:v>
      </x:c>
      <x:c r="H15" s="17">
        <x:f ca="1">SUM((C15+D15)-(-E15+F15+G15))</x:f>
        <x:v/>
      </x:c>
      <x:c r="I15" s="170">
        <x:f ca="1">IF(G15 = "","",SUM((C15+D15)-(F15+G15-E15))/ (C15+D15) )</x:f>
      </x:c>
    </x:row>
    <x:row r="16" spans="1:9" ht="17.2" customHeight="1" x14ac:dyDescent="0.2">
      <x:c r="B16" s="169" t="str">
        <x:v>Jan - Mar 2016</x:v>
      </x:c>
      <x:c r="C16" s="75">
        <x:v>21843.00</x:v>
      </x:c>
      <x:c r="D16" s="75" t="n">
        <x:v>0.00</x:v>
      </x:c>
      <x:c r="E16" s="75">
        <x:v>0</x:v>
      </x:c>
      <x:c r="F16" s="75">
        <x:v>18225.00</x:v>
      </x:c>
      <x:c r="G16" s="75">
        <x:v>0.00</x:v>
      </x:c>
      <x:c r="H16" s="75">
        <x:f ca="1">SUM((C16+D16)-(-E16+F16+G16))</x:f>
        <x:v/>
      </x:c>
      <x:c r="I16" s="168">
        <x:f ca="1">IF(G16 = "","",SUM((C16+D16)-(F16+G16-E16))/ (C16+D16))</x:f>
      </x:c>
    </x:row>
    <x:row r="17" spans="1:9" hidden="1" x14ac:dyDescent="0.2">
      <x:c r="B17" s="132" t="str">
        <x:v>5</x:v>
      </x:c>
      <x:c r="C17" s="132">
        <x:f ca="1">SUM(C6:C16)</x:f>
        <x:v>0.00</x:v>
      </x:c>
      <x:c r="D17" s="132">
        <x:f ca="1">SUM(D6:D16)</x:f>
        <x:v/>
      </x:c>
      <x:c r="E17" s="132">
        <x:f ca="1">SUM(E6:E16)</x:f>
        <x:v/>
      </x:c>
      <x:c r="F17" s="132">
        <x:f ca="1">SUM(F6:F16)</x:f>
        <x:v/>
      </x:c>
      <x:c r="G17" s="132">
        <x:f ca="1">SUM(G6:G16)</x:f>
        <x:v/>
      </x:c>
      <x:c r="H17" s="132">
        <x:f ca="1">SUM(H6:H16)</x:f>
        <x:v/>
      </x:c>
      <x:c r="I17" s="132"/>
    </x:row>
    <x:row r="18" spans="1:9" x14ac:dyDescent="0.2">
      <x:c r="B18" s="174"/>
      <x:c r="C18" s="174"/>
      <x:c r="D18" s="209" t="str">
        <x:v>What You Would Have Spent Without FPR:</x:v>
      </x:c>
      <x:c r="E18" s="209">
        <x:f ca="1">SUM(C17+D17)</x:f>
        <x:v>133381.19041487278</x:v>
      </x:c>
      <x:c r="F18" s="174"/>
      <x:c r="G18" s="174"/>
      <x:c r="H18" s="174"/>
      <x:c r="I18" s="174"/>
    </x:row>
    <x:row r="19" spans="1:9" x14ac:dyDescent="0.2">
      <x:c r="D19" s="164" t="str">
        <x:v>What You Did Spend With FPR:</x:v>
      </x:c>
      <x:c r="E19" s="210">
        <x:f ca="1">SUM(F17 + G17)</x:f>
        <x:v>0</x:v>
      </x:c>
    </x:row>
    <x:row r="20" spans="1:9" x14ac:dyDescent="0.2">
      <x:c r="D20" s="164" t="str">
        <x:v>What FPR Has Saved you for the Period Reviewed:</x:v>
      </x:c>
      <x:c r="E20" s="210">
        <x:f ca="1">SUM(E18-E19)</x:f>
        <x:v>0</x:v>
      </x:c>
    </x:row>
    <x:row r="21" spans="1:9" x14ac:dyDescent="0.2">
      <x:c r="D21" s="164" t="str">
        <x:v>Credits:</x:v>
      </x:c>
      <x:c r="E21" s="210">
        <x:f ca="1">=E17</x:f>
        <x:v>0</x:v>
      </x:c>
    </x:row>
  </x:sheetData>
  <x:mergeCells count="4">
    <x:mergeCell ref="A1:J1"/>
    <x:mergeCell ref="A2:J2"/>
    <x:mergeCell ref="A3:J3"/>
    <x:mergeCell ref="A4:J4"/>
  </x:mergeCells>
  <x:conditionalFormatting sqref="G5">
    <x:cfRule type="cellIs" dxfId="0" priority="1" stopIfTrue="1" operator="lessThan">
      <x:formula>0</x:formula>
    </x:cfRule>
  </x:conditionalFormatting>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34"/>
  <x:sheetViews>
    <x:sheetView showGridLines="0" view="pageLayout" zoomScaleNormal="100" workbookViewId="0">
      <x:selection activeCell="A6" sqref="A6"/>
    </x:sheetView>
  </x:sheetViews>
  <x:sheetFormatPr defaultRowHeight="12.75" x14ac:dyDescent="0.2"/>
  <x:cols>
    <x:col min="1" max="1" width="23.2" bestFit="1" customWidth="1"/>
    <x:col min="2" max="2" width="10.3" bestFit="1" customWidth="1"/>
  </x:cols>
  <x:sheetData>
    <x:row r="1" spans="1:7" ht="15.75" x14ac:dyDescent="0.25">
      <x:c r="A1" s="125" t="str">
        <x:f ca="1">SETUP!$B$2</x:f>
        <x:v>?</x:v>
      </x:c>
      <x:c r="B1" s="132"/>
      <x:c r="C1" s="132"/>
      <x:c r="D1" s="132"/>
      <x:c r="E1" s="132"/>
      <x:c r="F1" s="132"/>
      <x:c r="G1" s="132"/>
      <x:c r="H1" s="132"/>
    </x:row>
    <x:row r="2" spans="1:11" ht="20.5" customHeight="1" x14ac:dyDescent="0.3">
      <x:c r="A2" s="123" t="str">
        <x:f ca="1">="REVision History Through Period Ending "&amp;TEXT(SETUP!$B$4,"MMMMMMMM DD, YYYY")&amp;""</x:f>
        <x:v>="REVision Summary Through  Period Ending "&amp;TEXT(SETUP!$B$4,"MMMMMMMM DD, YYYY")&amp;""</x:v>
      </x:c>
      <x:c r="B2" s="131"/>
      <x:c r="C2" s="131"/>
      <x:c r="D2" s="131"/>
      <x:c r="E2" s="131"/>
      <x:c r="F2" s="131"/>
      <x:c r="G2" s="131"/>
      <x:c r="H2" s="131"/>
      <x:c r="I2" s="131"/>
      <x:c r="J2" s="131"/>
      <x:c r="K2" s="131"/>
    </x:row>
    <x:row r="4" spans="1:11" ht="15" x14ac:dyDescent="0.3">
      <x:c r="A4" s="194" t="str">
        <x:v>10/31/2018</x:v>
      </x:c>
      <x:c r="B4" s="194"/>
      <x:c r="C4" s="194"/>
      <x:c r="D4" s="194"/>
      <x:c r="E4" s="194"/>
      <x:c r="F4" s="194"/>
      <x:c r="G4" s="194"/>
      <x:c r="H4" s="194"/>
      <x:c r="I4" s="194"/>
      <x:c r="J4" s="194"/>
      <x:c r="K4" s="194"/>
    </x:row>
    <x:row r="5">
      <x:c r="A5" s="47" t="str">
        <x:v>Meter Type Description</x:v>
      </x:c>
      <x:c r="B5" s="45" t="str">
        <x:v>Quarterly Contracted Volume</x:v>
      </x:c>
      <x:c r="C5" s="45" t="str">
        <x:v>Actual Quarterly Volume</x:v>
      </x:c>
      <x:c r="D5" s="45" t="str">
        <x:v>FPR Overage Rate</x:v>
      </x:c>
      <x:c r="E5" s="45" t="str">
        <x:v>% Volume Increase / Decrease</x:v>
      </x:c>
      <x:c r="F5" s="45" t="str">
        <x:v>Overage Volumes</x:v>
      </x:c>
      <x:c r="G5" s="45" t="str">
        <x:v>Rollover Volume</x:v>
      </x:c>
      <x:c r="H5" s="45" t="str">
        <x:v>Current Overage Expense</x:v>
      </x:c>
      <x:c r="I5" s="45" t="str">
        <x:v>Credits</x:v>
      </x:c>
      <x:c r="J5" s="45" t="str">
        <x:v>Overage Cost W/O FPR</x:v>
      </x:c>
      <x:c r="K5" s="46" t="str">
        <x:v>Net Overage Savings / Cost Increase</x:v>
      </x:c>
    </x:row>
    <x:row r="6" spans="1:11" ht="14.25" x14ac:dyDescent="0.3">
      <x:c r="A6" s="169" t="str">
        <x:v>B/W Copies and B/W Laser Prints</x:v>
      </x:c>
      <x:c r="B6" s="73">
        <x:v>220,000</x:v>
      </x:c>
      <x:c r="C6" s="73">
        <x:v>271,217</x:v>
      </x:c>
      <x:c r="D6" s="165" t="str">
        <x:v>$0.0156</x:v>
      </x:c>
      <x:c r="E6" s="181">
        <x:f ca="1">IF(B6=0,"",IF(C6="","",IF(C6&lt;B6,SUM((C6-B6)/B6),SUM((C6-B6)/B6))))</x:f>
        <x:v>5</x:v>
      </x:c>
      <x:c r="F6" s="73">
        <x:f ca="1">IF(C6="","",IF(B6="","",IF(SUM(C6-B6)&lt;0,"0",SUM(C6-B6))))</x:f>
        <x:v>6</x:v>
      </x:c>
      <x:c r="G6" s="73" t="n">
        <x:v>61071</x:v>
      </x:c>
      <x:c r="H6" s="75">
        <x:f ca="1">IF(SUM(F6 - G6) &lt;0,"$0.00",SUM(F6 - G6)*D6)</x:f>
        <x:v>7</x:v>
      </x:c>
      <x:c r="I6" s="75">
        <x:v>0.00</x:v>
      </x:c>
      <x:c r="J6" s="75">
        <x:f ca="1">SUM(F6* 0.015600)</x:f>
        <x:v>8</x:v>
      </x:c>
      <x:c r="K6" s="61">
        <x:f ca="1">SUM((J6-H6)+ I6)</x:f>
        <x:v>9</x:v>
      </x:c>
    </x:row>
    <x:row r="7" spans="1:11" ht="14.25" x14ac:dyDescent="0.3">
      <x:c r="A7" s="58" t="str">
        <x:v>Color Copier (Color Pages)</x:v>
      </x:c>
      <x:c r="B7" s="6">
        <x:v>12,000</x:v>
      </x:c>
      <x:c r="C7" s="6">
        <x:v>14,919</x:v>
      </x:c>
      <x:c r="D7" s="6">
        <x:v>$0.084</x:v>
      </x:c>
      <x:c r="E7" s="185">
        <x:f ca="1">IF(B7=0,"",IF(C7="","",IF(C7&lt;B7,SUM((C7-B7)/B7),SUM((C7-B7)/B7))))</x:f>
        <x:v>5</x:v>
      </x:c>
      <x:c r="F7" s="6">
        <x:f ca="1">IF(C7="","",IF(B7="","",IF(SUM(C7-B7)&lt;0,"0",SUM(C7-B7))))</x:f>
        <x:v>6</x:v>
      </x:c>
      <x:c r="G7" s="6">
        <x:v>41068</x:v>
      </x:c>
      <x:c r="H7" s="17">
        <x:f ca="1">IF(SUM(F7 - G7) &lt;0,"$0.00",SUM(F7 - G7)*D7)</x:f>
        <x:v>7</x:v>
      </x:c>
      <x:c r="I7" s="17">
        <x:v>0.00</x:v>
      </x:c>
      <x:c r="J7" s="17">
        <x:f ca="1">SUM(F7* 0.084000)</x:f>
        <x:v>8</x:v>
      </x:c>
      <x:c r="K7" s="59">
        <x:f ca="1">SUM((J7-H7)+ I7)</x:f>
        <x:v>9</x:v>
      </x:c>
    </x:row>
    <x:row r="8" spans="1:11" ht="14.25" x14ac:dyDescent="0.3">
      <x:c r="A8" s="169" t="str">
        <x:v>Color Laser Prints</x:v>
      </x:c>
      <x:c r="B8" s="73">
        <x:v>20,000</x:v>
      </x:c>
      <x:c r="C8" s="73">
        <x:v>28,644</x:v>
      </x:c>
      <x:c r="D8" s="165" t="str">
        <x:v>$0.144</x:v>
      </x:c>
      <x:c r="E8" s="181">
        <x:f ca="1">IF(B8=0,"",IF(C8="","",IF(C8&lt;B8,SUM((C8-B8)/B8),SUM((C8-B8)/B8))))</x:f>
        <x:v>5</x:v>
      </x:c>
      <x:c r="F8" s="73">
        <x:f ca="1">IF(C8="","",IF(B8="","",IF(SUM(C8-B8)&lt;0,"0",SUM(C8-B8))))</x:f>
        <x:v>6</x:v>
      </x:c>
      <x:c r="G8" s="73" t="n">
        <x:v>0</x:v>
      </x:c>
      <x:c r="H8" s="75">
        <x:f ca="1">IF(SUM(F8 - G8) &lt;0,"$0.00",SUM(F8 - G8)*D8)</x:f>
        <x:v>7</x:v>
      </x:c>
      <x:c r="I8" s="75">
        <x:v>0.00</x:v>
      </x:c>
      <x:c r="J8" s="75">
        <x:f ca="1">SUM(F8* 0.144000)</x:f>
        <x:v>8</x:v>
      </x:c>
      <x:c r="K8" s="61">
        <x:f ca="1">SUM((J8-H8)+ I8)</x:f>
        <x:v>9</x:v>
      </x:c>
    </x:row>
    <x:row r="9" spans="1:10" x14ac:dyDescent="0.25">
      <x:c r="A9" s="174"/>
      <x:c r="B9" s="174"/>
      <x:c r="C9" s="174"/>
      <x:c r="D9" s="174"/>
      <x:c r="E9" s="174"/>
      <x:c r="F9" s="174"/>
      <x:c r="G9" s="174"/>
      <x:c r="H9" s="174"/>
      <x:c r="I9" s="174"/>
      <x:c r="J9" s="174">
        <x:v>Revision Savings: </x:v>
      </x:c>
      <x:c r="K9" s="174">
        <x:f ca="1">SUM(K6:K8)</x:f>
      </x:c>
    </x:row>
    <x:row r="10" spans="1:11" ht="15" x14ac:dyDescent="0.3">
      <x:c r="A10" s="194" t="str">
        <x:v>6/30/2018</x:v>
      </x:c>
      <x:c r="B10" s="194"/>
      <x:c r="C10" s="194"/>
      <x:c r="D10" s="194"/>
      <x:c r="E10" s="194"/>
      <x:c r="F10" s="194"/>
      <x:c r="G10" s="194"/>
      <x:c r="H10" s="194"/>
      <x:c r="I10" s="194"/>
      <x:c r="J10" s="194"/>
      <x:c r="K10" s="194"/>
    </x:row>
    <x:row r="11">
      <x:c r="A11" s="47" t="str">
        <x:v>Meter Type Description</x:v>
      </x:c>
      <x:c r="B11" s="45" t="str">
        <x:v>Quarterly Contracted Volume</x:v>
      </x:c>
      <x:c r="C11" s="45" t="str">
        <x:v>Actual Quarterly Volume</x:v>
      </x:c>
      <x:c r="D11" s="45" t="str">
        <x:v>FPR Overage Rate</x:v>
      </x:c>
      <x:c r="E11" s="45" t="str">
        <x:v>% Volume Increase / Decrease</x:v>
      </x:c>
      <x:c r="F11" s="45" t="str">
        <x:v>Overage Volumes</x:v>
      </x:c>
      <x:c r="G11" s="45" t="str">
        <x:v>Rollover Volume</x:v>
      </x:c>
      <x:c r="H11" s="45" t="str">
        <x:v>Current Overage Expense</x:v>
      </x:c>
      <x:c r="I11" s="45" t="str">
        <x:v>Credits</x:v>
      </x:c>
      <x:c r="J11" s="45" t="str">
        <x:v>Overage Cost W/O FPR</x:v>
      </x:c>
      <x:c r="K11" s="46" t="str">
        <x:v>Net Overage Savings / Cost Increase</x:v>
      </x:c>
    </x:row>
    <x:row r="12" spans="1:11" ht="14.25" x14ac:dyDescent="0.3">
      <x:c r="A12" s="58" t="str">
        <x:v>B/W Copies and B/W Laser Prints</x:v>
      </x:c>
      <x:c r="B12" s="6">
        <x:v>165,000</x:v>
      </x:c>
      <x:c r="C12" s="6">
        <x:v>217,764</x:v>
      </x:c>
      <x:c r="D12" s="6">
        <x:v>$0.0156</x:v>
      </x:c>
      <x:c r="E12" s="185">
        <x:f ca="1">IF(B12=0,"",IF(C12="","",IF(C12&lt;B12,SUM((C12-B12)/B12),SUM((C12-B12)/B12))))</x:f>
        <x:v>5</x:v>
      </x:c>
      <x:c r="F12" s="6">
        <x:f ca="1">IF(C12="","",IF(B12="","",IF(SUM(C12-B12)&lt;0,"0",SUM(C12-B12))))</x:f>
        <x:v>6</x:v>
      </x:c>
      <x:c r="G12" s="6">
        <x:v>113835</x:v>
      </x:c>
      <x:c r="H12" s="17">
        <x:f ca="1">IF(SUM(F12 - G12) &lt;0,"$0.00",SUM(F12 - G12)*D12)</x:f>
        <x:v>7</x:v>
      </x:c>
      <x:c r="I12" s="17">
        <x:v>0.00</x:v>
      </x:c>
      <x:c r="J12" s="17">
        <x:f ca="1">SUM(F12* 0.015600)</x:f>
        <x:v>8</x:v>
      </x:c>
      <x:c r="K12" s="59">
        <x:f ca="1">SUM((J12-H12)+ I12)</x:f>
        <x:v>9</x:v>
      </x:c>
    </x:row>
    <x:row r="13" spans="1:11" ht="14.25" x14ac:dyDescent="0.3">
      <x:c r="A13" s="169" t="str">
        <x:v>Color Copier (Color Pages)</x:v>
      </x:c>
      <x:c r="B13" s="73">
        <x:v>9,000</x:v>
      </x:c>
      <x:c r="C13" s="73">
        <x:v>12,200</x:v>
      </x:c>
      <x:c r="D13" s="165" t="str">
        <x:v>$0.084</x:v>
      </x:c>
      <x:c r="E13" s="181">
        <x:f ca="1">IF(B13=0,"",IF(C13="","",IF(C13&lt;B13,SUM((C13-B13)/B13),SUM((C13-B13)/B13))))</x:f>
        <x:v>5</x:v>
      </x:c>
      <x:c r="F13" s="73">
        <x:f ca="1">IF(C13="","",IF(B13="","",IF(SUM(C13-B13)&lt;0,"0",SUM(C13-B13))))</x:f>
        <x:v>6</x:v>
      </x:c>
      <x:c r="G13" s="73" t="n">
        <x:v>44268</x:v>
      </x:c>
      <x:c r="H13" s="75">
        <x:f ca="1">IF(SUM(F13 - G13) &lt;0,"$0.00",SUM(F13 - G13)*D13)</x:f>
        <x:v>7</x:v>
      </x:c>
      <x:c r="I13" s="75">
        <x:v>0.00</x:v>
      </x:c>
      <x:c r="J13" s="75">
        <x:f ca="1">SUM(F13* 0.084000)</x:f>
        <x:v>8</x:v>
      </x:c>
      <x:c r="K13" s="61">
        <x:f ca="1">SUM((J13-H13)+ I13)</x:f>
        <x:v>9</x:v>
      </x:c>
    </x:row>
    <x:row r="14" spans="1:11" ht="14.25" x14ac:dyDescent="0.3">
      <x:c r="A14" s="58" t="str">
        <x:v>Color Laser Prints</x:v>
      </x:c>
      <x:c r="B14" s="6">
        <x:v>15,000</x:v>
      </x:c>
      <x:c r="C14" s="6">
        <x:v>23,846</x:v>
      </x:c>
      <x:c r="D14" s="6">
        <x:v>$0.144</x:v>
      </x:c>
      <x:c r="E14" s="185">
        <x:f ca="1">IF(B14=0,"",IF(C14="","",IF(C14&lt;B14,SUM((C14-B14)/B14),SUM((C14-B14)/B14))))</x:f>
        <x:v>5</x:v>
      </x:c>
      <x:c r="F14" s="6">
        <x:f ca="1">IF(C14="","",IF(B14="","",IF(SUM(C14-B14)&lt;0,"0",SUM(C14-B14))))</x:f>
        <x:v>6</x:v>
      </x:c>
      <x:c r="G14" s="6">
        <x:v>6063</x:v>
      </x:c>
      <x:c r="H14" s="17">
        <x:f ca="1">IF(SUM(F14 - G14) &lt;0,"$0.00",SUM(F14 - G14)*D14)</x:f>
        <x:v>7</x:v>
      </x:c>
      <x:c r="I14" s="17">
        <x:v>0.00</x:v>
      </x:c>
      <x:c r="J14" s="17">
        <x:f ca="1">SUM(F14* 0.144000)</x:f>
        <x:v>8</x:v>
      </x:c>
      <x:c r="K14" s="59">
        <x:f ca="1">SUM((J14-H14)+ I14)</x:f>
        <x:v>9</x:v>
      </x:c>
    </x:row>
    <x:row r="15" spans="1:10" x14ac:dyDescent="0.25">
      <x:c r="A15" s="174"/>
      <x:c r="B15" s="174"/>
      <x:c r="C15" s="174"/>
      <x:c r="D15" s="174"/>
      <x:c r="E15" s="174"/>
      <x:c r="F15" s="174"/>
      <x:c r="G15" s="174"/>
      <x:c r="H15" s="174"/>
      <x:c r="I15" s="174"/>
      <x:c r="J15" s="174">
        <x:v>Revision Savings: </x:v>
      </x:c>
      <x:c r="K15" s="174">
        <x:f ca="1">SUM(K12:K14)</x:f>
      </x:c>
    </x:row>
    <x:row r="16" spans="1:11" ht="15" x14ac:dyDescent="0.3">
      <x:c r="A16" s="194" t="str">
        <x:v>3/31/2018</x:v>
      </x:c>
      <x:c r="B16" s="194"/>
      <x:c r="C16" s="194"/>
      <x:c r="D16" s="194"/>
      <x:c r="E16" s="194"/>
      <x:c r="F16" s="194"/>
      <x:c r="G16" s="194"/>
      <x:c r="H16" s="194"/>
      <x:c r="I16" s="194"/>
      <x:c r="J16" s="194"/>
      <x:c r="K16" s="194"/>
    </x:row>
    <x:row r="17">
      <x:c r="A17" s="47" t="str">
        <x:v>Meter Type Description</x:v>
      </x:c>
      <x:c r="B17" s="45" t="str">
        <x:v>Quarterly Contracted Volume</x:v>
      </x:c>
      <x:c r="C17" s="45" t="str">
        <x:v>Actual Quarterly Volume</x:v>
      </x:c>
      <x:c r="D17" s="45" t="str">
        <x:v>FPR Overage Rate</x:v>
      </x:c>
      <x:c r="E17" s="45" t="str">
        <x:v>% Volume Increase / Decrease</x:v>
      </x:c>
      <x:c r="F17" s="45" t="str">
        <x:v>Overage Volumes</x:v>
      </x:c>
      <x:c r="G17" s="45" t="str">
        <x:v>Rollover Volume</x:v>
      </x:c>
      <x:c r="H17" s="45" t="str">
        <x:v>Current Overage Expense</x:v>
      </x:c>
      <x:c r="I17" s="45" t="str">
        <x:v>Credits</x:v>
      </x:c>
      <x:c r="J17" s="45" t="str">
        <x:v>Overage Cost W/O FPR</x:v>
      </x:c>
      <x:c r="K17" s="46" t="str">
        <x:v>Net Overage Savings / Cost Increase</x:v>
      </x:c>
    </x:row>
    <x:row r="18" spans="1:11" ht="14.25" x14ac:dyDescent="0.3">
      <x:c r="A18" s="169" t="str">
        <x:v>B/W Copies and B/W Laser Prints</x:v>
      </x:c>
      <x:c r="B18" s="73">
        <x:v>192,000</x:v>
      </x:c>
      <x:c r="C18" s="73">
        <x:v>200,849</x:v>
      </x:c>
      <x:c r="D18" s="165" t="str">
        <x:v>$0.0156</x:v>
      </x:c>
      <x:c r="E18" s="181">
        <x:f ca="1">IF(B18=0,"",IF(C18="","",IF(C18&lt;B18,SUM((C18-B18)/B18),SUM((C18-B18)/B18))))</x:f>
        <x:v>5</x:v>
      </x:c>
      <x:c r="F18" s="73">
        <x:f ca="1">IF(C18="","",IF(B18="","",IF(SUM(C18-B18)&lt;0,"0",SUM(C18-B18))))</x:f>
        <x:v>6</x:v>
      </x:c>
      <x:c r="G18" s="73" t="n">
        <x:v>122684</x:v>
      </x:c>
      <x:c r="H18" s="75">
        <x:f ca="1">IF(SUM(F18 - G18) &lt;0,"$0.00",SUM(F18 - G18)*D18)</x:f>
        <x:v>7</x:v>
      </x:c>
      <x:c r="I18" s="75">
        <x:v>0.00</x:v>
      </x:c>
      <x:c r="J18" s="75">
        <x:f ca="1">SUM(F18* 0.015600)</x:f>
        <x:v>8</x:v>
      </x:c>
      <x:c r="K18" s="61">
        <x:f ca="1">SUM((J18-H18)+ I18)</x:f>
        <x:v>9</x:v>
      </x:c>
    </x:row>
    <x:row r="19" spans="1:11" ht="14.25" x14ac:dyDescent="0.3">
      <x:c r="A19" s="58" t="str">
        <x:v>Color Copier (Color Pages)</x:v>
      </x:c>
      <x:c r="B19" s="6">
        <x:v>18,000</x:v>
      </x:c>
      <x:c r="C19" s="6">
        <x:v>14,853</x:v>
      </x:c>
      <x:c r="D19" s="6">
        <x:v>$0.084</x:v>
      </x:c>
      <x:c r="E19" s="185">
        <x:f ca="1">IF(B19=0,"",IF(C19="","",IF(C19&lt;B19,SUM((C19-B19)/B19),SUM((C19-B19)/B19))))</x:f>
        <x:v>5</x:v>
      </x:c>
      <x:c r="F19" s="6">
        <x:f ca="1">IF(C19="","",IF(B19="","",IF(SUM(C19-B19)&lt;0,"0",SUM(C19-B19))))</x:f>
        <x:v>6</x:v>
      </x:c>
      <x:c r="G19" s="6">
        <x:v>41121</x:v>
      </x:c>
      <x:c r="H19" s="17">
        <x:f ca="1">IF(SUM(F19 - G19) &lt;0,"$0.00",SUM(F19 - G19)*D19)</x:f>
        <x:v>7</x:v>
      </x:c>
      <x:c r="I19" s="17">
        <x:v>0.00</x:v>
      </x:c>
      <x:c r="J19" s="17">
        <x:f ca="1">SUM(F19* 0.084000)</x:f>
        <x:v>8</x:v>
      </x:c>
      <x:c r="K19" s="59">
        <x:f ca="1">SUM((J19-H19)+ I19)</x:f>
        <x:v>9</x:v>
      </x:c>
    </x:row>
    <x:row r="20" spans="1:11" ht="14.25" x14ac:dyDescent="0.3">
      <x:c r="A20" s="169" t="str">
        <x:v>Color Laser Prints</x:v>
      </x:c>
      <x:c r="B20" s="73">
        <x:v>18,900</x:v>
      </x:c>
      <x:c r="C20" s="73">
        <x:v>22,224</x:v>
      </x:c>
      <x:c r="D20" s="165" t="str">
        <x:v>$0.144</x:v>
      </x:c>
      <x:c r="E20" s="181">
        <x:f ca="1">IF(B20=0,"",IF(C20="","",IF(C20&lt;B20,SUM((C20-B20)/B20),SUM((C20-B20)/B20))))</x:f>
        <x:v>5</x:v>
      </x:c>
      <x:c r="F20" s="73">
        <x:f ca="1">IF(C20="","",IF(B20="","",IF(SUM(C20-B20)&lt;0,"0",SUM(C20-B20))))</x:f>
        <x:v>6</x:v>
      </x:c>
      <x:c r="G20" s="73" t="n">
        <x:v>9387</x:v>
      </x:c>
      <x:c r="H20" s="75">
        <x:f ca="1">IF(SUM(F20 - G20) &lt;0,"$0.00",SUM(F20 - G20)*D20)</x:f>
        <x:v>7</x:v>
      </x:c>
      <x:c r="I20" s="75">
        <x:v>0.00</x:v>
      </x:c>
      <x:c r="J20" s="75">
        <x:f ca="1">SUM(F20* 0.144000)</x:f>
        <x:v>8</x:v>
      </x:c>
      <x:c r="K20" s="61">
        <x:f ca="1">SUM((J20-H20)+ I20)</x:f>
        <x:v>9</x:v>
      </x:c>
    </x:row>
    <x:row r="21" spans="1:10" x14ac:dyDescent="0.25">
      <x:c r="A21" s="174"/>
      <x:c r="B21" s="174"/>
      <x:c r="C21" s="174"/>
      <x:c r="D21" s="174"/>
      <x:c r="E21" s="174"/>
      <x:c r="F21" s="174"/>
      <x:c r="G21" s="174"/>
      <x:c r="H21" s="174"/>
      <x:c r="I21" s="174"/>
      <x:c r="J21" s="174">
        <x:v>Revision Savings: </x:v>
      </x:c>
      <x:c r="K21" s="174">
        <x:f ca="1">SUM(K18:K20)</x:f>
      </x:c>
    </x:row>
    <x:row r="22" spans="1:11" ht="15" x14ac:dyDescent="0.3">
      <x:c r="A22" s="194" t="str">
        <x:v>12/31/2017</x:v>
      </x:c>
      <x:c r="B22" s="194"/>
      <x:c r="C22" s="194"/>
      <x:c r="D22" s="194"/>
      <x:c r="E22" s="194"/>
      <x:c r="F22" s="194"/>
      <x:c r="G22" s="194"/>
      <x:c r="H22" s="194"/>
      <x:c r="I22" s="194"/>
      <x:c r="J22" s="194"/>
      <x:c r="K22" s="194"/>
    </x:row>
    <x:row r="23">
      <x:c r="A23" s="47" t="str">
        <x:v>Meter Type Description</x:v>
      </x:c>
      <x:c r="B23" s="45" t="str">
        <x:v>Quarterly Contracted Volume</x:v>
      </x:c>
      <x:c r="C23" s="45" t="str">
        <x:v>Actual Quarterly Volume</x:v>
      </x:c>
      <x:c r="D23" s="45" t="str">
        <x:v>FPR Overage Rate</x:v>
      </x:c>
      <x:c r="E23" s="45" t="str">
        <x:v>% Volume Increase / Decrease</x:v>
      </x:c>
      <x:c r="F23" s="45" t="str">
        <x:v>Overage Volumes</x:v>
      </x:c>
      <x:c r="G23" s="45" t="str">
        <x:v>Rollover Volume</x:v>
      </x:c>
      <x:c r="H23" s="45" t="str">
        <x:v>Current Overage Expense</x:v>
      </x:c>
      <x:c r="I23" s="45" t="str">
        <x:v>Credits</x:v>
      </x:c>
      <x:c r="J23" s="45" t="str">
        <x:v>Overage Cost W/O FPR</x:v>
      </x:c>
      <x:c r="K23" s="46" t="str">
        <x:v>Net Overage Savings / Cost Increase</x:v>
      </x:c>
    </x:row>
    <x:row r="24" spans="1:11" ht="14.25" x14ac:dyDescent="0.3">
      <x:c r="A24" s="58" t="str">
        <x:v>B/W Copies and B/W Laser Prints</x:v>
      </x:c>
      <x:c r="B24" s="6">
        <x:v>192,000</x:v>
      </x:c>
      <x:c r="C24" s="6">
        <x:v>189,349</x:v>
      </x:c>
      <x:c r="D24" s="6">
        <x:v>$0.0156</x:v>
      </x:c>
      <x:c r="E24" s="185">
        <x:f ca="1">IF(B24=0,"",IF(C24="","",IF(C24&lt;B24,SUM((C24-B24)/B24),SUM((C24-B24)/B24))))</x:f>
        <x:v>5</x:v>
      </x:c>
      <x:c r="F24" s="6">
        <x:f ca="1">IF(C24="","",IF(B24="","",IF(SUM(C24-B24)&lt;0,"0",SUM(C24-B24))))</x:f>
        <x:v>6</x:v>
      </x:c>
      <x:c r="G24" s="6">
        <x:v>120033</x:v>
      </x:c>
      <x:c r="H24" s="17">
        <x:f ca="1">IF(SUM(F24 - G24) &lt;0,"$0.00",SUM(F24 - G24)*D24)</x:f>
        <x:v>7</x:v>
      </x:c>
      <x:c r="I24" s="17">
        <x:v>0.00</x:v>
      </x:c>
      <x:c r="J24" s="17">
        <x:f ca="1">SUM(F24* 0.015600)</x:f>
        <x:v>8</x:v>
      </x:c>
      <x:c r="K24" s="59">
        <x:f ca="1">SUM((J24-H24)+ I24)</x:f>
        <x:v>9</x:v>
      </x:c>
    </x:row>
    <x:row r="25" spans="1:11" ht="14.25" x14ac:dyDescent="0.3">
      <x:c r="A25" s="169" t="str">
        <x:v>Color Copier (Color Pages)</x:v>
      </x:c>
      <x:c r="B25" s="73">
        <x:v>18,000</x:v>
      </x:c>
      <x:c r="C25" s="73">
        <x:v>11,666</x:v>
      </x:c>
      <x:c r="D25" s="165" t="str">
        <x:v>$0.084</x:v>
      </x:c>
      <x:c r="E25" s="181">
        <x:f ca="1">IF(B25=0,"",IF(C25="","",IF(C25&lt;B25,SUM((C25-B25)/B25),SUM((C25-B25)/B25))))</x:f>
        <x:v>5</x:v>
      </x:c>
      <x:c r="F25" s="73">
        <x:f ca="1">IF(C25="","",IF(B25="","",IF(SUM(C25-B25)&lt;0,"0",SUM(C25-B25))))</x:f>
        <x:v>6</x:v>
      </x:c>
      <x:c r="G25" s="73" t="n">
        <x:v>34787</x:v>
      </x:c>
      <x:c r="H25" s="75">
        <x:f ca="1">IF(SUM(F25 - G25) &lt;0,"$0.00",SUM(F25 - G25)*D25)</x:f>
        <x:v>7</x:v>
      </x:c>
      <x:c r="I25" s="75">
        <x:v>0.00</x:v>
      </x:c>
      <x:c r="J25" s="75">
        <x:f ca="1">SUM(F25* 0.084000)</x:f>
        <x:v>8</x:v>
      </x:c>
      <x:c r="K25" s="61">
        <x:f ca="1">SUM((J25-H25)+ I25)</x:f>
        <x:v>9</x:v>
      </x:c>
    </x:row>
    <x:row r="26" spans="1:11" ht="14.25" x14ac:dyDescent="0.3">
      <x:c r="A26" s="58" t="str">
        <x:v>Color Laser Prints</x:v>
      </x:c>
      <x:c r="B26" s="6">
        <x:v>18,900</x:v>
      </x:c>
      <x:c r="C26" s="6">
        <x:v>12,353</x:v>
      </x:c>
      <x:c r="D26" s="6">
        <x:v>$0.144</x:v>
      </x:c>
      <x:c r="E26" s="185">
        <x:f ca="1">IF(B26=0,"",IF(C26="","",IF(C26&lt;B26,SUM((C26-B26)/B26),SUM((C26-B26)/B26))))</x:f>
        <x:v>5</x:v>
      </x:c>
      <x:c r="F26" s="6">
        <x:f ca="1">IF(C26="","",IF(B26="","",IF(SUM(C26-B26)&lt;0,"0",SUM(C26-B26))))</x:f>
        <x:v>6</x:v>
      </x:c>
      <x:c r="G26" s="6">
        <x:v>2840</x:v>
      </x:c>
      <x:c r="H26" s="17">
        <x:f ca="1">IF(SUM(F26 - G26) &lt;0,"$0.00",SUM(F26 - G26)*D26)</x:f>
        <x:v>7</x:v>
      </x:c>
      <x:c r="I26" s="17">
        <x:v>0.00</x:v>
      </x:c>
      <x:c r="J26" s="17">
        <x:f ca="1">SUM(F26* 0.144000)</x:f>
        <x:v>8</x:v>
      </x:c>
      <x:c r="K26" s="59">
        <x:f ca="1">SUM((J26-H26)+ I26)</x:f>
        <x:v>9</x:v>
      </x:c>
    </x:row>
    <x:row r="27" spans="1:10" x14ac:dyDescent="0.25">
      <x:c r="A27" s="174"/>
      <x:c r="B27" s="174"/>
      <x:c r="C27" s="174"/>
      <x:c r="D27" s="174"/>
      <x:c r="E27" s="174"/>
      <x:c r="F27" s="174"/>
      <x:c r="G27" s="174"/>
      <x:c r="H27" s="174"/>
      <x:c r="I27" s="174"/>
      <x:c r="J27" s="174">
        <x:v>Revision Savings: </x:v>
      </x:c>
      <x:c r="K27" s="174">
        <x:f ca="1">SUM(K24:K26)</x:f>
      </x:c>
    </x:row>
    <x:row r="28" spans="1:11" ht="15" x14ac:dyDescent="0.3">
      <x:c r="A28" s="194" t="str">
        <x:v>9/30/2017</x:v>
      </x:c>
      <x:c r="B28" s="194"/>
      <x:c r="C28" s="194"/>
      <x:c r="D28" s="194"/>
      <x:c r="E28" s="194"/>
      <x:c r="F28" s="194"/>
      <x:c r="G28" s="194"/>
      <x:c r="H28" s="194"/>
      <x:c r="I28" s="194"/>
      <x:c r="J28" s="194"/>
      <x:c r="K28" s="194"/>
    </x:row>
    <x:row r="29">
      <x:c r="A29" s="47" t="str">
        <x:v>Meter Type Description</x:v>
      </x:c>
      <x:c r="B29" s="45" t="str">
        <x:v>Quarterly Contracted Volume</x:v>
      </x:c>
      <x:c r="C29" s="45" t="str">
        <x:v>Actual Quarterly Volume</x:v>
      </x:c>
      <x:c r="D29" s="45" t="str">
        <x:v>FPR Overage Rate</x:v>
      </x:c>
      <x:c r="E29" s="45" t="str">
        <x:v>% Volume Increase / Decrease</x:v>
      </x:c>
      <x:c r="F29" s="45" t="str">
        <x:v>Overage Volumes</x:v>
      </x:c>
      <x:c r="G29" s="45" t="str">
        <x:v>Rollover Volume</x:v>
      </x:c>
      <x:c r="H29" s="45" t="str">
        <x:v>Current Overage Expense</x:v>
      </x:c>
      <x:c r="I29" s="45" t="str">
        <x:v>Credits</x:v>
      </x:c>
      <x:c r="J29" s="45" t="str">
        <x:v>Overage Cost W/O FPR</x:v>
      </x:c>
      <x:c r="K29" s="46" t="str">
        <x:v>Net Overage Savings / Cost Increase</x:v>
      </x:c>
    </x:row>
    <x:row r="30" spans="1:11" ht="14.25" x14ac:dyDescent="0.3">
      <x:c r="A30" s="169" t="str">
        <x:v>B/W Copies and B/W Laser Prints</x:v>
      </x:c>
      <x:c r="B30" s="73">
        <x:v>192,000</x:v>
      </x:c>
      <x:c r="C30" s="73">
        <x:v>244,781</x:v>
      </x:c>
      <x:c r="D30" s="165" t="str">
        <x:v>$0.0156</x:v>
      </x:c>
      <x:c r="E30" s="181">
        <x:f ca="1">IF(B30=0,"",IF(C30="","",IF(C30&lt;B30,SUM((C30-B30)/B30),SUM((C30-B30)/B30))))</x:f>
        <x:v>5</x:v>
      </x:c>
      <x:c r="F30" s="73">
        <x:f ca="1">IF(C30="","",IF(B30="","",IF(SUM(C30-B30)&lt;0,"0",SUM(C30-B30))))</x:f>
        <x:v>6</x:v>
      </x:c>
      <x:c r="G30" s="73" t="n">
        <x:v>172814</x:v>
      </x:c>
      <x:c r="H30" s="75">
        <x:f ca="1">IF(SUM(F30 - G30) &lt;0,"$0.00",SUM(F30 - G30)*D30)</x:f>
        <x:v>7</x:v>
      </x:c>
      <x:c r="I30" s="75">
        <x:v>0.00</x:v>
      </x:c>
      <x:c r="J30" s="75">
        <x:f ca="1">SUM(F30* 0.015600)</x:f>
        <x:v>8</x:v>
      </x:c>
      <x:c r="K30" s="61">
        <x:f ca="1">SUM((J30-H30)+ I30)</x:f>
        <x:v>9</x:v>
      </x:c>
    </x:row>
    <x:row r="31" spans="1:11" ht="14.25" x14ac:dyDescent="0.3">
      <x:c r="A31" s="58" t="str">
        <x:v>Color Copier (Color Pages)</x:v>
      </x:c>
      <x:c r="B31" s="6">
        <x:v>18,000</x:v>
      </x:c>
      <x:c r="C31" s="6">
        <x:v>12,642</x:v>
      </x:c>
      <x:c r="D31" s="6">
        <x:v>$0.084</x:v>
      </x:c>
      <x:c r="E31" s="185">
        <x:f ca="1">IF(B31=0,"",IF(C31="","",IF(C31&lt;B31,SUM((C31-B31)/B31),SUM((C31-B31)/B31))))</x:f>
        <x:v>5</x:v>
      </x:c>
      <x:c r="F31" s="6">
        <x:f ca="1">IF(C31="","",IF(B31="","",IF(SUM(C31-B31)&lt;0,"0",SUM(C31-B31))))</x:f>
        <x:v>6</x:v>
      </x:c>
      <x:c r="G31" s="6">
        <x:v>29429</x:v>
      </x:c>
      <x:c r="H31" s="17">
        <x:f ca="1">IF(SUM(F31 - G31) &lt;0,"$0.00",SUM(F31 - G31)*D31)</x:f>
        <x:v>7</x:v>
      </x:c>
      <x:c r="I31" s="17">
        <x:v>0.00</x:v>
      </x:c>
      <x:c r="J31" s="17">
        <x:f ca="1">SUM(F31* 0.084000)</x:f>
        <x:v>8</x:v>
      </x:c>
      <x:c r="K31" s="59">
        <x:f ca="1">SUM((J31-H31)+ I31)</x:f>
        <x:v>9</x:v>
      </x:c>
    </x:row>
    <x:row r="32" spans="1:11" ht="14.25" x14ac:dyDescent="0.3">
      <x:c r="A32" s="169" t="str">
        <x:v>Color Laser Prints</x:v>
      </x:c>
      <x:c r="B32" s="73">
        <x:v>18,900</x:v>
      </x:c>
      <x:c r="C32" s="73">
        <x:v>19,752</x:v>
      </x:c>
      <x:c r="D32" s="165" t="str">
        <x:v>$0.144</x:v>
      </x:c>
      <x:c r="E32" s="181">
        <x:f ca="1">IF(B32=0,"",IF(C32="","",IF(C32&lt;B32,SUM((C32-B32)/B32),SUM((C32-B32)/B32))))</x:f>
        <x:v>5</x:v>
      </x:c>
      <x:c r="F32" s="73">
        <x:f ca="1">IF(C32="","",IF(B32="","",IF(SUM(C32-B32)&lt;0,"0",SUM(C32-B32))))</x:f>
        <x:v>6</x:v>
      </x:c>
      <x:c r="G32" s="73" t="n">
        <x:v>3692</x:v>
      </x:c>
      <x:c r="H32" s="75">
        <x:f ca="1">IF(SUM(F32 - G32) &lt;0,"$0.00",SUM(F32 - G32)*D32)</x:f>
        <x:v>7</x:v>
      </x:c>
      <x:c r="I32" s="75">
        <x:v>0.00</x:v>
      </x:c>
      <x:c r="J32" s="75">
        <x:f ca="1">SUM(F32* 0.144000)</x:f>
        <x:v>8</x:v>
      </x:c>
      <x:c r="K32" s="61">
        <x:f ca="1">SUM((J32-H32)+ I32)</x:f>
        <x:v>9</x:v>
      </x:c>
    </x:row>
    <x:row r="33" spans="1:10" x14ac:dyDescent="0.25">
      <x:c r="A33" s="174"/>
      <x:c r="B33" s="174"/>
      <x:c r="C33" s="174"/>
      <x:c r="D33" s="174"/>
      <x:c r="E33" s="174"/>
      <x:c r="F33" s="174"/>
      <x:c r="G33" s="174"/>
      <x:c r="H33" s="174"/>
      <x:c r="I33" s="174"/>
      <x:c r="J33" s="174">
        <x:v>Revision Savings: </x:v>
      </x:c>
      <x:c r="K33" s="174">
        <x:f ca="1">SUM(K30:K32)</x:f>
      </x:c>
    </x:row>
    <x:row r="34" spans="1:11" ht="15" x14ac:dyDescent="0.3">
      <x:c r="A34" s="194" t="str">
        <x:v>6/30/2017</x:v>
      </x:c>
      <x:c r="B34" s="194"/>
      <x:c r="C34" s="194"/>
      <x:c r="D34" s="194"/>
      <x:c r="E34" s="194"/>
      <x:c r="F34" s="194"/>
      <x:c r="G34" s="194"/>
      <x:c r="H34" s="194"/>
      <x:c r="I34" s="194"/>
      <x:c r="J34" s="194"/>
      <x:c r="K34" s="194"/>
    </x:row>
    <x:row r="35">
      <x:c r="A35" s="47" t="str">
        <x:v>Meter Type Description</x:v>
      </x:c>
      <x:c r="B35" s="45" t="str">
        <x:v>Quarterly Contracted Volume</x:v>
      </x:c>
      <x:c r="C35" s="45" t="str">
        <x:v>Actual Quarterly Volume</x:v>
      </x:c>
      <x:c r="D35" s="45" t="str">
        <x:v>FPR Overage Rate</x:v>
      </x:c>
      <x:c r="E35" s="45" t="str">
        <x:v>% Volume Increase / Decrease</x:v>
      </x:c>
      <x:c r="F35" s="45" t="str">
        <x:v>Overage Volumes</x:v>
      </x:c>
      <x:c r="G35" s="45" t="str">
        <x:v>Rollover Volume</x:v>
      </x:c>
      <x:c r="H35" s="45" t="str">
        <x:v>Current Overage Expense</x:v>
      </x:c>
      <x:c r="I35" s="45" t="str">
        <x:v>Credits</x:v>
      </x:c>
      <x:c r="J35" s="45" t="str">
        <x:v>Overage Cost W/O FPR</x:v>
      </x:c>
      <x:c r="K35" s="46" t="str">
        <x:v>Net Overage Savings / Cost Increase</x:v>
      </x:c>
    </x:row>
    <x:row r="36" spans="1:11" ht="14.25" x14ac:dyDescent="0.3">
      <x:c r="A36" s="58" t="str">
        <x:v>B/W Copies and B/W Laser Prints</x:v>
      </x:c>
      <x:c r="B36" s="6">
        <x:v>240,000</x:v>
      </x:c>
      <x:c r="C36" s="6">
        <x:v>226,023</x:v>
      </x:c>
      <x:c r="D36" s="6">
        <x:v>$0.0156</x:v>
      </x:c>
      <x:c r="E36" s="185">
        <x:f ca="1">IF(B36=0,"",IF(C36="","",IF(C36&lt;B36,SUM((C36-B36)/B36),SUM((C36-B36)/B36))))</x:f>
        <x:v>5</x:v>
      </x:c>
      <x:c r="F36" s="6">
        <x:f ca="1">IF(C36="","",IF(B36="","",IF(SUM(C36-B36)&lt;0,"0",SUM(C36-B36))))</x:f>
        <x:v>6</x:v>
      </x:c>
      <x:c r="G36" s="6">
        <x:v>158837</x:v>
      </x:c>
      <x:c r="H36" s="17">
        <x:f ca="1">IF(SUM(F36 - G36) &lt;0,"$0.00",SUM(F36 - G36)*D36)</x:f>
        <x:v>7</x:v>
      </x:c>
      <x:c r="I36" s="17">
        <x:v>0.00</x:v>
      </x:c>
      <x:c r="J36" s="17">
        <x:f ca="1">SUM(F36* 0.015600)</x:f>
        <x:v>8</x:v>
      </x:c>
      <x:c r="K36" s="59">
        <x:f ca="1">SUM((J36-H36)+ I36)</x:f>
        <x:v>9</x:v>
      </x:c>
    </x:row>
    <x:row r="37" spans="1:11" ht="14.25" x14ac:dyDescent="0.3">
      <x:c r="A37" s="169" t="str">
        <x:v>Color Copier (Color Pages)</x:v>
      </x:c>
      <x:c r="B37" s="73">
        <x:v>20,400</x:v>
      </x:c>
      <x:c r="C37" s="73">
        <x:v>13,188</x:v>
      </x:c>
      <x:c r="D37" s="165" t="str">
        <x:v>$0.084</x:v>
      </x:c>
      <x:c r="E37" s="181">
        <x:f ca="1">IF(B37=0,"",IF(C37="","",IF(C37&lt;B37,SUM((C37-B37)/B37),SUM((C37-B37)/B37))))</x:f>
        <x:v>5</x:v>
      </x:c>
      <x:c r="F37" s="73">
        <x:f ca="1">IF(C37="","",IF(B37="","",IF(SUM(C37-B37)&lt;0,"0",SUM(C37-B37))))</x:f>
        <x:v>6</x:v>
      </x:c>
      <x:c r="G37" s="73" t="n">
        <x:v>22217</x:v>
      </x:c>
      <x:c r="H37" s="75">
        <x:f ca="1">IF(SUM(F37 - G37) &lt;0,"$0.00",SUM(F37 - G37)*D37)</x:f>
        <x:v>7</x:v>
      </x:c>
      <x:c r="I37" s="75">
        <x:v>0.00</x:v>
      </x:c>
      <x:c r="J37" s="75">
        <x:f ca="1">SUM(F37* 0.084000)</x:f>
        <x:v>8</x:v>
      </x:c>
      <x:c r="K37" s="61">
        <x:f ca="1">SUM((J37-H37)+ I37)</x:f>
        <x:v>9</x:v>
      </x:c>
    </x:row>
    <x:row r="38" spans="1:11" ht="14.25" x14ac:dyDescent="0.3">
      <x:c r="A38" s="58" t="str">
        <x:v>Color Laser Prints</x:v>
      </x:c>
      <x:c r="B38" s="6">
        <x:v>15,000</x:v>
      </x:c>
      <x:c r="C38" s="6">
        <x:v>16,586</x:v>
      </x:c>
      <x:c r="D38" s="6">
        <x:v>$0.144</x:v>
      </x:c>
      <x:c r="E38" s="185">
        <x:f ca="1">IF(B38=0,"",IF(C38="","",IF(C38&lt;B38,SUM((C38-B38)/B38),SUM((C38-B38)/B38))))</x:f>
        <x:v>5</x:v>
      </x:c>
      <x:c r="F38" s="6">
        <x:f ca="1">IF(C38="","",IF(B38="","",IF(SUM(C38-B38)&lt;0,"0",SUM(C38-B38))))</x:f>
        <x:v>6</x:v>
      </x:c>
      <x:c r="G38" s="6">
        <x:v>5278</x:v>
      </x:c>
      <x:c r="H38" s="17">
        <x:f ca="1">IF(SUM(F38 - G38) &lt;0,"$0.00",SUM(F38 - G38)*D38)</x:f>
        <x:v>7</x:v>
      </x:c>
      <x:c r="I38" s="17">
        <x:v>0.00</x:v>
      </x:c>
      <x:c r="J38" s="17">
        <x:f ca="1">SUM(F38* 0.144000)</x:f>
        <x:v>8</x:v>
      </x:c>
      <x:c r="K38" s="59">
        <x:f ca="1">SUM((J38-H38)+ I38)</x:f>
        <x:v>9</x:v>
      </x:c>
    </x:row>
    <x:row r="39" spans="1:10" x14ac:dyDescent="0.25">
      <x:c r="A39" s="174"/>
      <x:c r="B39" s="174"/>
      <x:c r="C39" s="174"/>
      <x:c r="D39" s="174"/>
      <x:c r="E39" s="174"/>
      <x:c r="F39" s="174"/>
      <x:c r="G39" s="174"/>
      <x:c r="H39" s="174"/>
      <x:c r="I39" s="174"/>
      <x:c r="J39" s="174">
        <x:v>Revision Savings: </x:v>
      </x:c>
      <x:c r="K39" s="174">
        <x:f ca="1">SUM(K36:K38)</x:f>
      </x:c>
    </x:row>
    <x:row r="40" spans="1:11" ht="15" x14ac:dyDescent="0.3">
      <x:c r="A40" s="194" t="str">
        <x:v>3/31/2017</x:v>
      </x:c>
      <x:c r="B40" s="194"/>
      <x:c r="C40" s="194"/>
      <x:c r="D40" s="194"/>
      <x:c r="E40" s="194"/>
      <x:c r="F40" s="194"/>
      <x:c r="G40" s="194"/>
      <x:c r="H40" s="194"/>
      <x:c r="I40" s="194"/>
      <x:c r="J40" s="194"/>
      <x:c r="K40" s="194"/>
    </x:row>
    <x:row r="41">
      <x:c r="A41" s="47" t="str">
        <x:v>Meter Type Description</x:v>
      </x:c>
      <x:c r="B41" s="45" t="str">
        <x:v>Quarterly Contracted Volume</x:v>
      </x:c>
      <x:c r="C41" s="45" t="str">
        <x:v>Actual Quarterly Volume</x:v>
      </x:c>
      <x:c r="D41" s="45" t="str">
        <x:v>FPR Overage Rate</x:v>
      </x:c>
      <x:c r="E41" s="45" t="str">
        <x:v>% Volume Increase / Decrease</x:v>
      </x:c>
      <x:c r="F41" s="45" t="str">
        <x:v>Overage Volumes</x:v>
      </x:c>
      <x:c r="G41" s="45" t="str">
        <x:v>Rollover Volume</x:v>
      </x:c>
      <x:c r="H41" s="45" t="str">
        <x:v>Current Overage Expense</x:v>
      </x:c>
      <x:c r="I41" s="45" t="str">
        <x:v>Credits</x:v>
      </x:c>
      <x:c r="J41" s="45" t="str">
        <x:v>Overage Cost W/O FPR</x:v>
      </x:c>
      <x:c r="K41" s="46" t="str">
        <x:v>Net Overage Savings / Cost Increase</x:v>
      </x:c>
    </x:row>
    <x:row r="42" spans="1:11" ht="14.25" x14ac:dyDescent="0.3">
      <x:c r="A42" s="169" t="str">
        <x:v>B/W Copies and B/W Laser Prints</x:v>
      </x:c>
      <x:c r="B42" s="73">
        <x:v>240,000</x:v>
      </x:c>
      <x:c r="C42" s="73">
        <x:v>184,272</x:v>
      </x:c>
      <x:c r="D42" s="165" t="str">
        <x:v>$0.0156</x:v>
      </x:c>
      <x:c r="E42" s="181">
        <x:f ca="1">IF(B42=0,"",IF(C42="","",IF(C42&lt;B42,SUM((C42-B42)/B42),SUM((C42-B42)/B42))))</x:f>
        <x:v>5</x:v>
      </x:c>
      <x:c r="F42" s="73">
        <x:f ca="1">IF(C42="","",IF(B42="","",IF(SUM(C42-B42)&lt;0,"0",SUM(C42-B42))))</x:f>
        <x:v>6</x:v>
      </x:c>
      <x:c r="G42" s="73" t="n">
        <x:v>103109</x:v>
      </x:c>
      <x:c r="H42" s="75">
        <x:f ca="1">IF(SUM(F42 - G42) &lt;0,"$0.00",SUM(F42 - G42)*D42)</x:f>
        <x:v>7</x:v>
      </x:c>
      <x:c r="I42" s="75">
        <x:v>0.00</x:v>
      </x:c>
      <x:c r="J42" s="75">
        <x:f ca="1">SUM(F42* 0.015600)</x:f>
        <x:v>8</x:v>
      </x:c>
      <x:c r="K42" s="61">
        <x:f ca="1">SUM((J42-H42)+ I42)</x:f>
        <x:v>9</x:v>
      </x:c>
    </x:row>
    <x:row r="43" spans="1:11" ht="14.25" x14ac:dyDescent="0.3">
      <x:c r="A43" s="58" t="str">
        <x:v>Color Copier (Color Pages)</x:v>
      </x:c>
      <x:c r="B43" s="6">
        <x:v>20,400</x:v>
      </x:c>
      <x:c r="C43" s="6">
        <x:v>10,621</x:v>
      </x:c>
      <x:c r="D43" s="6">
        <x:v>$0.084</x:v>
      </x:c>
      <x:c r="E43" s="185">
        <x:f ca="1">IF(B43=0,"",IF(C43="","",IF(C43&lt;B43,SUM((C43-B43)/B43),SUM((C43-B43)/B43))))</x:f>
        <x:v>5</x:v>
      </x:c>
      <x:c r="F43" s="6">
        <x:f ca="1">IF(C43="","",IF(B43="","",IF(SUM(C43-B43)&lt;0,"0",SUM(C43-B43))))</x:f>
        <x:v>6</x:v>
      </x:c>
      <x:c r="G43" s="6">
        <x:v>12438</x:v>
      </x:c>
      <x:c r="H43" s="17">
        <x:f ca="1">IF(SUM(F43 - G43) &lt;0,"$0.00",SUM(F43 - G43)*D43)</x:f>
        <x:v>7</x:v>
      </x:c>
      <x:c r="I43" s="17">
        <x:v>0.00</x:v>
      </x:c>
      <x:c r="J43" s="17">
        <x:f ca="1">SUM(F43* 0.084000)</x:f>
        <x:v>8</x:v>
      </x:c>
      <x:c r="K43" s="59">
        <x:f ca="1">SUM((J43-H43)+ I43)</x:f>
        <x:v>9</x:v>
      </x:c>
    </x:row>
    <x:row r="44" spans="1:11" ht="14.25" x14ac:dyDescent="0.3">
      <x:c r="A44" s="169" t="str">
        <x:v>Color Laser Prints</x:v>
      </x:c>
      <x:c r="B44" s="73">
        <x:v>15,000</x:v>
      </x:c>
      <x:c r="C44" s="73">
        <x:v>24,190</x:v>
      </x:c>
      <x:c r="D44" s="165" t="str">
        <x:v>$0.144</x:v>
      </x:c>
      <x:c r="E44" s="181">
        <x:f ca="1">IF(B44=0,"",IF(C44="","",IF(C44&lt;B44,SUM((C44-B44)/B44),SUM((C44-B44)/B44))))</x:f>
        <x:v>5</x:v>
      </x:c>
      <x:c r="F44" s="73">
        <x:f ca="1">IF(C44="","",IF(B44="","",IF(SUM(C44-B44)&lt;0,"0",SUM(C44-B44))))</x:f>
        <x:v>6</x:v>
      </x:c>
      <x:c r="G44" s="73" t="n">
        <x:v>14468</x:v>
      </x:c>
      <x:c r="H44" s="75">
        <x:f ca="1">IF(SUM(F44 - G44) &lt;0,"$0.00",SUM(F44 - G44)*D44)</x:f>
        <x:v>7</x:v>
      </x:c>
      <x:c r="I44" s="75">
        <x:v>0.00</x:v>
      </x:c>
      <x:c r="J44" s="75">
        <x:f ca="1">SUM(F44* 0.144000)</x:f>
        <x:v>8</x:v>
      </x:c>
      <x:c r="K44" s="61">
        <x:f ca="1">SUM((J44-H44)+ I44)</x:f>
        <x:v>9</x:v>
      </x:c>
    </x:row>
    <x:row r="45" spans="1:10" x14ac:dyDescent="0.25">
      <x:c r="A45" s="174"/>
      <x:c r="B45" s="174"/>
      <x:c r="C45" s="174"/>
      <x:c r="D45" s="174"/>
      <x:c r="E45" s="174"/>
      <x:c r="F45" s="174"/>
      <x:c r="G45" s="174"/>
      <x:c r="H45" s="174"/>
      <x:c r="I45" s="174"/>
      <x:c r="J45" s="174">
        <x:v>Revision Savings: </x:v>
      </x:c>
      <x:c r="K45" s="174">
        <x:f ca="1">SUM(K42:K44)</x:f>
      </x:c>
    </x:row>
    <x:row r="46" spans="1:11" ht="15" x14ac:dyDescent="0.3">
      <x:c r="A46" s="194" t="str">
        <x:v>12/31/2016</x:v>
      </x:c>
      <x:c r="B46" s="194"/>
      <x:c r="C46" s="194"/>
      <x:c r="D46" s="194"/>
      <x:c r="E46" s="194"/>
      <x:c r="F46" s="194"/>
      <x:c r="G46" s="194"/>
      <x:c r="H46" s="194"/>
      <x:c r="I46" s="194"/>
      <x:c r="J46" s="194"/>
      <x:c r="K46" s="194"/>
    </x:row>
    <x:row r="47">
      <x:c r="A47" s="47" t="str">
        <x:v>Meter Type Description</x:v>
      </x:c>
      <x:c r="B47" s="45" t="str">
        <x:v>Quarterly Contracted Volume</x:v>
      </x:c>
      <x:c r="C47" s="45" t="str">
        <x:v>Actual Quarterly Volume</x:v>
      </x:c>
      <x:c r="D47" s="45" t="str">
        <x:v>FPR Overage Rate</x:v>
      </x:c>
      <x:c r="E47" s="45" t="str">
        <x:v>% Volume Increase / Decrease</x:v>
      </x:c>
      <x:c r="F47" s="45" t="str">
        <x:v>Overage Volumes</x:v>
      </x:c>
      <x:c r="G47" s="45" t="str">
        <x:v>Rollover Volume</x:v>
      </x:c>
      <x:c r="H47" s="45" t="str">
        <x:v>Current Overage Expense</x:v>
      </x:c>
      <x:c r="I47" s="45" t="str">
        <x:v>Credits</x:v>
      </x:c>
      <x:c r="J47" s="45" t="str">
        <x:v>Overage Cost W/O FPR</x:v>
      </x:c>
      <x:c r="K47" s="46" t="str">
        <x:v>Net Overage Savings / Cost Increase</x:v>
      </x:c>
    </x:row>
    <x:row r="48" spans="1:11" ht="14.25" x14ac:dyDescent="0.3">
      <x:c r="A48" s="58" t="str">
        <x:v>B/W Copies and B/W Laser Prints</x:v>
      </x:c>
      <x:c r="B48" s="6">
        <x:v>240,000</x:v>
      </x:c>
      <x:c r="C48" s="6">
        <x:v>263,755</x:v>
      </x:c>
      <x:c r="D48" s="6">
        <x:v>$0.0156</x:v>
      </x:c>
      <x:c r="E48" s="185">
        <x:f ca="1">IF(B48=0,"",IF(C48="","",IF(C48&lt;B48,SUM((C48-B48)/B48),SUM((C48-B48)/B48))))</x:f>
        <x:v>5</x:v>
      </x:c>
      <x:c r="F48" s="6">
        <x:f ca="1">IF(C48="","",IF(B48="","",IF(SUM(C48-B48)&lt;0,"0",SUM(C48-B48))))</x:f>
        <x:v>6</x:v>
      </x:c>
      <x:c r="G48" s="6">
        <x:v>126864</x:v>
      </x:c>
      <x:c r="H48" s="17">
        <x:f ca="1">IF(SUM(F48 - G48) &lt;0,"$0.00",SUM(F48 - G48)*D48)</x:f>
        <x:v>7</x:v>
      </x:c>
      <x:c r="I48" s="17">
        <x:v>0.00</x:v>
      </x:c>
      <x:c r="J48" s="17">
        <x:f ca="1">SUM(F48* 0.015600)</x:f>
        <x:v>8</x:v>
      </x:c>
      <x:c r="K48" s="59">
        <x:f ca="1">SUM((J48-H48)+ I48)</x:f>
        <x:v>9</x:v>
      </x:c>
    </x:row>
    <x:row r="49" spans="1:11" ht="14.25" x14ac:dyDescent="0.3">
      <x:c r="A49" s="169" t="str">
        <x:v>Color Copier (Color Pages)</x:v>
      </x:c>
      <x:c r="B49" s="73">
        <x:v>20,400</x:v>
      </x:c>
      <x:c r="C49" s="73">
        <x:v>25,830</x:v>
      </x:c>
      <x:c r="D49" s="165" t="str">
        <x:v>$0.084</x:v>
      </x:c>
      <x:c r="E49" s="181">
        <x:f ca="1">IF(B49=0,"",IF(C49="","",IF(C49&lt;B49,SUM((C49-B49)/B49),SUM((C49-B49)/B49))))</x:f>
        <x:v>5</x:v>
      </x:c>
      <x:c r="F49" s="73">
        <x:f ca="1">IF(C49="","",IF(B49="","",IF(SUM(C49-B49)&lt;0,"0",SUM(C49-B49))))</x:f>
        <x:v>6</x:v>
      </x:c>
      <x:c r="G49" s="73" t="n">
        <x:v>17868</x:v>
      </x:c>
      <x:c r="H49" s="75">
        <x:f ca="1">IF(SUM(F49 - G49) &lt;0,"$0.00",SUM(F49 - G49)*D49)</x:f>
        <x:v>7</x:v>
      </x:c>
      <x:c r="I49" s="75">
        <x:v>0.00</x:v>
      </x:c>
      <x:c r="J49" s="75">
        <x:f ca="1">SUM(F49* 0.084000)</x:f>
        <x:v>8</x:v>
      </x:c>
      <x:c r="K49" s="61">
        <x:f ca="1">SUM((J49-H49)+ I49)</x:f>
        <x:v>9</x:v>
      </x:c>
    </x:row>
    <x:row r="50" spans="1:11" ht="14.25" x14ac:dyDescent="0.3">
      <x:c r="A50" s="58" t="str">
        <x:v>Color Laser Prints</x:v>
      </x:c>
      <x:c r="B50" s="6">
        <x:v>15,000</x:v>
      </x:c>
      <x:c r="C50" s="6">
        <x:v>22,675</x:v>
      </x:c>
      <x:c r="D50" s="6">
        <x:v>$0.144</x:v>
      </x:c>
      <x:c r="E50" s="185">
        <x:f ca="1">IF(B50=0,"",IF(C50="","",IF(C50&lt;B50,SUM((C50-B50)/B50),SUM((C50-B50)/B50))))</x:f>
        <x:v>5</x:v>
      </x:c>
      <x:c r="F50" s="6">
        <x:f ca="1">IF(C50="","",IF(B50="","",IF(SUM(C50-B50)&lt;0,"0",SUM(C50-B50))))</x:f>
        <x:v>6</x:v>
      </x:c>
      <x:c r="G50" s="6">
        <x:v>22143</x:v>
      </x:c>
      <x:c r="H50" s="17">
        <x:f ca="1">IF(SUM(F50 - G50) &lt;0,"$0.00",SUM(F50 - G50)*D50)</x:f>
        <x:v>7</x:v>
      </x:c>
      <x:c r="I50" s="17">
        <x:v>0.00</x:v>
      </x:c>
      <x:c r="J50" s="17">
        <x:f ca="1">SUM(F50* 0.144000)</x:f>
        <x:v>8</x:v>
      </x:c>
      <x:c r="K50" s="59">
        <x:f ca="1">SUM((J50-H50)+ I50)</x:f>
        <x:v>9</x:v>
      </x:c>
    </x:row>
    <x:row r="51" spans="1:10" x14ac:dyDescent="0.25">
      <x:c r="A51" s="174"/>
      <x:c r="B51" s="174"/>
      <x:c r="C51" s="174"/>
      <x:c r="D51" s="174"/>
      <x:c r="E51" s="174"/>
      <x:c r="F51" s="174"/>
      <x:c r="G51" s="174"/>
      <x:c r="H51" s="174"/>
      <x:c r="I51" s="174"/>
      <x:c r="J51" s="174">
        <x:v>Revision Savings: </x:v>
      </x:c>
      <x:c r="K51" s="174">
        <x:f ca="1">SUM(K48:K50)</x:f>
      </x:c>
    </x:row>
    <x:row r="52" spans="1:11" ht="15" x14ac:dyDescent="0.3">
      <x:c r="A52" s="194" t="str">
        <x:v>9/30/2016</x:v>
      </x:c>
      <x:c r="B52" s="194"/>
      <x:c r="C52" s="194"/>
      <x:c r="D52" s="194"/>
      <x:c r="E52" s="194"/>
      <x:c r="F52" s="194"/>
      <x:c r="G52" s="194"/>
      <x:c r="H52" s="194"/>
      <x:c r="I52" s="194"/>
      <x:c r="J52" s="194"/>
      <x:c r="K52" s="194"/>
    </x:row>
    <x:row r="53">
      <x:c r="A53" s="47" t="str">
        <x:v>Meter Type Description</x:v>
      </x:c>
      <x:c r="B53" s="45" t="str">
        <x:v>Quarterly Contracted Volume</x:v>
      </x:c>
      <x:c r="C53" s="45" t="str">
        <x:v>Actual Quarterly Volume</x:v>
      </x:c>
      <x:c r="D53" s="45" t="str">
        <x:v>FPR Overage Rate</x:v>
      </x:c>
      <x:c r="E53" s="45" t="str">
        <x:v>% Volume Increase / Decrease</x:v>
      </x:c>
      <x:c r="F53" s="45" t="str">
        <x:v>Overage Volumes</x:v>
      </x:c>
      <x:c r="G53" s="45" t="str">
        <x:v>Rollover Volume</x:v>
      </x:c>
      <x:c r="H53" s="45" t="str">
        <x:v>Current Overage Expense</x:v>
      </x:c>
      <x:c r="I53" s="45" t="str">
        <x:v>Credits</x:v>
      </x:c>
      <x:c r="J53" s="45" t="str">
        <x:v>Overage Cost W/O FPR</x:v>
      </x:c>
      <x:c r="K53" s="46" t="str">
        <x:v>Net Overage Savings / Cost Increase</x:v>
      </x:c>
    </x:row>
    <x:row r="54" spans="1:11" ht="14.25" x14ac:dyDescent="0.3">
      <x:c r="A54" s="169" t="str">
        <x:v>B/W Copies and B/W Laser Prints</x:v>
      </x:c>
      <x:c r="B54" s="73">
        <x:v>290,700</x:v>
      </x:c>
      <x:c r="C54" s="73">
        <x:v>249,538</x:v>
      </x:c>
      <x:c r="D54" s="165" t="str">
        <x:v>$0.0156</x:v>
      </x:c>
      <x:c r="E54" s="181">
        <x:f ca="1">IF(B54=0,"",IF(C54="","",IF(C54&lt;B54,SUM((C54-B54)/B54),SUM((C54-B54)/B54))))</x:f>
        <x:v>5</x:v>
      </x:c>
      <x:c r="F54" s="73">
        <x:f ca="1">IF(C54="","",IF(B54="","",IF(SUM(C54-B54)&lt;0,"0",SUM(C54-B54))))</x:f>
        <x:v>6</x:v>
      </x:c>
      <x:c r="G54" s="73" t="n">
        <x:v>85702</x:v>
      </x:c>
      <x:c r="H54" s="75">
        <x:f ca="1">IF(SUM(F54 - G54) &lt;0,"$0.00",SUM(F54 - G54)*D54)</x:f>
        <x:v>7</x:v>
      </x:c>
      <x:c r="I54" s="75">
        <x:v>0.00</x:v>
      </x:c>
      <x:c r="J54" s="75">
        <x:f ca="1">SUM(F54* 0.015600)</x:f>
        <x:v>8</x:v>
      </x:c>
      <x:c r="K54" s="61">
        <x:f ca="1">SUM((J54-H54)+ I54)</x:f>
        <x:v>9</x:v>
      </x:c>
    </x:row>
    <x:row r="55" spans="1:11" ht="14.25" x14ac:dyDescent="0.3">
      <x:c r="A55" s="58" t="str">
        <x:v>Color Copier (Color Pages)</x:v>
      </x:c>
      <x:c r="B55" s="6">
        <x:v>20,400</x:v>
      </x:c>
      <x:c r="C55" s="6">
        <x:v>11,501</x:v>
      </x:c>
      <x:c r="D55" s="6">
        <x:v>$0.084</x:v>
      </x:c>
      <x:c r="E55" s="185">
        <x:f ca="1">IF(B55=0,"",IF(C55="","",IF(C55&lt;B55,SUM((C55-B55)/B55),SUM((C55-B55)/B55))))</x:f>
        <x:v>5</x:v>
      </x:c>
      <x:c r="F55" s="6">
        <x:f ca="1">IF(C55="","",IF(B55="","",IF(SUM(C55-B55)&lt;0,"0",SUM(C55-B55))))</x:f>
        <x:v>6</x:v>
      </x:c>
      <x:c r="G55" s="6">
        <x:v>8969</x:v>
      </x:c>
      <x:c r="H55" s="17">
        <x:f ca="1">IF(SUM(F55 - G55) &lt;0,"$0.00",SUM(F55 - G55)*D55)</x:f>
        <x:v>7</x:v>
      </x:c>
      <x:c r="I55" s="17">
        <x:v>0.00</x:v>
      </x:c>
      <x:c r="J55" s="17">
        <x:f ca="1">SUM(F55* 0.084000)</x:f>
        <x:v>8</x:v>
      </x:c>
      <x:c r="K55" s="59">
        <x:f ca="1">SUM((J55-H55)+ I55)</x:f>
        <x:v>9</x:v>
      </x:c>
    </x:row>
    <x:row r="56" spans="1:11" ht="14.25" x14ac:dyDescent="0.3">
      <x:c r="A56" s="169" t="str">
        <x:v>Color Laser Prints</x:v>
      </x:c>
      <x:c r="B56" s="73">
        <x:v>24,000</x:v>
      </x:c>
      <x:c r="C56" s="73">
        <x:v>13,977</x:v>
      </x:c>
      <x:c r="D56" s="165" t="str">
        <x:v>$0.144</x:v>
      </x:c>
      <x:c r="E56" s="181">
        <x:f ca="1">IF(B56=0,"",IF(C56="","",IF(C56&lt;B56,SUM((C56-B56)/B56),SUM((C56-B56)/B56))))</x:f>
        <x:v>5</x:v>
      </x:c>
      <x:c r="F56" s="73">
        <x:f ca="1">IF(C56="","",IF(B56="","",IF(SUM(C56-B56)&lt;0,"0",SUM(C56-B56))))</x:f>
        <x:v>6</x:v>
      </x:c>
      <x:c r="G56" s="73" t="n">
        <x:v>12120</x:v>
      </x:c>
      <x:c r="H56" s="75">
        <x:f ca="1">IF(SUM(F56 - G56) &lt;0,"$0.00",SUM(F56 - G56)*D56)</x:f>
        <x:v>7</x:v>
      </x:c>
      <x:c r="I56" s="75">
        <x:v>0.00</x:v>
      </x:c>
      <x:c r="J56" s="75">
        <x:f ca="1">SUM(F56* 0.144000)</x:f>
        <x:v>8</x:v>
      </x:c>
      <x:c r="K56" s="61">
        <x:f ca="1">SUM((J56-H56)+ I56)</x:f>
        <x:v>9</x:v>
      </x:c>
    </x:row>
    <x:row r="57" spans="1:10" x14ac:dyDescent="0.25">
      <x:c r="A57" s="174"/>
      <x:c r="B57" s="174"/>
      <x:c r="C57" s="174"/>
      <x:c r="D57" s="174"/>
      <x:c r="E57" s="174"/>
      <x:c r="F57" s="174"/>
      <x:c r="G57" s="174"/>
      <x:c r="H57" s="174"/>
      <x:c r="I57" s="174"/>
      <x:c r="J57" s="174">
        <x:v>Revision Savings: </x:v>
      </x:c>
      <x:c r="K57" s="174">
        <x:f ca="1">SUM(K54:K56)</x:f>
      </x:c>
    </x:row>
    <x:row r="58" spans="1:11" ht="15" x14ac:dyDescent="0.3">
      <x:c r="A58" s="194" t="str">
        <x:v>6/30/2016</x:v>
      </x:c>
      <x:c r="B58" s="194"/>
      <x:c r="C58" s="194"/>
      <x:c r="D58" s="194"/>
      <x:c r="E58" s="194"/>
      <x:c r="F58" s="194"/>
      <x:c r="G58" s="194"/>
      <x:c r="H58" s="194"/>
      <x:c r="I58" s="194"/>
      <x:c r="J58" s="194"/>
      <x:c r="K58" s="194"/>
    </x:row>
    <x:row r="59">
      <x:c r="A59" s="47" t="str">
        <x:v>Meter Type Description</x:v>
      </x:c>
      <x:c r="B59" s="45" t="str">
        <x:v>Quarterly Contracted Volume</x:v>
      </x:c>
      <x:c r="C59" s="45" t="str">
        <x:v>Actual Quarterly Volume</x:v>
      </x:c>
      <x:c r="D59" s="45" t="str">
        <x:v>FPR Overage Rate</x:v>
      </x:c>
      <x:c r="E59" s="45" t="str">
        <x:v>% Volume Increase / Decrease</x:v>
      </x:c>
      <x:c r="F59" s="45" t="str">
        <x:v>Overage Volumes</x:v>
      </x:c>
      <x:c r="G59" s="45" t="str">
        <x:v>Rollover Volume</x:v>
      </x:c>
      <x:c r="H59" s="45" t="str">
        <x:v>Current Overage Expense</x:v>
      </x:c>
      <x:c r="I59" s="45" t="str">
        <x:v>Credits</x:v>
      </x:c>
      <x:c r="J59" s="45" t="str">
        <x:v>Overage Cost W/O FPR</x:v>
      </x:c>
      <x:c r="K59" s="46" t="str">
        <x:v>Net Overage Savings / Cost Increase</x:v>
      </x:c>
    </x:row>
    <x:row r="60" spans="1:11" ht="14.25" x14ac:dyDescent="0.3">
      <x:c r="A60" s="58" t="str">
        <x:v>B/W Copies and B/W Laser Prints</x:v>
      </x:c>
      <x:c r="B60" s="6">
        <x:v>290,700</x:v>
      </x:c>
      <x:c r="C60" s="6">
        <x:v>257,380</x:v>
      </x:c>
      <x:c r="D60" s="6">
        <x:v>$0.0156</x:v>
      </x:c>
      <x:c r="E60" s="185">
        <x:f ca="1">IF(B60=0,"",IF(C60="","",IF(C60&lt;B60,SUM((C60-B60)/B60),SUM((C60-B60)/B60))))</x:f>
        <x:v>5</x:v>
      </x:c>
      <x:c r="F60" s="6">
        <x:f ca="1">IF(C60="","",IF(B60="","",IF(SUM(C60-B60)&lt;0,"0",SUM(C60-B60))))</x:f>
        <x:v>6</x:v>
      </x:c>
      <x:c r="G60" s="6">
        <x:v>52382</x:v>
      </x:c>
      <x:c r="H60" s="17">
        <x:f ca="1">IF(SUM(F60 - G60) &lt;0,"$0.00",SUM(F60 - G60)*D60)</x:f>
        <x:v>7</x:v>
      </x:c>
      <x:c r="I60" s="17">
        <x:v>0.00</x:v>
      </x:c>
      <x:c r="J60" s="17">
        <x:f ca="1">SUM(F60* 0.015600)</x:f>
        <x:v>8</x:v>
      </x:c>
      <x:c r="K60" s="59">
        <x:f ca="1">SUM((J60-H60)+ I60)</x:f>
        <x:v>9</x:v>
      </x:c>
    </x:row>
    <x:row r="61" spans="1:11" ht="14.25" x14ac:dyDescent="0.3">
      <x:c r="A61" s="169" t="str">
        <x:v>Color Copier (Color Pages)</x:v>
      </x:c>
      <x:c r="B61" s="73">
        <x:v>20,400</x:v>
      </x:c>
      <x:c r="C61" s="73">
        <x:v>21,114</x:v>
      </x:c>
      <x:c r="D61" s="165" t="str">
        <x:v>$0.084</x:v>
      </x:c>
      <x:c r="E61" s="181">
        <x:f ca="1">IF(B61=0,"",IF(C61="","",IF(C61&lt;B61,SUM((C61-B61)/B61),SUM((C61-B61)/B61))))</x:f>
        <x:v>5</x:v>
      </x:c>
      <x:c r="F61" s="73">
        <x:f ca="1">IF(C61="","",IF(B61="","",IF(SUM(C61-B61)&lt;0,"0",SUM(C61-B61))))</x:f>
        <x:v>6</x:v>
      </x:c>
      <x:c r="G61" s="73" t="n">
        <x:v>9683</x:v>
      </x:c>
      <x:c r="H61" s="75">
        <x:f ca="1">IF(SUM(F61 - G61) &lt;0,"$0.00",SUM(F61 - G61)*D61)</x:f>
        <x:v>7</x:v>
      </x:c>
      <x:c r="I61" s="75">
        <x:v>0.00</x:v>
      </x:c>
      <x:c r="J61" s="75">
        <x:f ca="1">SUM(F61* 0.084000)</x:f>
        <x:v>8</x:v>
      </x:c>
      <x:c r="K61" s="61">
        <x:f ca="1">SUM((J61-H61)+ I61)</x:f>
        <x:v>9</x:v>
      </x:c>
    </x:row>
    <x:row r="62" spans="1:11" ht="14.25" x14ac:dyDescent="0.3">
      <x:c r="A62" s="58" t="str">
        <x:v>Color Laser Prints</x:v>
      </x:c>
      <x:c r="B62" s="6">
        <x:v>24,000</x:v>
      </x:c>
      <x:c r="C62" s="6">
        <x:v>23,786</x:v>
      </x:c>
      <x:c r="D62" s="6">
        <x:v>$0.144</x:v>
      </x:c>
      <x:c r="E62" s="185">
        <x:f ca="1">IF(B62=0,"",IF(C62="","",IF(C62&lt;B62,SUM((C62-B62)/B62),SUM((C62-B62)/B62))))</x:f>
        <x:v>5</x:v>
      </x:c>
      <x:c r="F62" s="6">
        <x:f ca="1">IF(C62="","",IF(B62="","",IF(SUM(C62-B62)&lt;0,"0",SUM(C62-B62))))</x:f>
        <x:v>6</x:v>
      </x:c>
      <x:c r="G62" s="6">
        <x:v>11906</x:v>
      </x:c>
      <x:c r="H62" s="17">
        <x:f ca="1">IF(SUM(F62 - G62) &lt;0,"$0.00",SUM(F62 - G62)*D62)</x:f>
        <x:v>7</x:v>
      </x:c>
      <x:c r="I62" s="17">
        <x:v>0.00</x:v>
      </x:c>
      <x:c r="J62" s="17">
        <x:f ca="1">SUM(F62* 0.144000)</x:f>
        <x:v>8</x:v>
      </x:c>
      <x:c r="K62" s="59">
        <x:f ca="1">SUM((J62-H62)+ I62)</x:f>
        <x:v>9</x:v>
      </x:c>
    </x:row>
    <x:row r="63" spans="1:10" x14ac:dyDescent="0.25">
      <x:c r="A63" s="174"/>
      <x:c r="B63" s="174"/>
      <x:c r="C63" s="174"/>
      <x:c r="D63" s="174"/>
      <x:c r="E63" s="174"/>
      <x:c r="F63" s="174"/>
      <x:c r="G63" s="174"/>
      <x:c r="H63" s="174"/>
      <x:c r="I63" s="174"/>
      <x:c r="J63" s="174">
        <x:v>Revision Savings: </x:v>
      </x:c>
      <x:c r="K63" s="174">
        <x:f ca="1">SUM(K60:K62)</x:f>
      </x:c>
    </x:row>
    <x:row r="64" spans="1:11" ht="15" x14ac:dyDescent="0.3">
      <x:c r="A64" s="194" t="str">
        <x:v>3/31/2016</x:v>
      </x:c>
      <x:c r="B64" s="194"/>
      <x:c r="C64" s="194"/>
      <x:c r="D64" s="194"/>
      <x:c r="E64" s="194"/>
      <x:c r="F64" s="194"/>
      <x:c r="G64" s="194"/>
      <x:c r="H64" s="194"/>
      <x:c r="I64" s="194"/>
      <x:c r="J64" s="194"/>
      <x:c r="K64" s="194"/>
    </x:row>
    <x:row r="65">
      <x:c r="A65" s="47" t="str">
        <x:v>Meter Type Description</x:v>
      </x:c>
      <x:c r="B65" s="45" t="str">
        <x:v>Quarterly Contracted Volume</x:v>
      </x:c>
      <x:c r="C65" s="45" t="str">
        <x:v>Actual Quarterly Volume</x:v>
      </x:c>
      <x:c r="D65" s="45" t="str">
        <x:v>FPR Overage Rate</x:v>
      </x:c>
      <x:c r="E65" s="45" t="str">
        <x:v>% Volume Increase / Decrease</x:v>
      </x:c>
      <x:c r="F65" s="45" t="str">
        <x:v>Overage Volumes</x:v>
      </x:c>
      <x:c r="G65" s="45" t="str">
        <x:v>Rollover Volume</x:v>
      </x:c>
      <x:c r="H65" s="45" t="str">
        <x:v>Current Overage Expense</x:v>
      </x:c>
      <x:c r="I65" s="45" t="str">
        <x:v>Credits</x:v>
      </x:c>
      <x:c r="J65" s="45" t="str">
        <x:v>Overage Cost W/O FPR</x:v>
      </x:c>
      <x:c r="K65" s="46" t="str">
        <x:v>Net Overage Savings / Cost Increase</x:v>
      </x:c>
    </x:row>
    <x:row r="66" spans="1:11" ht="14.25" x14ac:dyDescent="0.3">
      <x:c r="A66" s="169" t="str">
        <x:v>B/W Copies and B/W Laser Prints</x:v>
      </x:c>
      <x:c r="B66" s="73">
        <x:v>365,719</x:v>
      </x:c>
      <x:c r="C66" s="73">
        <x:v>313,337</x:v>
      </x:c>
      <x:c r="D66" s="165" t="str">
        <x:v>$0.0156</x:v>
      </x:c>
      <x:c r="E66" s="181">
        <x:f ca="1">IF(B66=0,"",IF(C66="","",IF(C66&lt;B66,SUM((C66-B66)/B66),SUM((C66-B66)/B66))))</x:f>
        <x:v>5</x:v>
      </x:c>
      <x:c r="F66" s="73">
        <x:f ca="1">IF(C66="","",IF(B66="","",IF(SUM(C66-B66)&lt;0,"0",SUM(C66-B66))))</x:f>
        <x:v>6</x:v>
      </x:c>
      <x:c r="G66" s="73" t="n">
        <x:v>0</x:v>
      </x:c>
      <x:c r="H66" s="75">
        <x:f ca="1">IF(SUM(F66 - G66) &lt;0,"$0.00",SUM(F66 - G66)*D66)</x:f>
        <x:v>7</x:v>
      </x:c>
      <x:c r="I66" s="75">
        <x:v>0.00</x:v>
      </x:c>
      <x:c r="J66" s="75">
        <x:f ca="1">SUM(F66* 0.015600)</x:f>
        <x:v>8</x:v>
      </x:c>
      <x:c r="K66" s="61">
        <x:f ca="1">SUM((J66-H66)+ I66)</x:f>
        <x:v>9</x:v>
      </x:c>
    </x:row>
    <x:row r="67" spans="1:11" ht="14.25" x14ac:dyDescent="0.3">
      <x:c r="A67" s="58" t="str">
        <x:v>Color Copier (Color Pages)</x:v>
      </x:c>
      <x:c r="B67" s="6">
        <x:v>25,665</x:v>
      </x:c>
      <x:c r="C67" s="6">
        <x:v>15,982</x:v>
      </x:c>
      <x:c r="D67" s="6">
        <x:v>$0.084</x:v>
      </x:c>
      <x:c r="E67" s="185">
        <x:f ca="1">IF(B67=0,"",IF(C67="","",IF(C67&lt;B67,SUM((C67-B67)/B67),SUM((C67-B67)/B67))))</x:f>
        <x:v>5</x:v>
      </x:c>
      <x:c r="F67" s="6">
        <x:f ca="1">IF(C67="","",IF(B67="","",IF(SUM(C67-B67)&lt;0,"0",SUM(C67-B67))))</x:f>
        <x:v>6</x:v>
      </x:c>
      <x:c r="G67" s="6">
        <x:v>0</x:v>
      </x:c>
      <x:c r="H67" s="17">
        <x:f ca="1">IF(SUM(F67 - G67) &lt;0,"$0.00",SUM(F67 - G67)*D67)</x:f>
        <x:v>7</x:v>
      </x:c>
      <x:c r="I67" s="17">
        <x:v>0.00</x:v>
      </x:c>
      <x:c r="J67" s="17">
        <x:f ca="1">SUM(F67* 0.084000)</x:f>
        <x:v>8</x:v>
      </x:c>
      <x:c r="K67" s="59">
        <x:f ca="1">SUM((J67-H67)+ I67)</x:f>
        <x:v>9</x:v>
      </x:c>
    </x:row>
    <x:row r="68" spans="1:11" ht="14.25" x14ac:dyDescent="0.3">
      <x:c r="A68" s="169" t="str">
        <x:v>Color Laser Prints</x:v>
      </x:c>
      <x:c r="B68" s="73">
        <x:v>30,194</x:v>
      </x:c>
      <x:c r="C68" s="73">
        <x:v>18,288</x:v>
      </x:c>
      <x:c r="D68" s="165" t="str">
        <x:v>$0.144</x:v>
      </x:c>
      <x:c r="E68" s="181">
        <x:f ca="1">IF(B68=0,"",IF(C68="","",IF(C68&lt;B68,SUM((C68-B68)/B68),SUM((C68-B68)/B68))))</x:f>
        <x:v>5</x:v>
      </x:c>
      <x:c r="F68" s="73">
        <x:f ca="1">IF(C68="","",IF(B68="","",IF(SUM(C68-B68)&lt;0,"0",SUM(C68-B68))))</x:f>
        <x:v>6</x:v>
      </x:c>
      <x:c r="G68" s="73" t="n">
        <x:v>0</x:v>
      </x:c>
      <x:c r="H68" s="75">
        <x:f ca="1">IF(SUM(F68 - G68) &lt;0,"$0.00",SUM(F68 - G68)*D68)</x:f>
        <x:v>7</x:v>
      </x:c>
      <x:c r="I68" s="75">
        <x:v>0.00</x:v>
      </x:c>
      <x:c r="J68" s="75">
        <x:f ca="1">SUM(F68* 0.144000)</x:f>
        <x:v>8</x:v>
      </x:c>
      <x:c r="K68" s="61">
        <x:f ca="1">SUM((J68-H68)+ I68)</x:f>
        <x:v>9</x:v>
      </x:c>
    </x:row>
    <x:row r="69" spans="1:10" x14ac:dyDescent="0.25">
      <x:c r="A69" s="174"/>
      <x:c r="B69" s="174"/>
      <x:c r="C69" s="174"/>
      <x:c r="D69" s="174"/>
      <x:c r="E69" s="174"/>
      <x:c r="F69" s="174"/>
      <x:c r="G69" s="174"/>
      <x:c r="H69" s="174"/>
      <x:c r="I69" s="174"/>
      <x:c r="J69" s="174">
        <x:v>Revision Savings: </x:v>
      </x:c>
      <x:c r="K69" s="174">
        <x:f ca="1">SUM(K66:K68)</x:f>
      </x:c>
    </x:row>
  </x:sheetData>
  <x:mergeCells count="3">
    <x:mergeCell ref="A1:L1"/>
    <x:mergeCell ref="A2:L2"/>
    <x:mergeCell ref="A3:L3"/>
  </x:mergeCells>
  <x:printOptions horizontalCentered="1"/>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2"/>
  <x:sheetViews>
    <x:sheetView showGridLines="0" view="pageLayout" zoomScaleNormal="100" workbookViewId="0">
      <x:selection activeCell="B8" sqref="B8"/>
    </x:sheetView>
  </x:sheetViews>
  <x:sheetFormatPr defaultColWidth="9.16" defaultRowHeight="15" x14ac:dyDescent="0.25"/>
  <x:cols>
    <x:col min="1" max="1" width="11.28515625" style="42" customWidth="1"/>
    <x:col min="2" max="2" width="28.7109375" style="1" customWidth="1"/>
    <x:col min="3" max="3" width="11.28515625" style="1" customWidth="1"/>
    <x:col min="4" max="4" width="11.7109375" style="12" customWidth="1"/>
    <x:col min="5" max="5" width="11.140625" style="12" customWidth="1"/>
    <x:col min="6" max="6" width="10.140625" style="12" customWidth="1"/>
    <x:col min="7" max="7" width="10.140625" style="12" customWidth="1"/>
    <x:col min="8" max="8" width="9.140625" style="12" customWidth="1"/>
    <x:col min="9" max="9" width="11.333" style="12" customWidth="1"/>
  </x:cols>
  <x:sheetData>
    <x:row r="1" spans="1:7" ht="15.75" x14ac:dyDescent="0.25">
      <x:c r="A1" s="125" t="str">
        <x:f ca="1">SETUP!$B$2</x:f>
        <x:v>?</x:v>
      </x:c>
      <x:c r="C1" s="132"/>
      <x:c r="D1" s="132"/>
      <x:c r="E1" s="132"/>
      <x:c r="F1" s="132"/>
      <x:c r="G1" s="132"/>
      <x:c r="H1" s="132"/>
      <x:c r="A1" s="132"/>
    </x:row>
    <x:row r="2" spans="1:11" ht="20.5" customHeight="1" x14ac:dyDescent="0.3">
      <x:c r="A2" s="123" t="str">
        <x:f ca="1">="Managed Savings Summary From August 1, 2018  Through "&amp;TEXT(SETUP!$B$4,"MMMMMMMM DD, YYYY")&amp;""</x:f>
      </x:c>
      <x:c r="C2" s="131"/>
      <x:c r="D2" s="131"/>
      <x:c r="E2" s="131"/>
      <x:c r="F2" s="131"/>
      <x:c r="G2" s="131"/>
      <x:c r="H2" s="131"/>
      <x:c r="I2" s="131"/>
      <x:c r="A2" s="131"/>
    </x:row>
    <x:row r="3" spans="1:11" ht="38.5" customHeight="1" x14ac:dyDescent="0.3">
      <x:c r="A3" s="199">
        <x:f ca="1">=IF(SETUP!B4="?","","Freedom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f>
        <x:v>=IF(SETUP!B4="?","","Freedom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v>
      </x:c>
      <x:c r="C3" s="25"/>
      <x:c r="D3" s="26"/>
      <x:c r="E3" s="26"/>
      <x:c r="F3" s="26"/>
      <x:c r="G3" s="26"/>
      <x:c r="H3" s="26"/>
      <x:c r="I3" s="26"/>
      <x:c r="A3" s="26"/>
    </x:row>
    <x:row r="4" spans="1:11" x14ac:dyDescent="0.3">
      <x:c r="A4" s="127"/>
      <x:c r="B4" s="25"/>
      <x:c r="C4" s="26"/>
      <x:c r="D4" s="26"/>
      <x:c r="E4" s="26"/>
      <x:c r="F4" s="26"/>
      <x:c r="G4" s="26"/>
      <x:c r="H4" s="26"/>
      <x:c r="I4" s="26"/>
    </x:row>
    <x:row r="5" spans="1:11" x14ac:dyDescent="0.3">
      <x:c r="A5" s="127"/>
      <x:c r="B5" s="25"/>
      <x:c r="C5" s="26"/>
      <x:c r="D5" s="164">
        <x:v>Asset Replacement Savings</x:v>
      </x:c>
      <x:c r="E5" s="204">
        <x:f>='Replacements'!$G$33</x:f>
      </x:c>
      <x:c r="F5" s="26"/>
      <x:c r="G5" s="26"/>
      <x:c r="H5" s="26"/>
      <x:c r="I5" s="26"/>
    </x:row>
    <x:row r="6" spans="1:11" x14ac:dyDescent="0.3">
      <x:c r="A6" s="127"/>
      <x:c r="B6" s="25"/>
      <x:c r="C6" s="26"/>
      <x:c r="D6" s="164">
        <x:v>Cost Avoidance</x:v>
      </x:c>
      <x:c r="E6" s="204">
        <x:f>='Cost Avoidance'!$I$32</x:f>
      </x:c>
      <x:c r="F6" s="26"/>
      <x:c r="G6" s="26"/>
      <x:c r="H6" s="26"/>
      <x:c r="I6" s="26"/>
    </x:row>
    <x:row r="7" spans="1:11" x14ac:dyDescent="0.3">
      <x:c r="A7" s="127"/>
      <x:c r="B7" s="25"/>
      <x:c r="C7" s="26"/>
      <x:c r="D7" s="164">
        <x:v>Rollover Savings</x:v>
      </x:c>
      <x:c r="E7" s="204" t="n">
        <x:v>39407.00720000000</x:v>
      </x:c>
      <x:c r="F7" s="26"/>
      <x:c r="G7" s="26"/>
      <x:c r="H7" s="26"/>
      <x:c r="I7" s="26"/>
      <x:c r="J7" s="21"/>
    </x:row>
    <x:row r="8" spans="1:11" x14ac:dyDescent="0.3">
      <x:c r="A8" s="127"/>
      <x:c r="B8" s="25"/>
      <x:c r="C8" s="26"/>
      <x:c r="D8" s="164">
        <x:v>Revision Savings</x:v>
      </x:c>
      <x:c r="E8" s="204">
        <x:f ca="1">='Revision Summary'!$E$20</x:f>
      </x:c>
      <x:c r="F8" s="26"/>
      <x:c r="G8" s="26"/>
      <x:c r="H8" s="26"/>
      <x:c r="I8" s="26"/>
    </x:row>
    <x:row r="9" spans="1:11" x14ac:dyDescent="0.3">
      <x:c r="A9" s="127"/>
      <x:c r="B9" s="25"/>
      <x:c r="C9" s="26"/>
      <x:c r="D9" s="164">
        <x:v>Total Minimum Hard-Dollar Savings</x:v>
      </x:c>
      <x:c r="E9" s="204">
        <x:f ca="1">=SUM(E5:E8)</x:f>
      </x:c>
      <x:c r="F9" s="208">
        <x:f ca="1">=SUM(E9/'Revision Summary'!E18)</x:f>
      </x:c>
      <x:c r="G9" s="26"/>
      <x:c r="H9" s="26"/>
      <x:c r="I9" s="26"/>
    </x:row>
    <x:row r="12" spans="1:10" ht="25.5" customHeight="1" x14ac:dyDescent="0.25">
      <x:c r="A12" s="19"/>
      <x:c r="B12" s="19">
        <x:v>From Jul. 2018 to Oct. 2018</x:v>
      </x:c>
      <x:c r="C12" s="19"/>
      <x:c r="D12" s="19"/>
      <x:c r="E12" s="19"/>
      <x:c r="F12" s="19"/>
      <x:c r="G12" s="19"/>
      <x:c r="H12" s="19"/>
      <x:c r="I12" s="19"/>
      <x:c r="J12" s="19"/>
    </x:row>
    <x:row r="13" spans="1:10" ht="35.75" customHeight="1" x14ac:dyDescent="0.25">
      <x:c r="B13" s="47" t="str">
        <x:v>Meter Group</x:v>
      </x:c>
      <x:c r="C13" s="45" t="str">
        <x:v>Quarterly Contracted Volume</x:v>
      </x:c>
      <x:c r="D13" s="45" t="str">
        <x:v>Actual Volume For Period</x:v>
      </x:c>
      <x:c r="E13" s="45" t="str">
        <x:v>Overage/ (Underage) For Period</x:v>
      </x:c>
      <x:c r="F13" s="45" t="str">
        <x:v>Accrued Rollover Pages</x:v>
      </x:c>
      <x:c r="G13" s="45" t="str">
        <x:v>Net Overage (Underage)</x:v>
      </x:c>
      <x:c r="H13" s="45" t="str">
        <x:v>Excess CPP</x:v>
      </x:c>
      <x:c r="I13" s="45" t="str">
        <x:v>Credits</x:v>
      </x:c>
      <x:c r="J13" s="46" t="str">
        <x:v>Overage Expense</x:v>
      </x:c>
    </x:row>
    <x:row r="14" spans="1:10" x14ac:dyDescent="0.25">
      <x:c r="B14" s="60" t="str">
        <x:v>B/W Copies and B/W Laser Prints</x:v>
      </x:c>
      <x:c r="C14" s="73" t="str">
        <x:v>220,000</x:v>
      </x:c>
      <x:c r="D14" s="73" t="str">
        <x:v>271,217</x:v>
      </x:c>
      <x:c r="E14" s="177" t="n">
        <x:f ca="1">=SUM(D14 - C14)</x:f>
      </x:c>
      <x:c r="F14" s="177" t="n">
        <x:v>61071</x:v>
      </x:c>
      <x:c r="G14" s="177" t="n">
        <x:f ca="1">=SUM(E14-F14)</x:f>
      </x:c>
      <x:c r="H14" s="75" t="str">
        <x:v>$ 0.0156</x:v>
      </x:c>
      <x:c r="I14" s="218" t="n">
        <x:v>0</x:v>
      </x:c>
      <x:c r="J14" s="203" t="n">
        <x:f ca="1">=IF(I14&lt;&gt;0,SUM(-1*I14),IF(SUM(G14 * H14) &lt; 0, 0,SUM(G14 * H14)))</x:f>
      </x:c>
    </x:row>
    <x:row r="15" spans="1:10" x14ac:dyDescent="0.25">
      <x:c r="B15" s="60" t="str">
        <x:v>Color Copier (Color Pages)</x:v>
      </x:c>
      <x:c r="C15" s="73" t="str">
        <x:v>12,000</x:v>
      </x:c>
      <x:c r="D15" s="73" t="str">
        <x:v>14,919</x:v>
      </x:c>
      <x:c r="E15" s="177" t="n">
        <x:f ca="1">=SUM(D15 - C15)</x:f>
      </x:c>
      <x:c r="F15" s="177" t="n">
        <x:v>41068</x:v>
      </x:c>
      <x:c r="G15" s="177" t="n">
        <x:f ca="1">=SUM(E15-F15)</x:f>
      </x:c>
      <x:c r="H15" s="75" t="str">
        <x:v>$ 0.0840</x:v>
      </x:c>
      <x:c r="I15" s="218" t="n">
        <x:v>0</x:v>
      </x:c>
      <x:c r="J15" s="203" t="n">
        <x:f ca="1">=IF(I15&lt;&gt;0,SUM(-1*I15),IF(SUM(G15 * H15) &lt; 0, 0,SUM(G15 * H15)))</x:f>
      </x:c>
    </x:row>
    <x:row r="16" spans="1:10" x14ac:dyDescent="0.25">
      <x:c r="B16" s="58" t="str">
        <x:v>Color Laser Prints</x:v>
      </x:c>
      <x:c r="C16" s="6" t="str">
        <x:v>20,000</x:v>
      </x:c>
      <x:c r="D16" s="6" t="str">
        <x:v>28,644</x:v>
      </x:c>
      <x:c r="E16" s="176" t="n">
        <x:f ca="1">=SUM(D16 - C16)</x:f>
      </x:c>
      <x:c r="F16" s="176" t="n">
        <x:v>0</x:v>
      </x:c>
      <x:c r="G16" s="176" t="n">
        <x:f ca="1">=SUM(E16 - F16)</x:f>
      </x:c>
      <x:c r="H16" s="17" t="str">
        <x:v>$ 0.1440</x:v>
      </x:c>
      <x:c r="I16" s="217" t="n">
        <x:v>0</x:v>
      </x:c>
      <x:c r="J16" s="202" t="n">
        <x:f ca="1">=IF(I16&lt;&gt;0,SUM(-1*I16),IF(SUM(G16 * H16) &lt; 0, 0,SUM(G16 * H16)))</x:f>
      </x:c>
    </x:row>
    <x:row r="17" spans="1:7" x14ac:dyDescent="0.25">
      <x:c r="B17" s="92"/>
      <x:c r="C17" s="120"/>
      <x:c r="D17" s="120"/>
      <x:c r="E17" s="120"/>
      <x:c r="F17" s="120"/>
      <x:c r="G17" s="120"/>
      <x:c r="H17" s="120"/>
      <x:c r="I17" s="120"/>
      <x:c r="J17" s="121"/>
    </x:row>
    <x:row r="18" spans="1:7" x14ac:dyDescent="0.25">
      <x:c r="B18" s="164"/>
      <x:c r="C18" s="164"/>
      <x:c r="D18" s="164"/>
      <x:c r="E18" s="164"/>
      <x:c r="F18" s="164"/>
      <x:c r="G18" s="164"/>
      <x:c r="H18" s="164">
        <x:v>Current Overage Expense:</x:v>
      </x:c>
      <x:c r="J18" s="204">
        <x:f ca="1">=Sum(J14:J16)</x:f>
      </x:c>
    </x:row>
  </x:sheetData>
  <x:mergeCells count="3">
    <x:mergeCell ref="A1:J1"/>
    <x:mergeCell ref="A2:J2"/>
    <x:mergeCell ref="A3:J3"/>
  </x:mergeCells>
  <x:printOptions horizontalCentered="1"/>
  <x:pageMargins left="0.333" right="0.333" top="1.25" bottom="0.75" header="0.3" footer="0.2"/>
  <x:pageSetup orientation="landscape" horizontalDpi="0" verticalDpi="0" r:id="rId1"/>
  <x:headerFooter>
    <x:oddHeader>&amp;C&amp;G</x:oddHeader>
    <x:oddFooter>&amp;C&amp;G</x:oddFooter>
  </x:headerFooter>
  <x:legacyDrawingHF r:id="rId2"/>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3</vt:i4>
      </vt:variant>
    </vt:vector>
  </ap:HeadingPairs>
  <ap:TitlesOfParts>
    <vt:vector baseType="lpstr" size="9">
      <vt:lpstr>SETUP</vt:lpstr>
      <vt:lpstr>Replacements</vt:lpstr>
      <vt:lpstr>Cost Avoidance</vt:lpstr>
      <vt:lpstr>Easylink</vt:lpstr>
      <vt:lpstr>Surveys</vt:lpstr>
      <vt:lpstr>New Survey</vt:lpstr>
      <vt:lpstr>Easylink!Print_Area</vt:lpstr>
      <vt:lpstr>Easylink!Print_Titles</vt:lpstr>
      <vt:lpstr>Replacements!Print_Titles</vt:lpstr>
    </vt:vector>
  </ap:TitlesOfParts>
  <ap:Company>Hewlett-Packard Company</ap:Company>
  <ap:LinksUpToDate>false</ap:LinksUpToDate>
  <ap:SharedDoc>false</ap:SharedDoc>
  <ap:HyperlinksChanged>false</ap:HyperlinksChanged>
  <ap:AppVersion>14.0300</ap:AppVersion>
</ap:Properties>
</file>