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Y4\Desktop\cosas git\proyecto 2\Canvas modelo de negocio y presentacion\"/>
    </mc:Choice>
  </mc:AlternateContent>
  <xr:revisionPtr revIDLastSave="0" documentId="13_ncr:1_{92CAC12D-FFBC-4951-8BA5-2862035E631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ductos" sheetId="2" r:id="rId1"/>
    <sheet name="ventas" sheetId="4" r:id="rId2"/>
    <sheet name="Datos" sheetId="1" r:id="rId3"/>
    <sheet name="plan de negocio" sheetId="5" r:id="rId4"/>
    <sheet name="presupuesto" sheetId="6" r:id="rId5"/>
    <sheet name="Grafica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O68" i="7"/>
  <c r="O67" i="7"/>
  <c r="O66" i="7"/>
  <c r="O65" i="7"/>
  <c r="O62" i="7"/>
  <c r="O61" i="7"/>
  <c r="O60" i="7"/>
  <c r="B7" i="5"/>
  <c r="B5" i="5"/>
  <c r="B6" i="5"/>
  <c r="B32" i="5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B33" i="5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AJ28" i="5" s="1"/>
  <c r="AK28" i="5" s="1"/>
  <c r="AK33" i="5" s="1"/>
  <c r="B23" i="5"/>
  <c r="C23" i="5" s="1"/>
  <c r="K25" i="6"/>
  <c r="L25" i="6" s="1"/>
  <c r="K24" i="6"/>
  <c r="L24" i="6" s="1"/>
  <c r="K23" i="6"/>
  <c r="L23" i="6" s="1"/>
  <c r="K22" i="6"/>
  <c r="L22" i="6" s="1"/>
  <c r="D17" i="5" s="1"/>
  <c r="G12" i="2"/>
  <c r="H12" i="2"/>
  <c r="I12" i="2"/>
  <c r="B12" i="5" s="1"/>
  <c r="H22" i="2"/>
  <c r="I22" i="2"/>
  <c r="G22" i="2"/>
  <c r="B4" i="5"/>
  <c r="C3" i="4"/>
  <c r="D3" i="4" s="1"/>
  <c r="C2" i="4"/>
  <c r="C4" i="5" s="1"/>
  <c r="D14" i="1"/>
  <c r="B5" i="4" s="1"/>
  <c r="R18" i="5" l="1"/>
  <c r="AJ18" i="5"/>
  <c r="L18" i="5"/>
  <c r="C7" i="5"/>
  <c r="D7" i="5" s="1"/>
  <c r="E7" i="5" s="1"/>
  <c r="C5" i="5"/>
  <c r="C5" i="4"/>
  <c r="C32" i="5"/>
  <c r="F17" i="5"/>
  <c r="V17" i="5"/>
  <c r="AD17" i="5"/>
  <c r="T18" i="5"/>
  <c r="AB18" i="5"/>
  <c r="N17" i="5"/>
  <c r="P33" i="5"/>
  <c r="Q33" i="5"/>
  <c r="R33" i="5"/>
  <c r="Y33" i="5"/>
  <c r="D33" i="5"/>
  <c r="Z33" i="5"/>
  <c r="E33" i="5"/>
  <c r="AC33" i="5"/>
  <c r="G33" i="5"/>
  <c r="AE33" i="5"/>
  <c r="H33" i="5"/>
  <c r="O33" i="5"/>
  <c r="X33" i="5"/>
  <c r="M33" i="5"/>
  <c r="AF33" i="5"/>
  <c r="T33" i="5"/>
  <c r="I33" i="5"/>
  <c r="AG33" i="5"/>
  <c r="U33" i="5"/>
  <c r="J33" i="5"/>
  <c r="AH33" i="5"/>
  <c r="W33" i="5"/>
  <c r="L33" i="5"/>
  <c r="AI33" i="5"/>
  <c r="AA33" i="5"/>
  <c r="S33" i="5"/>
  <c r="K33" i="5"/>
  <c r="C33" i="5"/>
  <c r="J10" i="1" s="1"/>
  <c r="AJ33" i="5"/>
  <c r="AB33" i="5"/>
  <c r="AD33" i="5"/>
  <c r="V33" i="5"/>
  <c r="N33" i="5"/>
  <c r="F33" i="5"/>
  <c r="B19" i="5"/>
  <c r="B13" i="5"/>
  <c r="B14" i="5" s="1"/>
  <c r="E3" i="4"/>
  <c r="D13" i="5"/>
  <c r="C13" i="5"/>
  <c r="C6" i="5"/>
  <c r="C12" i="5"/>
  <c r="D2" i="4"/>
  <c r="C19" i="5"/>
  <c r="D10" i="6"/>
  <c r="D13" i="6" s="1"/>
  <c r="F10" i="6"/>
  <c r="F13" i="6" s="1"/>
  <c r="T16" i="5"/>
  <c r="C16" i="5"/>
  <c r="AA16" i="5"/>
  <c r="Z16" i="5"/>
  <c r="AB16" i="5"/>
  <c r="K16" i="5"/>
  <c r="AI16" i="5"/>
  <c r="E16" i="5"/>
  <c r="M16" i="5"/>
  <c r="U16" i="5"/>
  <c r="AC16" i="5"/>
  <c r="AK16" i="5"/>
  <c r="L16" i="5"/>
  <c r="S16" i="5"/>
  <c r="J16" i="5"/>
  <c r="AH16" i="5"/>
  <c r="H16" i="5"/>
  <c r="P16" i="5"/>
  <c r="X16" i="5"/>
  <c r="AF16" i="5"/>
  <c r="G16" i="5"/>
  <c r="O16" i="5"/>
  <c r="W16" i="5"/>
  <c r="AE16" i="5"/>
  <c r="B10" i="6"/>
  <c r="B13" i="6" s="1"/>
  <c r="F16" i="5"/>
  <c r="N16" i="5"/>
  <c r="V16" i="5"/>
  <c r="AD16" i="5"/>
  <c r="B16" i="5"/>
  <c r="E10" i="6"/>
  <c r="E13" i="6" s="1"/>
  <c r="D16" i="5"/>
  <c r="AJ16" i="5"/>
  <c r="R16" i="5"/>
  <c r="I16" i="5"/>
  <c r="Q16" i="5"/>
  <c r="Y16" i="5"/>
  <c r="AG16" i="5"/>
  <c r="G17" i="5"/>
  <c r="AK18" i="5"/>
  <c r="X17" i="5"/>
  <c r="Y17" i="5"/>
  <c r="G18" i="5"/>
  <c r="AI17" i="5"/>
  <c r="AA17" i="5"/>
  <c r="S17" i="5"/>
  <c r="K17" i="5"/>
  <c r="C17" i="5"/>
  <c r="AG18" i="5"/>
  <c r="Y18" i="5"/>
  <c r="Q18" i="5"/>
  <c r="I18" i="5"/>
  <c r="AJ17" i="5"/>
  <c r="AB17" i="5"/>
  <c r="T17" i="5"/>
  <c r="L17" i="5"/>
  <c r="AH18" i="5"/>
  <c r="Z18" i="5"/>
  <c r="J18" i="5"/>
  <c r="AK17" i="5"/>
  <c r="AC17" i="5"/>
  <c r="U17" i="5"/>
  <c r="M17" i="5"/>
  <c r="E17" i="5"/>
  <c r="AI18" i="5"/>
  <c r="AA18" i="5"/>
  <c r="S18" i="5"/>
  <c r="K18" i="5"/>
  <c r="W17" i="5"/>
  <c r="AC18" i="5"/>
  <c r="P17" i="5"/>
  <c r="AD18" i="5"/>
  <c r="F18" i="5"/>
  <c r="Q17" i="5"/>
  <c r="B17" i="5"/>
  <c r="AH17" i="5"/>
  <c r="Z17" i="5"/>
  <c r="R17" i="5"/>
  <c r="J17" i="5"/>
  <c r="AF18" i="5"/>
  <c r="X18" i="5"/>
  <c r="P18" i="5"/>
  <c r="H18" i="5"/>
  <c r="O17" i="5"/>
  <c r="U18" i="5"/>
  <c r="AF17" i="5"/>
  <c r="V18" i="5"/>
  <c r="AG17" i="5"/>
  <c r="W18" i="5"/>
  <c r="AE17" i="5"/>
  <c r="M18" i="5"/>
  <c r="H17" i="5"/>
  <c r="N18" i="5"/>
  <c r="E18" i="5"/>
  <c r="I17" i="5"/>
  <c r="AE18" i="5"/>
  <c r="O18" i="5"/>
  <c r="D23" i="5"/>
  <c r="C26" i="5"/>
  <c r="B26" i="5"/>
  <c r="E3" i="6"/>
  <c r="E8" i="6" s="1"/>
  <c r="B3" i="6"/>
  <c r="B8" i="6" s="1"/>
  <c r="C3" i="6"/>
  <c r="C8" i="6" s="1"/>
  <c r="F3" i="6"/>
  <c r="F8" i="6" s="1"/>
  <c r="D3" i="6"/>
  <c r="D8" i="6" s="1"/>
  <c r="C10" i="6"/>
  <c r="C13" i="6" s="1"/>
  <c r="B8" i="5"/>
  <c r="D5" i="4" l="1"/>
  <c r="D5" i="5"/>
  <c r="F7" i="5"/>
  <c r="D32" i="5"/>
  <c r="D6" i="5"/>
  <c r="E14" i="6"/>
  <c r="D19" i="5"/>
  <c r="D20" i="5" s="1"/>
  <c r="C20" i="5"/>
  <c r="B20" i="5"/>
  <c r="C14" i="5"/>
  <c r="C8" i="5"/>
  <c r="F3" i="4"/>
  <c r="E13" i="5"/>
  <c r="E2" i="4"/>
  <c r="E5" i="4" s="1"/>
  <c r="D4" i="5"/>
  <c r="D12" i="5"/>
  <c r="D14" i="5" s="1"/>
  <c r="C14" i="6"/>
  <c r="B14" i="6"/>
  <c r="G14" i="6" s="1"/>
  <c r="D14" i="6"/>
  <c r="F14" i="6"/>
  <c r="E23" i="5"/>
  <c r="D26" i="5"/>
  <c r="E5" i="5" l="1"/>
  <c r="E32" i="5"/>
  <c r="E6" i="5"/>
  <c r="C34" i="5"/>
  <c r="D34" i="5"/>
  <c r="D8" i="5"/>
  <c r="G3" i="4"/>
  <c r="G7" i="5" s="1"/>
  <c r="F13" i="5"/>
  <c r="F2" i="4"/>
  <c r="E12" i="5"/>
  <c r="E14" i="5" s="1"/>
  <c r="E4" i="5"/>
  <c r="E19" i="5"/>
  <c r="E20" i="5" s="1"/>
  <c r="B34" i="5"/>
  <c r="F23" i="5"/>
  <c r="E26" i="5"/>
  <c r="F32" i="5" l="1"/>
  <c r="F6" i="5"/>
  <c r="F5" i="5"/>
  <c r="F5" i="4"/>
  <c r="E8" i="5"/>
  <c r="G2" i="4"/>
  <c r="F12" i="5"/>
  <c r="F14" i="5" s="1"/>
  <c r="F4" i="5"/>
  <c r="F19" i="5"/>
  <c r="F20" i="5" s="1"/>
  <c r="H3" i="4"/>
  <c r="H7" i="5" s="1"/>
  <c r="G13" i="5"/>
  <c r="E34" i="5"/>
  <c r="F26" i="5"/>
  <c r="G23" i="5"/>
  <c r="G32" i="5" l="1"/>
  <c r="G6" i="5"/>
  <c r="G5" i="4"/>
  <c r="G5" i="5"/>
  <c r="F8" i="5"/>
  <c r="H2" i="4"/>
  <c r="G12" i="5"/>
  <c r="G14" i="5" s="1"/>
  <c r="G4" i="5"/>
  <c r="G19" i="5"/>
  <c r="G20" i="5" s="1"/>
  <c r="F34" i="5"/>
  <c r="I3" i="4"/>
  <c r="I7" i="5" s="1"/>
  <c r="H13" i="5"/>
  <c r="G26" i="5"/>
  <c r="H23" i="5"/>
  <c r="H32" i="5" l="1"/>
  <c r="H6" i="5"/>
  <c r="H5" i="5"/>
  <c r="I5" i="5" s="1"/>
  <c r="H5" i="4"/>
  <c r="G34" i="5"/>
  <c r="G8" i="5"/>
  <c r="J3" i="4"/>
  <c r="J7" i="5" s="1"/>
  <c r="I13" i="5"/>
  <c r="I2" i="4"/>
  <c r="H12" i="5"/>
  <c r="H14" i="5" s="1"/>
  <c r="H4" i="5"/>
  <c r="H19" i="5"/>
  <c r="H20" i="5" s="1"/>
  <c r="H26" i="5"/>
  <c r="I23" i="5"/>
  <c r="I32" i="5" l="1"/>
  <c r="I6" i="5"/>
  <c r="I5" i="4"/>
  <c r="H8" i="5"/>
  <c r="K3" i="4"/>
  <c r="K7" i="5" s="1"/>
  <c r="J13" i="5"/>
  <c r="J2" i="4"/>
  <c r="J5" i="5" s="1"/>
  <c r="I4" i="5"/>
  <c r="I12" i="5"/>
  <c r="I14" i="5" s="1"/>
  <c r="I19" i="5"/>
  <c r="I20" i="5" s="1"/>
  <c r="H34" i="5"/>
  <c r="I26" i="5"/>
  <c r="J23" i="5"/>
  <c r="J32" i="5" l="1"/>
  <c r="J6" i="5"/>
  <c r="J5" i="4"/>
  <c r="I8" i="5"/>
  <c r="I34" i="5"/>
  <c r="L3" i="4"/>
  <c r="L7" i="5" s="1"/>
  <c r="K13" i="5"/>
  <c r="K2" i="4"/>
  <c r="J4" i="5"/>
  <c r="J12" i="5"/>
  <c r="J14" i="5" s="1"/>
  <c r="J19" i="5"/>
  <c r="J20" i="5" s="1"/>
  <c r="J26" i="5"/>
  <c r="K23" i="5"/>
  <c r="K32" i="5" l="1"/>
  <c r="K6" i="5"/>
  <c r="K5" i="5"/>
  <c r="K5" i="4"/>
  <c r="J34" i="5"/>
  <c r="J8" i="5"/>
  <c r="M3" i="4"/>
  <c r="M7" i="5" s="1"/>
  <c r="L13" i="5"/>
  <c r="L2" i="4"/>
  <c r="K4" i="5"/>
  <c r="K12" i="5"/>
  <c r="K14" i="5" s="1"/>
  <c r="K19" i="5"/>
  <c r="K20" i="5" s="1"/>
  <c r="K26" i="5"/>
  <c r="L23" i="5"/>
  <c r="L32" i="5" l="1"/>
  <c r="L6" i="5"/>
  <c r="L5" i="5"/>
  <c r="L5" i="4"/>
  <c r="M5" i="4" s="1"/>
  <c r="K8" i="5"/>
  <c r="M2" i="4"/>
  <c r="L4" i="5"/>
  <c r="L12" i="5"/>
  <c r="L14" i="5" s="1"/>
  <c r="L19" i="5"/>
  <c r="L20" i="5" s="1"/>
  <c r="N3" i="4"/>
  <c r="N7" i="5" s="1"/>
  <c r="M13" i="5"/>
  <c r="K34" i="5"/>
  <c r="L26" i="5"/>
  <c r="M23" i="5"/>
  <c r="M5" i="5" l="1"/>
  <c r="M32" i="5"/>
  <c r="M6" i="5"/>
  <c r="O7" i="5"/>
  <c r="L34" i="5"/>
  <c r="L8" i="5"/>
  <c r="N2" i="4"/>
  <c r="M12" i="5"/>
  <c r="M14" i="5" s="1"/>
  <c r="M4" i="5"/>
  <c r="M19" i="5"/>
  <c r="M20" i="5" s="1"/>
  <c r="O3" i="4"/>
  <c r="N13" i="5"/>
  <c r="M26" i="5"/>
  <c r="N23" i="5"/>
  <c r="N32" i="5" l="1"/>
  <c r="N6" i="5"/>
  <c r="N5" i="5"/>
  <c r="N5" i="4"/>
  <c r="M8" i="5"/>
  <c r="M34" i="5"/>
  <c r="O2" i="4"/>
  <c r="N12" i="5"/>
  <c r="N14" i="5" s="1"/>
  <c r="N4" i="5"/>
  <c r="N19" i="5"/>
  <c r="N20" i="5" s="1"/>
  <c r="P3" i="4"/>
  <c r="P7" i="5" s="1"/>
  <c r="O13" i="5"/>
  <c r="N26" i="5"/>
  <c r="O23" i="5"/>
  <c r="O32" i="5" l="1"/>
  <c r="O6" i="5"/>
  <c r="O5" i="5"/>
  <c r="O5" i="4"/>
  <c r="N8" i="5"/>
  <c r="P2" i="4"/>
  <c r="O4" i="5"/>
  <c r="O12" i="5"/>
  <c r="O14" i="5" s="1"/>
  <c r="O19" i="5"/>
  <c r="O20" i="5" s="1"/>
  <c r="N34" i="5"/>
  <c r="Q3" i="4"/>
  <c r="Q7" i="5" s="1"/>
  <c r="P13" i="5"/>
  <c r="O26" i="5"/>
  <c r="P23" i="5"/>
  <c r="P32" i="5" l="1"/>
  <c r="P6" i="5"/>
  <c r="P5" i="5"/>
  <c r="P5" i="4"/>
  <c r="O8" i="5"/>
  <c r="O34" i="5"/>
  <c r="Q2" i="4"/>
  <c r="P4" i="5"/>
  <c r="P12" i="5"/>
  <c r="P14" i="5" s="1"/>
  <c r="P19" i="5"/>
  <c r="P20" i="5" s="1"/>
  <c r="R3" i="4"/>
  <c r="R7" i="5" s="1"/>
  <c r="Q13" i="5"/>
  <c r="P26" i="5"/>
  <c r="Q23" i="5"/>
  <c r="Q32" i="5" l="1"/>
  <c r="Q6" i="5"/>
  <c r="Q5" i="5"/>
  <c r="Q5" i="4"/>
  <c r="P8" i="5"/>
  <c r="S3" i="4"/>
  <c r="S7" i="5" s="1"/>
  <c r="R13" i="5"/>
  <c r="R2" i="4"/>
  <c r="Q4" i="5"/>
  <c r="Q12" i="5"/>
  <c r="Q14" i="5" s="1"/>
  <c r="Q19" i="5"/>
  <c r="Q20" i="5" s="1"/>
  <c r="P34" i="5"/>
  <c r="Q26" i="5"/>
  <c r="R23" i="5"/>
  <c r="R32" i="5" l="1"/>
  <c r="R6" i="5"/>
  <c r="R5" i="4"/>
  <c r="R5" i="5"/>
  <c r="Q34" i="5"/>
  <c r="Q8" i="5"/>
  <c r="T3" i="4"/>
  <c r="T7" i="5" s="1"/>
  <c r="S13" i="5"/>
  <c r="S2" i="4"/>
  <c r="R4" i="5"/>
  <c r="R12" i="5"/>
  <c r="R14" i="5" s="1"/>
  <c r="R19" i="5"/>
  <c r="R20" i="5" s="1"/>
  <c r="R26" i="5"/>
  <c r="S23" i="5"/>
  <c r="S5" i="5" l="1"/>
  <c r="S32" i="5"/>
  <c r="S6" i="5"/>
  <c r="S5" i="4"/>
  <c r="R8" i="5"/>
  <c r="U3" i="4"/>
  <c r="U7" i="5" s="1"/>
  <c r="T13" i="5"/>
  <c r="T2" i="4"/>
  <c r="S12" i="5"/>
  <c r="S14" i="5" s="1"/>
  <c r="S4" i="5"/>
  <c r="S19" i="5"/>
  <c r="S20" i="5" s="1"/>
  <c r="R34" i="5"/>
  <c r="S26" i="5"/>
  <c r="T23" i="5"/>
  <c r="T32" i="5" l="1"/>
  <c r="T6" i="5"/>
  <c r="T5" i="5"/>
  <c r="T5" i="4"/>
  <c r="S8" i="5"/>
  <c r="V3" i="4"/>
  <c r="V7" i="5" s="1"/>
  <c r="U13" i="5"/>
  <c r="U2" i="4"/>
  <c r="T4" i="5"/>
  <c r="T12" i="5"/>
  <c r="T14" i="5" s="1"/>
  <c r="T19" i="5"/>
  <c r="T20" i="5" s="1"/>
  <c r="S34" i="5"/>
  <c r="T26" i="5"/>
  <c r="U23" i="5"/>
  <c r="U32" i="5" l="1"/>
  <c r="U6" i="5"/>
  <c r="U5" i="5"/>
  <c r="U5" i="4"/>
  <c r="T8" i="5"/>
  <c r="V2" i="4"/>
  <c r="U4" i="5"/>
  <c r="U12" i="5"/>
  <c r="U14" i="5" s="1"/>
  <c r="U19" i="5"/>
  <c r="U20" i="5" s="1"/>
  <c r="W3" i="4"/>
  <c r="W7" i="5" s="1"/>
  <c r="V13" i="5"/>
  <c r="T34" i="5"/>
  <c r="U26" i="5"/>
  <c r="V23" i="5"/>
  <c r="V5" i="5" l="1"/>
  <c r="V5" i="4"/>
  <c r="W5" i="4" s="1"/>
  <c r="W5" i="5"/>
  <c r="V32" i="5"/>
  <c r="V6" i="5"/>
  <c r="U8" i="5"/>
  <c r="U34" i="5"/>
  <c r="W2" i="4"/>
  <c r="V12" i="5"/>
  <c r="V14" i="5" s="1"/>
  <c r="V4" i="5"/>
  <c r="V19" i="5"/>
  <c r="V20" i="5" s="1"/>
  <c r="X3" i="4"/>
  <c r="X7" i="5" s="1"/>
  <c r="W13" i="5"/>
  <c r="V26" i="5"/>
  <c r="W23" i="5"/>
  <c r="W32" i="5" l="1"/>
  <c r="W6" i="5"/>
  <c r="V34" i="5"/>
  <c r="V8" i="5"/>
  <c r="Y3" i="4"/>
  <c r="Y7" i="5" s="1"/>
  <c r="X13" i="5"/>
  <c r="X2" i="4"/>
  <c r="X5" i="5" s="1"/>
  <c r="W4" i="5"/>
  <c r="W12" i="5"/>
  <c r="W14" i="5" s="1"/>
  <c r="W19" i="5"/>
  <c r="W20" i="5" s="1"/>
  <c r="W26" i="5"/>
  <c r="X23" i="5"/>
  <c r="X32" i="5" l="1"/>
  <c r="X6" i="5"/>
  <c r="X5" i="4"/>
  <c r="W8" i="5"/>
  <c r="W34" i="5"/>
  <c r="Z3" i="4"/>
  <c r="Z7" i="5" s="1"/>
  <c r="Y13" i="5"/>
  <c r="Y2" i="4"/>
  <c r="Y5" i="5" s="1"/>
  <c r="X4" i="5"/>
  <c r="X12" i="5"/>
  <c r="X14" i="5" s="1"/>
  <c r="X19" i="5"/>
  <c r="X20" i="5" s="1"/>
  <c r="X26" i="5"/>
  <c r="Y23" i="5"/>
  <c r="Y32" i="5" l="1"/>
  <c r="Y6" i="5"/>
  <c r="Y5" i="4"/>
  <c r="X34" i="5"/>
  <c r="X8" i="5"/>
  <c r="AA3" i="4"/>
  <c r="AA7" i="5" s="1"/>
  <c r="Z13" i="5"/>
  <c r="Z2" i="4"/>
  <c r="Y4" i="5"/>
  <c r="Y12" i="5"/>
  <c r="Y14" i="5" s="1"/>
  <c r="Y19" i="5"/>
  <c r="Y20" i="5" s="1"/>
  <c r="Y26" i="5"/>
  <c r="Z23" i="5"/>
  <c r="Z32" i="5" l="1"/>
  <c r="Z6" i="5"/>
  <c r="Z5" i="5"/>
  <c r="Z5" i="4"/>
  <c r="Y8" i="5"/>
  <c r="AB3" i="4"/>
  <c r="AB7" i="5" s="1"/>
  <c r="AA13" i="5"/>
  <c r="AA2" i="4"/>
  <c r="Z4" i="5"/>
  <c r="Z12" i="5"/>
  <c r="Z14" i="5" s="1"/>
  <c r="Z19" i="5"/>
  <c r="Z20" i="5" s="1"/>
  <c r="Y34" i="5"/>
  <c r="Z26" i="5"/>
  <c r="AA23" i="5"/>
  <c r="AA32" i="5" l="1"/>
  <c r="AA6" i="5"/>
  <c r="AA5" i="4"/>
  <c r="AA5" i="5"/>
  <c r="Z8" i="5"/>
  <c r="Z34" i="5"/>
  <c r="AC3" i="4"/>
  <c r="AC7" i="5" s="1"/>
  <c r="AB13" i="5"/>
  <c r="AB2" i="4"/>
  <c r="AA4" i="5"/>
  <c r="AA12" i="5"/>
  <c r="AA14" i="5" s="1"/>
  <c r="AA19" i="5"/>
  <c r="AA20" i="5" s="1"/>
  <c r="AA26" i="5"/>
  <c r="AB23" i="5"/>
  <c r="AB5" i="5" l="1"/>
  <c r="AB32" i="5"/>
  <c r="AB6" i="5"/>
  <c r="AB5" i="4"/>
  <c r="AA34" i="5"/>
  <c r="AA8" i="5"/>
  <c r="AD3" i="4"/>
  <c r="AD7" i="5" s="1"/>
  <c r="AC13" i="5"/>
  <c r="AC2" i="4"/>
  <c r="AB12" i="5"/>
  <c r="AB14" i="5" s="1"/>
  <c r="AB4" i="5"/>
  <c r="AB19" i="5"/>
  <c r="AB20" i="5" s="1"/>
  <c r="AB26" i="5"/>
  <c r="AC23" i="5"/>
  <c r="AC5" i="5" l="1"/>
  <c r="AC32" i="5"/>
  <c r="AC6" i="5"/>
  <c r="AC5" i="4"/>
  <c r="AB34" i="5"/>
  <c r="AB8" i="5"/>
  <c r="AE3" i="4"/>
  <c r="AE7" i="5" s="1"/>
  <c r="AD13" i="5"/>
  <c r="AD2" i="4"/>
  <c r="AD5" i="5" s="1"/>
  <c r="AC12" i="5"/>
  <c r="AC14" i="5" s="1"/>
  <c r="AC4" i="5"/>
  <c r="AC19" i="5"/>
  <c r="AC20" i="5" s="1"/>
  <c r="AC26" i="5"/>
  <c r="AD23" i="5"/>
  <c r="AD32" i="5" l="1"/>
  <c r="AD6" i="5"/>
  <c r="AD5" i="4"/>
  <c r="AC34" i="5"/>
  <c r="AC8" i="5"/>
  <c r="AF3" i="4"/>
  <c r="AF7" i="5" s="1"/>
  <c r="AE13" i="5"/>
  <c r="AE2" i="4"/>
  <c r="AE5" i="5" s="1"/>
  <c r="AD12" i="5"/>
  <c r="AD14" i="5" s="1"/>
  <c r="AD4" i="5"/>
  <c r="AD19" i="5"/>
  <c r="AD20" i="5" s="1"/>
  <c r="AD26" i="5"/>
  <c r="AE23" i="5"/>
  <c r="AE32" i="5" l="1"/>
  <c r="AE6" i="5"/>
  <c r="AE5" i="4"/>
  <c r="AD8" i="5"/>
  <c r="AD34" i="5"/>
  <c r="AG3" i="4"/>
  <c r="AG7" i="5" s="1"/>
  <c r="AF13" i="5"/>
  <c r="AF2" i="4"/>
  <c r="AF5" i="5" s="1"/>
  <c r="AE12" i="5"/>
  <c r="AE14" i="5" s="1"/>
  <c r="AE4" i="5"/>
  <c r="AE19" i="5"/>
  <c r="AE20" i="5" s="1"/>
  <c r="AE26" i="5"/>
  <c r="AF23" i="5"/>
  <c r="AF32" i="5" l="1"/>
  <c r="AF6" i="5"/>
  <c r="AF5" i="4"/>
  <c r="AE34" i="5"/>
  <c r="AE8" i="5"/>
  <c r="AH3" i="4"/>
  <c r="AH7" i="5" s="1"/>
  <c r="AG13" i="5"/>
  <c r="AG2" i="4"/>
  <c r="AF4" i="5"/>
  <c r="AF12" i="5"/>
  <c r="AF14" i="5" s="1"/>
  <c r="AF19" i="5"/>
  <c r="AF20" i="5" s="1"/>
  <c r="AF26" i="5"/>
  <c r="AG23" i="5"/>
  <c r="AG32" i="5" l="1"/>
  <c r="AG6" i="5"/>
  <c r="AG5" i="5"/>
  <c r="AG5" i="4"/>
  <c r="AF34" i="5"/>
  <c r="AF8" i="5"/>
  <c r="AI3" i="4"/>
  <c r="AI7" i="5" s="1"/>
  <c r="AH13" i="5"/>
  <c r="AH2" i="4"/>
  <c r="AG4" i="5"/>
  <c r="AG12" i="5"/>
  <c r="AG14" i="5" s="1"/>
  <c r="AG19" i="5"/>
  <c r="AG20" i="5" s="1"/>
  <c r="AG26" i="5"/>
  <c r="AH23" i="5"/>
  <c r="AH32" i="5" l="1"/>
  <c r="AH6" i="5"/>
  <c r="AH5" i="5"/>
  <c r="AH5" i="4"/>
  <c r="AG8" i="5"/>
  <c r="AJ3" i="4"/>
  <c r="AJ7" i="5" s="1"/>
  <c r="AI13" i="5"/>
  <c r="AI2" i="4"/>
  <c r="AH4" i="5"/>
  <c r="AH12" i="5"/>
  <c r="AH14" i="5" s="1"/>
  <c r="AH19" i="5"/>
  <c r="AH20" i="5" s="1"/>
  <c r="AG34" i="5"/>
  <c r="AH26" i="5"/>
  <c r="AI23" i="5"/>
  <c r="AI32" i="5" l="1"/>
  <c r="AI6" i="5"/>
  <c r="AI5" i="5"/>
  <c r="AI5" i="4"/>
  <c r="AH8" i="5"/>
  <c r="AK3" i="4"/>
  <c r="AL3" i="4" s="1"/>
  <c r="AJ13" i="5"/>
  <c r="AJ2" i="4"/>
  <c r="AI4" i="5"/>
  <c r="AI12" i="5"/>
  <c r="AI14" i="5" s="1"/>
  <c r="AI19" i="5"/>
  <c r="AI20" i="5" s="1"/>
  <c r="AH34" i="5"/>
  <c r="AI26" i="5"/>
  <c r="AJ23" i="5"/>
  <c r="AK7" i="5" l="1"/>
  <c r="AJ32" i="5"/>
  <c r="AJ6" i="5"/>
  <c r="AJ5" i="5"/>
  <c r="AJ5" i="4"/>
  <c r="AK5" i="4" s="1"/>
  <c r="AI8" i="5"/>
  <c r="AK2" i="4"/>
  <c r="AK6" i="5" s="1"/>
  <c r="I8" i="1" s="1"/>
  <c r="AJ4" i="5"/>
  <c r="AJ12" i="5"/>
  <c r="AJ14" i="5" s="1"/>
  <c r="AJ19" i="5"/>
  <c r="AJ20" i="5" s="1"/>
  <c r="AK13" i="5"/>
  <c r="AI34" i="5"/>
  <c r="AJ26" i="5"/>
  <c r="AK23" i="5"/>
  <c r="AK26" i="5" s="1"/>
  <c r="J9" i="1" s="1"/>
  <c r="B36" i="5"/>
  <c r="B37" i="5" s="1"/>
  <c r="B38" i="5" s="1"/>
  <c r="AK5" i="5" l="1"/>
  <c r="I9" i="1"/>
  <c r="AL2" i="4"/>
  <c r="AL4" i="4" s="1"/>
  <c r="D17" i="1" s="1"/>
  <c r="AK32" i="5"/>
  <c r="AJ8" i="5"/>
  <c r="AK12" i="5"/>
  <c r="AK14" i="5" s="1"/>
  <c r="AK4" i="5"/>
  <c r="I7" i="1" s="1"/>
  <c r="AK19" i="5"/>
  <c r="AK20" i="5" s="1"/>
  <c r="J8" i="1" s="1"/>
  <c r="AJ34" i="5"/>
  <c r="V36" i="5"/>
  <c r="X36" i="5"/>
  <c r="AE36" i="5"/>
  <c r="U36" i="5"/>
  <c r="AI36" i="5"/>
  <c r="C36" i="5"/>
  <c r="C37" i="5" s="1"/>
  <c r="E36" i="5"/>
  <c r="AG36" i="5"/>
  <c r="I36" i="5"/>
  <c r="T36" i="5"/>
  <c r="P36" i="5"/>
  <c r="Q36" i="5"/>
  <c r="AA36" i="5"/>
  <c r="L36" i="5"/>
  <c r="O36" i="5"/>
  <c r="R36" i="5"/>
  <c r="M36" i="5"/>
  <c r="AC36" i="5"/>
  <c r="AH36" i="5"/>
  <c r="H36" i="5"/>
  <c r="Z36" i="5"/>
  <c r="G36" i="5"/>
  <c r="S36" i="5"/>
  <c r="AF36" i="5"/>
  <c r="C38" i="5" l="1"/>
  <c r="AK34" i="5"/>
  <c r="J11" i="1" s="1"/>
  <c r="AK8" i="5"/>
  <c r="N36" i="5"/>
  <c r="Y36" i="5"/>
  <c r="K36" i="5"/>
  <c r="D36" i="5"/>
  <c r="D37" i="5" s="1"/>
  <c r="E37" i="5" s="1"/>
  <c r="J36" i="5"/>
  <c r="AB36" i="5"/>
  <c r="W36" i="5"/>
  <c r="F36" i="5"/>
  <c r="AJ36" i="5"/>
  <c r="AD36" i="5"/>
  <c r="K10" i="1" l="1"/>
  <c r="K9" i="1"/>
  <c r="K8" i="1"/>
  <c r="K7" i="1"/>
  <c r="D38" i="5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F37" i="5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7" i="5" s="1"/>
  <c r="AK36" i="5"/>
  <c r="AK38" i="5" l="1"/>
  <c r="AK37" i="5"/>
</calcChain>
</file>

<file path=xl/sharedStrings.xml><?xml version="1.0" encoding="utf-8"?>
<sst xmlns="http://schemas.openxmlformats.org/spreadsheetml/2006/main" count="118" uniqueCount="95">
  <si>
    <t>ingresos</t>
  </si>
  <si>
    <t>penetracion de mercado</t>
  </si>
  <si>
    <t>&gt;65 sin teleasistencia</t>
  </si>
  <si>
    <t>&gt;65 con teleasistencia</t>
  </si>
  <si>
    <t>Sistema de monitorizacion basica</t>
  </si>
  <si>
    <t>plataforma</t>
  </si>
  <si>
    <t>VENTAS</t>
  </si>
  <si>
    <t>INGRESOS</t>
  </si>
  <si>
    <t>linea basic</t>
  </si>
  <si>
    <t>linea basic inicial</t>
  </si>
  <si>
    <t>linea bascicmensual</t>
  </si>
  <si>
    <t>linea avanzado inicial</t>
  </si>
  <si>
    <t>linea avanzado mensual</t>
  </si>
  <si>
    <t>GASTOS</t>
  </si>
  <si>
    <t>linea avanzada</t>
  </si>
  <si>
    <t>1 unidad</t>
  </si>
  <si>
    <t>10 unidades</t>
  </si>
  <si>
    <t>100 unidades</t>
  </si>
  <si>
    <t>CAJA OEM ETA2836  40mm</t>
  </si>
  <si>
    <t>uC + memoria + otras cosas</t>
  </si>
  <si>
    <t>Total costes sistemas de monitorizacion</t>
  </si>
  <si>
    <t>Total Desarroyo electronica</t>
  </si>
  <si>
    <t>Total Desarroyo web</t>
  </si>
  <si>
    <t>Desarrollo electronica</t>
  </si>
  <si>
    <t>ing electronico</t>
  </si>
  <si>
    <t>desarrollo web</t>
  </si>
  <si>
    <t>salarios</t>
  </si>
  <si>
    <t>tecnico informatico</t>
  </si>
  <si>
    <t>coste anual</t>
  </si>
  <si>
    <t>coste mensual</t>
  </si>
  <si>
    <t>prototipos</t>
  </si>
  <si>
    <t>osciloscopio</t>
  </si>
  <si>
    <t>polimetro</t>
  </si>
  <si>
    <t>aparataje vario</t>
  </si>
  <si>
    <t>servidor</t>
  </si>
  <si>
    <t>Recursos humanos</t>
  </si>
  <si>
    <t>Gastos estructurales</t>
  </si>
  <si>
    <t>local</t>
  </si>
  <si>
    <t>material oficina</t>
  </si>
  <si>
    <t>equipos informaticos</t>
  </si>
  <si>
    <t>servicio telemarketing</t>
  </si>
  <si>
    <t>comercial</t>
  </si>
  <si>
    <t>tecnico soporte</t>
  </si>
  <si>
    <t>imprevistos</t>
  </si>
  <si>
    <t>BENEFICIO</t>
  </si>
  <si>
    <t>TOTAL GASTOS</t>
  </si>
  <si>
    <t>Tecnico de soporte 1</t>
  </si>
  <si>
    <t>Técnico informatico 1</t>
  </si>
  <si>
    <t>Ingeniero electronico 1</t>
  </si>
  <si>
    <t>Gastos por ventas</t>
  </si>
  <si>
    <t>TOTAL INGRESOS</t>
  </si>
  <si>
    <t>Otros Gastos</t>
  </si>
  <si>
    <t>Total Gastos por ventas</t>
  </si>
  <si>
    <t>Total Gastos recursos humanos</t>
  </si>
  <si>
    <t>Total Gastos estructurales</t>
  </si>
  <si>
    <t>Total otros gastos</t>
  </si>
  <si>
    <t>Total gastos</t>
  </si>
  <si>
    <t>ordenador</t>
  </si>
  <si>
    <t>licencias</t>
  </si>
  <si>
    <t>vehiculo empresa</t>
  </si>
  <si>
    <t>% sobre venta comercial</t>
  </si>
  <si>
    <t xml:space="preserve">multiplicador </t>
  </si>
  <si>
    <t>Tecnico comercial y  1</t>
  </si>
  <si>
    <t>ACUMULADO</t>
  </si>
  <si>
    <t>gestoria</t>
  </si>
  <si>
    <t>% incremento gasto servidor</t>
  </si>
  <si>
    <t>coste garantias</t>
  </si>
  <si>
    <t xml:space="preserve">mercado objetivo </t>
  </si>
  <si>
    <t>mercado alcanzado</t>
  </si>
  <si>
    <t>Mes 1</t>
  </si>
  <si>
    <t>Mes 2</t>
  </si>
  <si>
    <t>Mes 3</t>
  </si>
  <si>
    <t>Mes 4</t>
  </si>
  <si>
    <t>Mes 5</t>
  </si>
  <si>
    <t>TOTAL</t>
  </si>
  <si>
    <t>% Alcanzado</t>
  </si>
  <si>
    <t>linea basica</t>
  </si>
  <si>
    <t>Tasa de abandono plataforma</t>
  </si>
  <si>
    <t>Ingresos</t>
  </si>
  <si>
    <t>Gastos</t>
  </si>
  <si>
    <t>Basic</t>
  </si>
  <si>
    <t>Avanzado</t>
  </si>
  <si>
    <t>Sistema de monitorizacion Premium</t>
  </si>
  <si>
    <t>CALCULO ROI</t>
  </si>
  <si>
    <t>Sensor cardiaco MAX30101EFD+T</t>
  </si>
  <si>
    <t>Sensor temperatura lm76</t>
  </si>
  <si>
    <t>Caja cx21abkagm de serpac 4,4X3,8X1,5</t>
  </si>
  <si>
    <t>Precio</t>
  </si>
  <si>
    <t>Plataforma</t>
  </si>
  <si>
    <t>Sistema de monitorizacion avanzada</t>
  </si>
  <si>
    <t>Packagin personalizado</t>
  </si>
  <si>
    <t>Pantalla 
AFY240320A0-2.4INTH-R</t>
  </si>
  <si>
    <t>Incremento de ventas</t>
  </si>
  <si>
    <t>Porcentaje afiliados basic</t>
  </si>
  <si>
    <t>Porcentaje afiliados avanzado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</si>
</sst>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€&quot;;\-#,##0.0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Tahoma"/>
      <family val="2"/>
    </font>
    <font>
      <b/>
      <sz val="11"/>
      <color theme="1" tint="4.9989318521683403E-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9FF79"/>
        <bgColor indexed="64"/>
      </patternFill>
    </fill>
    <fill>
      <patternFill patternType="solid">
        <fgColor rgb="FFB7FFB7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B871"/>
        <bgColor indexed="64"/>
      </patternFill>
    </fill>
    <fill>
      <patternFill patternType="solid">
        <fgColor rgb="FFF8FCAE"/>
        <bgColor indexed="64"/>
      </patternFill>
    </fill>
    <fill>
      <patternFill patternType="solid">
        <fgColor rgb="FFFFAB57"/>
        <bgColor indexed="64"/>
      </patternFill>
    </fill>
    <fill>
      <patternFill patternType="solid">
        <fgColor rgb="FFE2000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CA9F"/>
        <bgColor indexed="64"/>
      </patternFill>
    </fill>
    <fill>
      <patternFill patternType="solid">
        <fgColor rgb="FFFDFF9F"/>
        <bgColor indexed="64"/>
      </patternFill>
    </fill>
    <fill>
      <patternFill patternType="solid">
        <fgColor rgb="FFFF9FC8"/>
        <bgColor indexed="64"/>
      </patternFill>
    </fill>
    <fill>
      <patternFill patternType="solid">
        <fgColor rgb="FF64C46F"/>
        <bgColor indexed="64"/>
      </patternFill>
    </fill>
    <fill>
      <patternFill patternType="solid">
        <fgColor rgb="FFBAE4BF"/>
        <bgColor indexed="64"/>
      </patternFill>
    </fill>
    <fill>
      <patternFill patternType="solid">
        <fgColor rgb="FFABDFB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horizontal="left"/>
    </xf>
    <xf numFmtId="0" fontId="0" fillId="2" borderId="0" xfId="0" applyFill="1"/>
    <xf numFmtId="0" fontId="0" fillId="4" borderId="0" xfId="0" applyFill="1"/>
    <xf numFmtId="0" fontId="0" fillId="3" borderId="0" xfId="0" applyFont="1" applyFill="1" applyAlignment="1">
      <alignment horizontal="right"/>
    </xf>
    <xf numFmtId="0" fontId="0" fillId="3" borderId="0" xfId="0" applyFont="1" applyFill="1"/>
    <xf numFmtId="0" fontId="0" fillId="0" borderId="0" xfId="0" applyFill="1" applyAlignment="1">
      <alignment horizontal="right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2" borderId="0" xfId="0" applyFont="1" applyFill="1"/>
    <xf numFmtId="0" fontId="0" fillId="7" borderId="0" xfId="0" applyFill="1"/>
    <xf numFmtId="0" fontId="1" fillId="8" borderId="0" xfId="0" applyFont="1" applyFill="1" applyAlignment="1">
      <alignment horizontal="left"/>
    </xf>
    <xf numFmtId="0" fontId="0" fillId="8" borderId="0" xfId="0" applyFill="1"/>
    <xf numFmtId="0" fontId="3" fillId="8" borderId="0" xfId="0" applyFont="1" applyFill="1" applyAlignment="1">
      <alignment horizontal="left"/>
    </xf>
    <xf numFmtId="0" fontId="3" fillId="8" borderId="0" xfId="0" applyFont="1" applyFill="1"/>
    <xf numFmtId="0" fontId="0" fillId="0" borderId="0" xfId="0" applyFont="1" applyFill="1"/>
    <xf numFmtId="0" fontId="3" fillId="0" borderId="0" xfId="0" applyFont="1" applyFill="1"/>
    <xf numFmtId="0" fontId="1" fillId="9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12" borderId="0" xfId="0" applyFont="1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10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7" fontId="0" fillId="0" borderId="0" xfId="0" applyNumberFormat="1" applyFont="1" applyFill="1" applyAlignment="1">
      <alignment horizontal="right" vertical="center"/>
    </xf>
    <xf numFmtId="7" fontId="1" fillId="2" borderId="0" xfId="0" applyNumberFormat="1" applyFont="1" applyFill="1" applyAlignment="1">
      <alignment horizontal="right" vertical="center"/>
    </xf>
    <xf numFmtId="7" fontId="1" fillId="0" borderId="0" xfId="0" applyNumberFormat="1" applyFont="1" applyAlignment="1">
      <alignment horizontal="right" vertical="center"/>
    </xf>
    <xf numFmtId="7" fontId="1" fillId="8" borderId="0" xfId="0" applyNumberFormat="1" applyFont="1" applyFill="1" applyAlignment="1">
      <alignment horizontal="right" vertical="center"/>
    </xf>
    <xf numFmtId="7" fontId="0" fillId="0" borderId="0" xfId="0" applyNumberFormat="1" applyFill="1" applyAlignment="1">
      <alignment horizontal="right"/>
    </xf>
    <xf numFmtId="7" fontId="1" fillId="9" borderId="0" xfId="0" applyNumberFormat="1" applyFont="1" applyFill="1" applyAlignment="1">
      <alignment horizontal="right" vertical="center"/>
    </xf>
    <xf numFmtId="7" fontId="0" fillId="0" borderId="0" xfId="0" applyNumberFormat="1" applyFill="1" applyAlignment="1">
      <alignment horizontal="right" vertical="center"/>
    </xf>
    <xf numFmtId="7" fontId="1" fillId="10" borderId="0" xfId="0" applyNumberFormat="1" applyFont="1" applyFill="1" applyAlignment="1">
      <alignment horizontal="right" vertical="center"/>
    </xf>
    <xf numFmtId="7" fontId="1" fillId="0" borderId="0" xfId="0" applyNumberFormat="1" applyFont="1" applyFill="1" applyAlignment="1">
      <alignment horizontal="right" vertical="center"/>
    </xf>
    <xf numFmtId="7" fontId="1" fillId="11" borderId="0" xfId="0" applyNumberFormat="1" applyFont="1" applyFill="1" applyAlignment="1">
      <alignment horizontal="right" vertical="center"/>
    </xf>
    <xf numFmtId="7" fontId="1" fillId="12" borderId="0" xfId="0" applyNumberFormat="1" applyFont="1" applyFill="1" applyAlignment="1">
      <alignment horizontal="right" vertical="center"/>
    </xf>
    <xf numFmtId="7" fontId="3" fillId="8" borderId="0" xfId="0" applyNumberFormat="1" applyFon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" fillId="13" borderId="0" xfId="0" applyFont="1" applyFill="1"/>
    <xf numFmtId="164" fontId="0" fillId="13" borderId="0" xfId="0" applyNumberFormat="1" applyFill="1" applyAlignment="1">
      <alignment horizontal="right" vertical="center"/>
    </xf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wrapText="1"/>
    </xf>
    <xf numFmtId="0" fontId="2" fillId="14" borderId="0" xfId="0" applyFont="1" applyFill="1"/>
    <xf numFmtId="8" fontId="1" fillId="0" borderId="0" xfId="0" applyNumberFormat="1" applyFont="1" applyAlignment="1">
      <alignment horizontal="right" vertical="center"/>
    </xf>
    <xf numFmtId="8" fontId="1" fillId="0" borderId="0" xfId="0" applyNumberFormat="1" applyFont="1" applyAlignment="1">
      <alignment horizontal="center" vertical="center"/>
    </xf>
    <xf numFmtId="10" fontId="0" fillId="0" borderId="0" xfId="0" applyNumberFormat="1"/>
    <xf numFmtId="164" fontId="0" fillId="0" borderId="0" xfId="0" applyNumberFormat="1" applyAlignment="1">
      <alignment horizontal="right"/>
    </xf>
    <xf numFmtId="164" fontId="0" fillId="10" borderId="0" xfId="0" applyNumberFormat="1" applyFill="1" applyAlignment="1">
      <alignment horizontal="right"/>
    </xf>
    <xf numFmtId="0" fontId="0" fillId="7" borderId="0" xfId="0" applyFill="1" applyAlignment="1">
      <alignment horizontal="center" vertical="center"/>
    </xf>
    <xf numFmtId="164" fontId="1" fillId="10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0" borderId="0" xfId="0" applyFont="1"/>
    <xf numFmtId="1" fontId="1" fillId="0" borderId="0" xfId="0" applyNumberFormat="1" applyFont="1"/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7" fontId="0" fillId="0" borderId="0" xfId="0" applyNumberFormat="1"/>
    <xf numFmtId="0" fontId="1" fillId="0" borderId="0" xfId="0" applyFont="1" applyFill="1" applyAlignment="1">
      <alignment horizontal="left"/>
    </xf>
    <xf numFmtId="3" fontId="0" fillId="15" borderId="0" xfId="0" applyNumberFormat="1" applyFill="1"/>
    <xf numFmtId="0" fontId="0" fillId="15" borderId="0" xfId="0" applyFill="1"/>
    <xf numFmtId="10" fontId="0" fillId="15" borderId="0" xfId="0" applyNumberFormat="1" applyFill="1"/>
    <xf numFmtId="9" fontId="0" fillId="15" borderId="0" xfId="0" applyNumberFormat="1" applyFill="1"/>
    <xf numFmtId="0" fontId="0" fillId="0" borderId="0" xfId="0" applyFont="1"/>
    <xf numFmtId="0" fontId="0" fillId="0" borderId="0" xfId="0" applyFont="1" applyFill="1" applyAlignment="1">
      <alignment horizontal="left"/>
    </xf>
    <xf numFmtId="0" fontId="1" fillId="0" borderId="0" xfId="0" applyFont="1" applyFill="1"/>
    <xf numFmtId="0" fontId="1" fillId="13" borderId="0" xfId="0" applyFont="1" applyFill="1" applyAlignment="1">
      <alignment horizontal="center" vertical="center"/>
    </xf>
    <xf numFmtId="164" fontId="0" fillId="16" borderId="0" xfId="0" applyNumberFormat="1" applyFill="1" applyAlignment="1">
      <alignment horizontal="right" vertical="center"/>
    </xf>
    <xf numFmtId="0" fontId="1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1" fontId="0" fillId="16" borderId="0" xfId="0" applyNumberFormat="1" applyFont="1" applyFill="1" applyAlignment="1">
      <alignment horizontal="center" vertical="center"/>
    </xf>
    <xf numFmtId="0" fontId="0" fillId="16" borderId="0" xfId="0" applyFill="1"/>
    <xf numFmtId="164" fontId="0" fillId="16" borderId="0" xfId="0" applyNumberFormat="1" applyFill="1" applyAlignment="1">
      <alignment horizontal="right"/>
    </xf>
    <xf numFmtId="164" fontId="1" fillId="16" borderId="0" xfId="0" applyNumberFormat="1" applyFont="1" applyFill="1" applyAlignment="1">
      <alignment horizontal="right"/>
    </xf>
    <xf numFmtId="0" fontId="0" fillId="16" borderId="0" xfId="0" applyFill="1" applyAlignment="1">
      <alignment horizontal="right"/>
    </xf>
    <xf numFmtId="164" fontId="0" fillId="16" borderId="0" xfId="0" applyNumberFormat="1" applyFill="1"/>
    <xf numFmtId="0" fontId="1" fillId="17" borderId="0" xfId="0" applyFont="1" applyFill="1" applyAlignment="1">
      <alignment horizontal="left" vertical="center"/>
    </xf>
    <xf numFmtId="0" fontId="1" fillId="1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ABEBE"/>
      <color rgb="FFF79393"/>
      <color rgb="FFF24848"/>
      <color rgb="FFB30D0D"/>
      <color rgb="FF64C46F"/>
      <color rgb="FFABDFB1"/>
      <color rgb="FFFFAB57"/>
      <color rgb="FFFFCA9F"/>
      <color rgb="FFBAE4BF"/>
      <color rgb="FF75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Datos!$I$6:$J$6</c:f>
              <c:strCache>
                <c:ptCount val="2"/>
                <c:pt idx="0">
                  <c:v>ingresos</c:v>
                </c:pt>
                <c:pt idx="1">
                  <c:v>Gastos</c:v>
                </c:pt>
              </c:strCache>
            </c:strRef>
          </c:cat>
          <c:val>
            <c:numRef>
              <c:f>Datos!$I$7:$J$7</c:f>
              <c:numCache>
                <c:formatCode>"€"#,##0.00_);\("€"#,##0.00\)</c:formatCode>
                <c:ptCount val="2"/>
                <c:pt idx="0">
                  <c:v>95817.155454893422</c:v>
                </c:pt>
                <c:pt idx="1">
                  <c:v>73746.050332607003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8-44F3-A48B-BAC9D7063198}"/>
            </c:ext>
          </c:extLst>
        </c:ser>
        <c:ser>
          <c:idx val="1"/>
          <c:order val="1"/>
          <c:invertIfNegative val="0"/>
          <c:cat>
            <c:strRef>
              <c:f>Datos!$I$6:$J$6</c:f>
              <c:strCache>
                <c:ptCount val="2"/>
                <c:pt idx="0">
                  <c:v>ingresos</c:v>
                </c:pt>
                <c:pt idx="1">
                  <c:v>Gastos</c:v>
                </c:pt>
              </c:strCache>
            </c:strRef>
          </c:cat>
          <c:val>
            <c:numRef>
              <c:f>Datos!$I$8:$J$8</c:f>
              <c:numCache>
                <c:formatCode>"€"#,##0.00_);\("€"#,##0.00\)</c:formatCode>
                <c:ptCount val="2"/>
                <c:pt idx="0">
                  <c:v>191253.51817433076</c:v>
                </c:pt>
                <c:pt idx="1">
                  <c:v>292796.10503326071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8-44F3-A48B-BAC9D7063198}"/>
            </c:ext>
          </c:extLst>
        </c:ser>
        <c:ser>
          <c:idx val="2"/>
          <c:order val="2"/>
          <c:invertIfNegative val="0"/>
          <c:cat>
            <c:strRef>
              <c:f>Datos!$I$6:$J$6</c:f>
              <c:strCache>
                <c:ptCount val="2"/>
                <c:pt idx="0">
                  <c:v>ingresos</c:v>
                </c:pt>
                <c:pt idx="1">
                  <c:v>Gastos</c:v>
                </c:pt>
              </c:strCache>
            </c:strRef>
          </c:cat>
          <c:val>
            <c:numRef>
              <c:f>Datos!$I$9:$J$9</c:f>
              <c:numCache>
                <c:formatCode>"€"#,##0.00_);\("€"#,##0.00\)</c:formatCode>
                <c:ptCount val="2"/>
                <c:pt idx="0">
                  <c:v>185217.783145717</c:v>
                </c:pt>
                <c:pt idx="1">
                  <c:v>46516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8-44F3-A48B-BAC9D7063198}"/>
            </c:ext>
          </c:extLst>
        </c:ser>
        <c:ser>
          <c:idx val="3"/>
          <c:order val="3"/>
          <c:invertIfNegative val="0"/>
          <c:cat>
            <c:strRef>
              <c:f>Datos!$I$6:$J$6</c:f>
              <c:strCache>
                <c:ptCount val="2"/>
                <c:pt idx="0">
                  <c:v>ingresos</c:v>
                </c:pt>
                <c:pt idx="1">
                  <c:v>Gastos</c:v>
                </c:pt>
              </c:strCache>
            </c:strRef>
          </c:cat>
          <c:val>
            <c:numRef>
              <c:f>Datos!$I$10:$J$10</c:f>
              <c:numCache>
                <c:formatCode>"€"#,##0.00_);\("€"#,##0.00\)</c:formatCode>
                <c:ptCount val="2"/>
                <c:pt idx="1">
                  <c:v>19328.80683156227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8-44F3-A48B-BAC9D7063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93408"/>
        <c:axId val="98195328"/>
      </c:barChart>
      <c:catAx>
        <c:axId val="9819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195328"/>
        <c:crosses val="autoZero"/>
        <c:auto val="1"/>
        <c:lblAlgn val="ctr"/>
        <c:lblOffset val="100"/>
        <c:noMultiLvlLbl val="0"/>
      </c:catAx>
      <c:valAx>
        <c:axId val="98195328"/>
        <c:scaling>
          <c:orientation val="minMax"/>
        </c:scaling>
        <c:delete val="0"/>
        <c:axPos val="l"/>
        <c:majorGridlines/>
        <c:numFmt formatCode="&quot;€&quot;#,##0.00_);\(&quot;€&quot;#,##0.00\)" sourceLinked="1"/>
        <c:majorTickMark val="out"/>
        <c:minorTickMark val="none"/>
        <c:tickLblPos val="nextTo"/>
        <c:crossAx val="9819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Evolución Ingresos-Gastos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 de negocio'!$A$8</c:f>
              <c:strCache>
                <c:ptCount val="1"/>
                <c:pt idx="0">
                  <c:v>TOTAL INGRESOS</c:v>
                </c:pt>
              </c:strCache>
            </c:strRef>
          </c:tx>
          <c:marker>
            <c:symbol val="none"/>
          </c:marker>
          <c:val>
            <c:numRef>
              <c:f>'plan de negocio'!$B$8:$AK$8</c:f>
              <c:numCache>
                <c:formatCode>"€"#,##0.00_);\("€"#,##0.00\)</c:formatCode>
                <c:ptCount val="36"/>
                <c:pt idx="0">
                  <c:v>2742.9350000000004</c:v>
                </c:pt>
                <c:pt idx="1">
                  <c:v>3443.33475</c:v>
                </c:pt>
                <c:pt idx="2">
                  <c:v>3758.7964875000002</c:v>
                </c:pt>
                <c:pt idx="3">
                  <c:v>4090.0313118750009</c:v>
                </c:pt>
                <c:pt idx="4">
                  <c:v>4437.8278774687506</c:v>
                </c:pt>
                <c:pt idx="5">
                  <c:v>4803.0142713421883</c:v>
                </c:pt>
                <c:pt idx="6">
                  <c:v>5186.4599849092974</c:v>
                </c:pt>
                <c:pt idx="7">
                  <c:v>5589.0779841547637</c:v>
                </c:pt>
                <c:pt idx="8">
                  <c:v>6011.8268833625016</c:v>
                </c:pt>
                <c:pt idx="9">
                  <c:v>6455.7132275306267</c:v>
                </c:pt>
                <c:pt idx="10">
                  <c:v>6921.7938889071584</c:v>
                </c:pt>
                <c:pt idx="11">
                  <c:v>7411.1785833525164</c:v>
                </c:pt>
                <c:pt idx="12">
                  <c:v>7925.0325125201434</c:v>
                </c:pt>
                <c:pt idx="13">
                  <c:v>8464.5791381461495</c:v>
                </c:pt>
                <c:pt idx="14">
                  <c:v>9031.1030950534569</c:v>
                </c:pt>
                <c:pt idx="15">
                  <c:v>9625.9532498061308</c:v>
                </c:pt>
                <c:pt idx="16">
                  <c:v>10250.545912296438</c:v>
                </c:pt>
                <c:pt idx="17">
                  <c:v>10906.368207911262</c:v>
                </c:pt>
                <c:pt idx="18">
                  <c:v>11594.981618306825</c:v>
                </c:pt>
                <c:pt idx="19">
                  <c:v>12318.025699222168</c:v>
                </c:pt>
                <c:pt idx="20">
                  <c:v>13077.221984183276</c:v>
                </c:pt>
                <c:pt idx="21">
                  <c:v>13874.378083392441</c:v>
                </c:pt>
                <c:pt idx="22">
                  <c:v>14711.391987562063</c:v>
                </c:pt>
                <c:pt idx="23">
                  <c:v>15590.256586940168</c:v>
                </c:pt>
                <c:pt idx="24">
                  <c:v>16513.064416287176</c:v>
                </c:pt>
                <c:pt idx="25">
                  <c:v>17482.012637101536</c:v>
                </c:pt>
                <c:pt idx="26">
                  <c:v>18499.408268956613</c:v>
                </c:pt>
                <c:pt idx="27">
                  <c:v>19567.673682404442</c:v>
                </c:pt>
                <c:pt idx="28">
                  <c:v>20689.352366524668</c:v>
                </c:pt>
                <c:pt idx="29">
                  <c:v>21867.114984850909</c:v>
                </c:pt>
                <c:pt idx="30">
                  <c:v>23103.765734093453</c:v>
                </c:pt>
                <c:pt idx="31">
                  <c:v>24402.249020798125</c:v>
                </c:pt>
                <c:pt idx="32">
                  <c:v>25765.656471838029</c:v>
                </c:pt>
                <c:pt idx="33">
                  <c:v>27197.234295429931</c:v>
                </c:pt>
                <c:pt idx="34">
                  <c:v>28700.391010201431</c:v>
                </c:pt>
                <c:pt idx="35">
                  <c:v>30278.705560711503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8-4D8E-81FF-8EBBDFF065EC}"/>
            </c:ext>
          </c:extLst>
        </c:ser>
        <c:ser>
          <c:idx val="1"/>
          <c:order val="1"/>
          <c:tx>
            <c:strRef>
              <c:f>'plan de negocio'!$A$34</c:f>
              <c:strCache>
                <c:ptCount val="1"/>
                <c:pt idx="0">
                  <c:v>TOTAL GASTOS</c:v>
                </c:pt>
              </c:strCache>
            </c:strRef>
          </c:tx>
          <c:marker>
            <c:symbol val="none"/>
          </c:marker>
          <c:val>
            <c:numRef>
              <c:f>'plan de negocio'!$B$34:$AK$34</c:f>
              <c:numCache>
                <c:formatCode>"€"#,##0.00_);\("€"#,##0.00\)</c:formatCode>
                <c:ptCount val="36"/>
                <c:pt idx="0">
                  <c:v>12765.45</c:v>
                </c:pt>
                <c:pt idx="1">
                  <c:v>8963.9724999999999</c:v>
                </c:pt>
                <c:pt idx="2">
                  <c:v>9010.1161250000005</c:v>
                </c:pt>
                <c:pt idx="3">
                  <c:v>11715.982186250001</c:v>
                </c:pt>
                <c:pt idx="4">
                  <c:v>10766.681780817498</c:v>
                </c:pt>
                <c:pt idx="5">
                  <c:v>10819.831560598628</c:v>
                </c:pt>
                <c:pt idx="6">
                  <c:v>10875.554010059559</c:v>
                </c:pt>
                <c:pt idx="7">
                  <c:v>10933.977737864961</c:v>
                </c:pt>
                <c:pt idx="8">
                  <c:v>10995.237783087938</c:v>
                </c:pt>
                <c:pt idx="9">
                  <c:v>11059.475936730394</c:v>
                </c:pt>
                <c:pt idx="10">
                  <c:v>11126.841079319458</c:v>
                </c:pt>
                <c:pt idx="11">
                  <c:v>11197.489535383733</c:v>
                </c:pt>
                <c:pt idx="12">
                  <c:v>11271.585445653314</c:v>
                </c:pt>
                <c:pt idx="13">
                  <c:v>11349.301157869879</c:v>
                </c:pt>
                <c:pt idx="14">
                  <c:v>11430.817637137205</c:v>
                </c:pt>
                <c:pt idx="15">
                  <c:v>11516.32489678927</c:v>
                </c:pt>
                <c:pt idx="16">
                  <c:v>11606.022450801736</c:v>
                </c:pt>
                <c:pt idx="17">
                  <c:v>11700.119788823995</c:v>
                </c:pt>
                <c:pt idx="18">
                  <c:v>11798.836874962853</c:v>
                </c:pt>
                <c:pt idx="19">
                  <c:v>11902.404671505348</c:v>
                </c:pt>
                <c:pt idx="20">
                  <c:v>12011.065688827761</c:v>
                </c:pt>
                <c:pt idx="21">
                  <c:v>12125.074562800046</c:v>
                </c:pt>
                <c:pt idx="22">
                  <c:v>12244.698661060474</c:v>
                </c:pt>
                <c:pt idx="23">
                  <c:v>12370.218719604045</c:v>
                </c:pt>
                <c:pt idx="24">
                  <c:v>12501.929511200284</c:v>
                </c:pt>
                <c:pt idx="25">
                  <c:v>12640.140547231951</c:v>
                </c:pt>
                <c:pt idx="26">
                  <c:v>12785.176814625673</c:v>
                </c:pt>
                <c:pt idx="27">
                  <c:v>12937.379549629113</c:v>
                </c:pt>
                <c:pt idx="28">
                  <c:v>13097.107050276998</c:v>
                </c:pt>
                <c:pt idx="29">
                  <c:v>13264.735529480444</c:v>
                </c:pt>
                <c:pt idx="30">
                  <c:v>13440.660010770751</c:v>
                </c:pt>
                <c:pt idx="31">
                  <c:v>13625.29526883039</c:v>
                </c:pt>
                <c:pt idx="32">
                  <c:v>13819.076817050529</c:v>
                </c:pt>
                <c:pt idx="33">
                  <c:v>14022.461944466459</c:v>
                </c:pt>
                <c:pt idx="34">
                  <c:v>14235.930804539743</c:v>
                </c:pt>
                <c:pt idx="35">
                  <c:v>14459.987558379546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8-4D8E-81FF-8EBBDFF065EC}"/>
            </c:ext>
          </c:extLst>
        </c:ser>
        <c:ser>
          <c:idx val="2"/>
          <c:order val="2"/>
          <c:tx>
            <c:strRef>
              <c:f>'plan de negocio'!$A$36</c:f>
              <c:strCache>
                <c:ptCount val="1"/>
                <c:pt idx="0">
                  <c:v>BENEFICIO</c:v>
                </c:pt>
              </c:strCache>
            </c:strRef>
          </c:tx>
          <c:marker>
            <c:symbol val="none"/>
          </c:marker>
          <c:val>
            <c:numRef>
              <c:f>'plan de negocio'!$B$36:$AK$36</c:f>
              <c:numCache>
                <c:formatCode>"€"#,##0.00_);[Red]\("€"#,##0.00\)</c:formatCode>
                <c:ptCount val="36"/>
                <c:pt idx="0">
                  <c:v>-10022.514999999999</c:v>
                </c:pt>
                <c:pt idx="1">
                  <c:v>-5520.6377499999999</c:v>
                </c:pt>
                <c:pt idx="2">
                  <c:v>-5251.3196375000007</c:v>
                </c:pt>
                <c:pt idx="3">
                  <c:v>-7625.9508743750002</c:v>
                </c:pt>
                <c:pt idx="4">
                  <c:v>-6328.8539033487477</c:v>
                </c:pt>
                <c:pt idx="5">
                  <c:v>-6016.8172892564398</c:v>
                </c:pt>
                <c:pt idx="6">
                  <c:v>-5689.0940251502616</c:v>
                </c:pt>
                <c:pt idx="7">
                  <c:v>-5344.8997537101977</c:v>
                </c:pt>
                <c:pt idx="8">
                  <c:v>-4983.4108997254361</c:v>
                </c:pt>
                <c:pt idx="9">
                  <c:v>-4603.7627091997674</c:v>
                </c:pt>
                <c:pt idx="10">
                  <c:v>-4205.0471904122996</c:v>
                </c:pt>
                <c:pt idx="11">
                  <c:v>-3786.3109520312164</c:v>
                </c:pt>
                <c:pt idx="12">
                  <c:v>-3346.5529331331709</c:v>
                </c:pt>
                <c:pt idx="13">
                  <c:v>-2884.7220197237293</c:v>
                </c:pt>
                <c:pt idx="14">
                  <c:v>-2399.7145420837478</c:v>
                </c:pt>
                <c:pt idx="15">
                  <c:v>-1890.3716469831397</c:v>
                </c:pt>
                <c:pt idx="16">
                  <c:v>-1355.4765385052979</c:v>
                </c:pt>
                <c:pt idx="17">
                  <c:v>-793.75158091273261</c:v>
                </c:pt>
                <c:pt idx="18">
                  <c:v>-203.85525665602836</c:v>
                </c:pt>
                <c:pt idx="19">
                  <c:v>415.6210277168193</c:v>
                </c:pt>
                <c:pt idx="20">
                  <c:v>1066.1562953555149</c:v>
                </c:pt>
                <c:pt idx="21">
                  <c:v>1749.3035205923952</c:v>
                </c:pt>
                <c:pt idx="22">
                  <c:v>2466.6933265015887</c:v>
                </c:pt>
                <c:pt idx="23">
                  <c:v>3220.0378673361229</c:v>
                </c:pt>
                <c:pt idx="24">
                  <c:v>4011.1349050868921</c:v>
                </c:pt>
                <c:pt idx="25">
                  <c:v>4841.8720898695847</c:v>
                </c:pt>
                <c:pt idx="26">
                  <c:v>5714.2314543309403</c:v>
                </c:pt>
                <c:pt idx="27">
                  <c:v>6630.2941327753288</c:v>
                </c:pt>
                <c:pt idx="28">
                  <c:v>7592.2453162476704</c:v>
                </c:pt>
                <c:pt idx="29">
                  <c:v>8602.3794553704647</c:v>
                </c:pt>
                <c:pt idx="30">
                  <c:v>9663.105723322702</c:v>
                </c:pt>
                <c:pt idx="31">
                  <c:v>10776.953751967734</c:v>
                </c:pt>
                <c:pt idx="32">
                  <c:v>11946.5796547875</c:v>
                </c:pt>
                <c:pt idx="33">
                  <c:v>13174.772350963472</c:v>
                </c:pt>
                <c:pt idx="34">
                  <c:v>14464.460205661688</c:v>
                </c:pt>
                <c:pt idx="35">
                  <c:v>15818.718002331958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8-4D8E-81FF-8EBBDFF0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91232"/>
        <c:axId val="165792768"/>
      </c:lineChart>
      <c:catAx>
        <c:axId val="16579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92768"/>
        <c:crosses val="autoZero"/>
        <c:auto val="1"/>
        <c:lblAlgn val="ctr"/>
        <c:lblOffset val="100"/>
        <c:noMultiLvlLbl val="0"/>
      </c:catAx>
      <c:valAx>
        <c:axId val="165792768"/>
        <c:scaling>
          <c:orientation val="minMax"/>
        </c:scaling>
        <c:delete val="0"/>
        <c:axPos val="l"/>
        <c:majorGridlines/>
        <c:numFmt formatCode="#,##0.00\ &quot;€&quot;" sourceLinked="0"/>
        <c:majorTickMark val="out"/>
        <c:minorTickMark val="none"/>
        <c:tickLblPos val="nextTo"/>
        <c:crossAx val="16579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Retorno</a:t>
            </a:r>
            <a:r>
              <a:rPr lang="en-US" baseline="0"/>
              <a:t> de Inversión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 de negocio'!$A$38</c:f>
              <c:strCache>
                <c:ptCount val="1"/>
                <c:pt idx="0">
                  <c:v>CALCULO ROI</c:v>
                </c:pt>
              </c:strCache>
            </c:strRef>
          </c:tx>
          <c:marker>
            <c:symbol val="none"/>
          </c:marker>
          <c:val>
            <c:numRef>
              <c:f>'plan de negocio'!$B$38:$AK$38</c:f>
              <c:numCache>
                <c:formatCode>"€"#,##0.00_);[Red]\("€"#,##0.00\)</c:formatCode>
                <c:ptCount val="36"/>
                <c:pt idx="0">
                  <c:v>-35730.014999999999</c:v>
                </c:pt>
                <c:pt idx="1">
                  <c:v>-41250.652750000001</c:v>
                </c:pt>
                <c:pt idx="2">
                  <c:v>-46501.972387500005</c:v>
                </c:pt>
                <c:pt idx="3">
                  <c:v>-54127.923261875003</c:v>
                </c:pt>
                <c:pt idx="4">
                  <c:v>-60456.77716522375</c:v>
                </c:pt>
                <c:pt idx="5">
                  <c:v>-66473.59445448019</c:v>
                </c:pt>
                <c:pt idx="6">
                  <c:v>-72162.688479630451</c:v>
                </c:pt>
                <c:pt idx="7">
                  <c:v>-77507.588233340648</c:v>
                </c:pt>
                <c:pt idx="8">
                  <c:v>-82490.999133066085</c:v>
                </c:pt>
                <c:pt idx="9">
                  <c:v>-87094.761842265856</c:v>
                </c:pt>
                <c:pt idx="10">
                  <c:v>-91299.809032678153</c:v>
                </c:pt>
                <c:pt idx="11">
                  <c:v>-95086.119984709367</c:v>
                </c:pt>
                <c:pt idx="12">
                  <c:v>-98432.672917842545</c:v>
                </c:pt>
                <c:pt idx="13">
                  <c:v>-101317.39493756628</c:v>
                </c:pt>
                <c:pt idx="14">
                  <c:v>-103717.10947965003</c:v>
                </c:pt>
                <c:pt idx="15">
                  <c:v>-105607.48112663317</c:v>
                </c:pt>
                <c:pt idx="16">
                  <c:v>-106962.95766513847</c:v>
                </c:pt>
                <c:pt idx="17">
                  <c:v>-107756.70924605121</c:v>
                </c:pt>
                <c:pt idx="18">
                  <c:v>-107960.56450270723</c:v>
                </c:pt>
                <c:pt idx="19">
                  <c:v>-107544.94347499042</c:v>
                </c:pt>
                <c:pt idx="20">
                  <c:v>-106478.78717963491</c:v>
                </c:pt>
                <c:pt idx="21">
                  <c:v>-104729.48365904251</c:v>
                </c:pt>
                <c:pt idx="22">
                  <c:v>-102262.79033254093</c:v>
                </c:pt>
                <c:pt idx="23">
                  <c:v>-99042.752465204801</c:v>
                </c:pt>
                <c:pt idx="24">
                  <c:v>-95031.617560117913</c:v>
                </c:pt>
                <c:pt idx="25">
                  <c:v>-90189.745470248323</c:v>
                </c:pt>
                <c:pt idx="26">
                  <c:v>-84475.514015917375</c:v>
                </c:pt>
                <c:pt idx="27">
                  <c:v>-77845.219883142039</c:v>
                </c:pt>
                <c:pt idx="28">
                  <c:v>-70252.974566894365</c:v>
                </c:pt>
                <c:pt idx="29">
                  <c:v>-61650.5951115239</c:v>
                </c:pt>
                <c:pt idx="30">
                  <c:v>-51987.489388201197</c:v>
                </c:pt>
                <c:pt idx="31">
                  <c:v>-41210.535636233464</c:v>
                </c:pt>
                <c:pt idx="32">
                  <c:v>-29263.955981445964</c:v>
                </c:pt>
                <c:pt idx="33">
                  <c:v>-16089.183630482492</c:v>
                </c:pt>
                <c:pt idx="34">
                  <c:v>-1624.7234248208042</c:v>
                </c:pt>
                <c:pt idx="35">
                  <c:v>14193.994577511154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A-4AAC-B95D-E6B33E87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2704"/>
        <c:axId val="87469056"/>
      </c:lineChart>
      <c:catAx>
        <c:axId val="815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7469056"/>
        <c:crosses val="autoZero"/>
        <c:auto val="1"/>
        <c:lblAlgn val="ctr"/>
        <c:lblOffset val="100"/>
        <c:noMultiLvlLbl val="0"/>
      </c:catAx>
      <c:valAx>
        <c:axId val="87469056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815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Penetración de mercado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ventas!$A$5</c:f>
              <c:strCache>
                <c:ptCount val="1"/>
                <c:pt idx="0">
                  <c:v>% Alcanzado</c:v>
                </c:pt>
              </c:strCache>
            </c:strRef>
          </c:tx>
          <c:invertIfNegative val="0"/>
          <c:val>
            <c:numRef>
              <c:f>ventas!$B$5:$AK$5</c:f>
              <c:numCache>
                <c:formatCode>0.00%</c:formatCode>
                <c:ptCount val="36"/>
                <c:pt idx="0">
                  <c:v>1.221043443162772E-4</c:v>
                </c:pt>
                <c:pt idx="1">
                  <c:v>2.5031390584836827E-4</c:v>
                </c:pt>
                <c:pt idx="2">
                  <c:v>3.8493394545706389E-4</c:v>
                </c:pt>
                <c:pt idx="3">
                  <c:v>5.2628498704619425E-4</c:v>
                </c:pt>
                <c:pt idx="4">
                  <c:v>6.7470358071478119E-4</c:v>
                </c:pt>
                <c:pt idx="5">
                  <c:v>8.3054310406679749E-4</c:v>
                </c:pt>
                <c:pt idx="6">
                  <c:v>9.9417460358641459E-4</c:v>
                </c:pt>
                <c:pt idx="7">
                  <c:v>1.1659876780820127E-3</c:v>
                </c:pt>
                <c:pt idx="8">
                  <c:v>1.3463914063023906E-3</c:v>
                </c:pt>
                <c:pt idx="9">
                  <c:v>1.5358153209337874E-3</c:v>
                </c:pt>
                <c:pt idx="10">
                  <c:v>1.7347104312967539E-3</c:v>
                </c:pt>
                <c:pt idx="11">
                  <c:v>1.943550297177869E-3</c:v>
                </c:pt>
                <c:pt idx="12">
                  <c:v>2.1628321563530398E-3</c:v>
                </c:pt>
                <c:pt idx="13">
                  <c:v>2.3930781084869693E-3</c:v>
                </c:pt>
                <c:pt idx="14">
                  <c:v>2.6348363582275949E-3</c:v>
                </c:pt>
                <c:pt idx="15">
                  <c:v>2.8886825204552519E-3</c:v>
                </c:pt>
                <c:pt idx="16">
                  <c:v>3.1552209907942919E-3</c:v>
                </c:pt>
                <c:pt idx="17">
                  <c:v>3.4350863846502838E-3</c:v>
                </c:pt>
                <c:pt idx="18">
                  <c:v>3.7289450481990754E-3</c:v>
                </c:pt>
                <c:pt idx="19">
                  <c:v>4.0374966449253065E-3</c:v>
                </c:pt>
                <c:pt idx="20">
                  <c:v>4.3614758214878492E-3</c:v>
                </c:pt>
                <c:pt idx="21">
                  <c:v>4.7016539568785192E-3</c:v>
                </c:pt>
                <c:pt idx="22">
                  <c:v>5.0588409990387226E-3</c:v>
                </c:pt>
                <c:pt idx="23">
                  <c:v>5.4338873933069366E-3</c:v>
                </c:pt>
                <c:pt idx="24">
                  <c:v>5.8276861072885612E-3</c:v>
                </c:pt>
                <c:pt idx="25">
                  <c:v>6.2411747569692663E-3</c:v>
                </c:pt>
                <c:pt idx="26">
                  <c:v>6.675337839134007E-3</c:v>
                </c:pt>
                <c:pt idx="27">
                  <c:v>7.1312090754069848E-3</c:v>
                </c:pt>
                <c:pt idx="28">
                  <c:v>7.6098738734936113E-3</c:v>
                </c:pt>
                <c:pt idx="29">
                  <c:v>8.1124719114845697E-3</c:v>
                </c:pt>
                <c:pt idx="30">
                  <c:v>8.6401998513750758E-3</c:v>
                </c:pt>
                <c:pt idx="31">
                  <c:v>9.1943141882601075E-3</c:v>
                </c:pt>
                <c:pt idx="32">
                  <c:v>9.7761342419893909E-3</c:v>
                </c:pt>
                <c:pt idx="33">
                  <c:v>1.0387045298405138E-2</c:v>
                </c:pt>
                <c:pt idx="34">
                  <c:v>1.1028501907641673E-2</c:v>
                </c:pt>
                <c:pt idx="35">
                  <c:v>1.1702031347340035E-2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7-49F0-9212-A35EA0BF0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52064"/>
        <c:axId val="154953600"/>
      </c:barChart>
      <c:catAx>
        <c:axId val="1549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536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49536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49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Ingresos</a:t>
            </a:r>
            <a:r>
              <a:rPr lang="en-US" baseline="0"/>
              <a:t> y Gastos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B30D0D"/>
              </a:solidFill>
            </c:spPr>
            <c:extLst>
              <c:ext xmlns:c16="http://schemas.microsoft.com/office/drawing/2014/chart" uri="{C3380CC4-5D6E-409C-BE32-E72D297353CC}">
                <c16:uniqueId val="{00000000-41B8-4816-8B1B-4A08665EB2AC}"/>
              </c:ext>
            </c:extLst>
          </c:dPt>
          <c:cat>
            <c:strRef>
              <c:f>Datos!$I$6:$J$6</c:f>
              <c:strCache>
                <c:ptCount val="2"/>
                <c:pt idx="0">
                  <c:v>ingresos</c:v>
                </c:pt>
                <c:pt idx="1">
                  <c:v>Gastos</c:v>
                </c:pt>
              </c:strCache>
            </c:strRef>
          </c:cat>
          <c:val>
            <c:numRef>
              <c:f>Datos!$I$7:$J$7</c:f>
              <c:numCache>
                <c:formatCode>"€"#,##0.00_);\("€"#,##0.00\)</c:formatCode>
                <c:ptCount val="2"/>
                <c:pt idx="0">
                  <c:v>95817.155454893422</c:v>
                </c:pt>
                <c:pt idx="1">
                  <c:v>73746.050332607003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8-4816-8B1B-4A08665EB2AC}"/>
            </c:ext>
          </c:extLst>
        </c:ser>
        <c:ser>
          <c:idx val="1"/>
          <c:order val="1"/>
          <c:invertIfNegative val="0"/>
          <c:dPt>
            <c:idx val="1"/>
            <c:invertIfNegative val="0"/>
            <c:bubble3D val="0"/>
            <c:spPr>
              <a:solidFill>
                <a:srgbClr val="F24848"/>
              </a:solidFill>
            </c:spPr>
            <c:extLst>
              <c:ext xmlns:c16="http://schemas.microsoft.com/office/drawing/2014/chart" uri="{C3380CC4-5D6E-409C-BE32-E72D297353CC}">
                <c16:uniqueId val="{00000002-41B8-4816-8B1B-4A08665EB2AC}"/>
              </c:ext>
            </c:extLst>
          </c:dPt>
          <c:cat>
            <c:strRef>
              <c:f>Datos!$I$6:$J$6</c:f>
              <c:strCache>
                <c:ptCount val="2"/>
                <c:pt idx="0">
                  <c:v>ingresos</c:v>
                </c:pt>
                <c:pt idx="1">
                  <c:v>Gastos</c:v>
                </c:pt>
              </c:strCache>
            </c:strRef>
          </c:cat>
          <c:val>
            <c:numRef>
              <c:f>Datos!$I$8:$J$8</c:f>
              <c:numCache>
                <c:formatCode>"€"#,##0.00_);\("€"#,##0.00\)</c:formatCode>
                <c:ptCount val="2"/>
                <c:pt idx="0">
                  <c:v>191253.51817433076</c:v>
                </c:pt>
                <c:pt idx="1">
                  <c:v>292796.10503326071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B8-4816-8B1B-4A08665EB2AC}"/>
            </c:ext>
          </c:extLst>
        </c:ser>
        <c:ser>
          <c:idx val="2"/>
          <c:order val="2"/>
          <c:invertIfNegative val="0"/>
          <c:dPt>
            <c:idx val="1"/>
            <c:invertIfNegative val="0"/>
            <c:bubble3D val="0"/>
            <c:spPr>
              <a:solidFill>
                <a:srgbClr val="F79393"/>
              </a:solidFill>
            </c:spPr>
            <c:extLst>
              <c:ext xmlns:c16="http://schemas.microsoft.com/office/drawing/2014/chart" uri="{C3380CC4-5D6E-409C-BE32-E72D297353CC}">
                <c16:uniqueId val="{00000004-41B8-4816-8B1B-4A08665EB2AC}"/>
              </c:ext>
            </c:extLst>
          </c:dPt>
          <c:cat>
            <c:strRef>
              <c:f>Datos!$I$6:$J$6</c:f>
              <c:strCache>
                <c:ptCount val="2"/>
                <c:pt idx="0">
                  <c:v>ingresos</c:v>
                </c:pt>
                <c:pt idx="1">
                  <c:v>Gastos</c:v>
                </c:pt>
              </c:strCache>
            </c:strRef>
          </c:cat>
          <c:val>
            <c:numRef>
              <c:f>Datos!$I$9:$J$9</c:f>
              <c:numCache>
                <c:formatCode>"€"#,##0.00_);\("€"#,##0.00\)</c:formatCode>
                <c:ptCount val="2"/>
                <c:pt idx="0">
                  <c:v>185217.783145717</c:v>
                </c:pt>
                <c:pt idx="1">
                  <c:v>46516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B8-4816-8B1B-4A08665EB2AC}"/>
            </c:ext>
          </c:extLst>
        </c:ser>
        <c:ser>
          <c:idx val="3"/>
          <c:order val="3"/>
          <c:spPr>
            <a:solidFill>
              <a:srgbClr val="FABEBE"/>
            </a:solidFill>
          </c:spPr>
          <c:invertIfNegative val="0"/>
          <c:cat>
            <c:strRef>
              <c:f>Datos!$I$6:$J$6</c:f>
              <c:strCache>
                <c:ptCount val="2"/>
                <c:pt idx="0">
                  <c:v>ingresos</c:v>
                </c:pt>
                <c:pt idx="1">
                  <c:v>Gastos</c:v>
                </c:pt>
              </c:strCache>
            </c:strRef>
          </c:cat>
          <c:val>
            <c:numRef>
              <c:f>Datos!$I$10:$J$10</c:f>
              <c:numCache>
                <c:formatCode>"€"#,##0.00_);\("€"#,##0.00\)</c:formatCode>
                <c:ptCount val="2"/>
                <c:pt idx="1">
                  <c:v>19328.80683156227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B8-4816-8B1B-4A08665E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388416"/>
        <c:axId val="159389952"/>
      </c:barChart>
      <c:catAx>
        <c:axId val="15938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389952"/>
        <c:crosses val="autoZero"/>
        <c:auto val="1"/>
        <c:lblAlgn val="ctr"/>
        <c:lblOffset val="100"/>
        <c:noMultiLvlLbl val="0"/>
      </c:catAx>
      <c:valAx>
        <c:axId val="159389952"/>
        <c:scaling>
          <c:orientation val="minMax"/>
        </c:scaling>
        <c:delete val="0"/>
        <c:axPos val="l"/>
        <c:majorGridlines/>
        <c:numFmt formatCode="&quot;€&quot;#,##0.00_);\(&quot;€&quot;#,##0.00\)" sourceLinked="1"/>
        <c:majorTickMark val="out"/>
        <c:minorTickMark val="none"/>
        <c:tickLblPos val="nextTo"/>
        <c:crossAx val="15938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13</xdr:row>
      <xdr:rowOff>137160</xdr:rowOff>
    </xdr:from>
    <xdr:to>
      <xdr:col>9</xdr:col>
      <xdr:colOff>1036320</xdr:colOff>
      <xdr:row>28</xdr:row>
      <xdr:rowOff>137160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</xdr:row>
      <xdr:rowOff>114300</xdr:rowOff>
    </xdr:from>
    <xdr:to>
      <xdr:col>8</xdr:col>
      <xdr:colOff>731520</xdr:colOff>
      <xdr:row>25</xdr:row>
      <xdr:rowOff>160020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754380</xdr:colOff>
      <xdr:row>1</xdr:row>
      <xdr:rowOff>114300</xdr:rowOff>
    </xdr:from>
    <xdr:to>
      <xdr:col>17</xdr:col>
      <xdr:colOff>182880</xdr:colOff>
      <xdr:row>25</xdr:row>
      <xdr:rowOff>175260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335280</xdr:colOff>
      <xdr:row>25</xdr:row>
      <xdr:rowOff>175260</xdr:rowOff>
    </xdr:from>
    <xdr:to>
      <xdr:col>8</xdr:col>
      <xdr:colOff>739140</xdr:colOff>
      <xdr:row>43</xdr:row>
      <xdr:rowOff>106680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774999</xdr:colOff>
      <xdr:row>26</xdr:row>
      <xdr:rowOff>11655</xdr:rowOff>
    </xdr:from>
    <xdr:to>
      <xdr:col>17</xdr:col>
      <xdr:colOff>184225</xdr:colOff>
      <xdr:row>43</xdr:row>
      <xdr:rowOff>76649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148820</xdr:colOff>
      <xdr:row>39</xdr:row>
      <xdr:rowOff>26895</xdr:rowOff>
    </xdr:from>
    <xdr:to>
      <xdr:col>12</xdr:col>
      <xdr:colOff>445041</xdr:colOff>
      <xdr:row>40</xdr:row>
      <xdr:rowOff>90592</xdr:rowOff>
    </xdr:to>
    <xdr:sp macro="" textlink="">
      <xdr:nvSpPr>
        <xdr:cNvPr id="16" name="1 CuadroText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8826655" y="7019366"/>
          <a:ext cx="1085115" cy="24299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100"/>
            <a:t>Linea Basica</a:t>
          </a:r>
        </a:p>
      </xdr:txBody>
    </xdr:sp>
    <xdr:clientData/>
  </xdr:twoCellAnchor>
  <xdr:twoCellAnchor>
    <xdr:from>
      <xdr:col>11</xdr:col>
      <xdr:colOff>148820</xdr:colOff>
      <xdr:row>35</xdr:row>
      <xdr:rowOff>175265</xdr:rowOff>
    </xdr:from>
    <xdr:to>
      <xdr:col>12</xdr:col>
      <xdr:colOff>444095</xdr:colOff>
      <xdr:row>37</xdr:row>
      <xdr:rowOff>59061</xdr:rowOff>
    </xdr:to>
    <xdr:sp macro="" textlink="">
      <xdr:nvSpPr>
        <xdr:cNvPr id="17" name="1 CuadroTexto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8826655" y="6450559"/>
          <a:ext cx="1084169" cy="24238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100"/>
            <a:t>Linea</a:t>
          </a:r>
          <a:r>
            <a:rPr lang="es-ES" sz="1100" baseline="0"/>
            <a:t> Avanzada</a:t>
          </a:r>
          <a:endParaRPr lang="es-ES" sz="1100"/>
        </a:p>
      </xdr:txBody>
    </xdr:sp>
    <xdr:clientData/>
  </xdr:twoCellAnchor>
  <xdr:twoCellAnchor>
    <xdr:from>
      <xdr:col>11</xdr:col>
      <xdr:colOff>141200</xdr:colOff>
      <xdr:row>31</xdr:row>
      <xdr:rowOff>65006</xdr:rowOff>
    </xdr:from>
    <xdr:to>
      <xdr:col>12</xdr:col>
      <xdr:colOff>436475</xdr:colOff>
      <xdr:row>32</xdr:row>
      <xdr:rowOff>131681</xdr:rowOff>
    </xdr:to>
    <xdr:sp macro="" textlink="">
      <xdr:nvSpPr>
        <xdr:cNvPr id="18" name="1 CuadroTexto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8819035" y="5623124"/>
          <a:ext cx="1084169" cy="24596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100"/>
            <a:t>Plataforma</a:t>
          </a:r>
        </a:p>
      </xdr:txBody>
    </xdr:sp>
    <xdr:clientData/>
  </xdr:twoCellAnchor>
  <xdr:twoCellAnchor>
    <xdr:from>
      <xdr:col>14</xdr:col>
      <xdr:colOff>502040</xdr:colOff>
      <xdr:row>39</xdr:row>
      <xdr:rowOff>84269</xdr:rowOff>
    </xdr:from>
    <xdr:to>
      <xdr:col>16</xdr:col>
      <xdr:colOff>8421</xdr:colOff>
      <xdr:row>40</xdr:row>
      <xdr:rowOff>150944</xdr:rowOff>
    </xdr:to>
    <xdr:sp macro="" textlink="">
      <xdr:nvSpPr>
        <xdr:cNvPr id="19" name="1 CuadroTexto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11546558" y="7076740"/>
          <a:ext cx="1084169" cy="24596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100"/>
            <a:t>Otros</a:t>
          </a:r>
        </a:p>
      </xdr:txBody>
    </xdr:sp>
    <xdr:clientData/>
  </xdr:twoCellAnchor>
  <xdr:twoCellAnchor>
    <xdr:from>
      <xdr:col>14</xdr:col>
      <xdr:colOff>502040</xdr:colOff>
      <xdr:row>35</xdr:row>
      <xdr:rowOff>34521</xdr:rowOff>
    </xdr:from>
    <xdr:to>
      <xdr:col>16</xdr:col>
      <xdr:colOff>8421</xdr:colOff>
      <xdr:row>36</xdr:row>
      <xdr:rowOff>97610</xdr:rowOff>
    </xdr:to>
    <xdr:sp macro="" textlink="">
      <xdr:nvSpPr>
        <xdr:cNvPr id="20" name="1 CuadroText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11546558" y="6309815"/>
          <a:ext cx="1084169" cy="24238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100"/>
            <a:t>Humanos</a:t>
          </a:r>
        </a:p>
      </xdr:txBody>
    </xdr:sp>
    <xdr:clientData/>
  </xdr:twoCellAnchor>
  <xdr:twoCellAnchor>
    <xdr:from>
      <xdr:col>14</xdr:col>
      <xdr:colOff>524900</xdr:colOff>
      <xdr:row>30</xdr:row>
      <xdr:rowOff>33181</xdr:rowOff>
    </xdr:from>
    <xdr:to>
      <xdr:col>16</xdr:col>
      <xdr:colOff>31281</xdr:colOff>
      <xdr:row>31</xdr:row>
      <xdr:rowOff>101761</xdr:rowOff>
    </xdr:to>
    <xdr:sp macro="" textlink="">
      <xdr:nvSpPr>
        <xdr:cNvPr id="21" name="1 CuadroText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1569418" y="5412005"/>
          <a:ext cx="1084169" cy="24787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100"/>
            <a:t>Estructurales</a:t>
          </a:r>
        </a:p>
      </xdr:txBody>
    </xdr:sp>
    <xdr:clientData/>
  </xdr:twoCellAnchor>
  <xdr:twoCellAnchor>
    <xdr:from>
      <xdr:col>14</xdr:col>
      <xdr:colOff>502040</xdr:colOff>
      <xdr:row>31</xdr:row>
      <xdr:rowOff>11</xdr:rowOff>
    </xdr:from>
    <xdr:to>
      <xdr:col>16</xdr:col>
      <xdr:colOff>8421</xdr:colOff>
      <xdr:row>32</xdr:row>
      <xdr:rowOff>68591</xdr:rowOff>
    </xdr:to>
    <xdr:sp macro="" textlink="">
      <xdr:nvSpPr>
        <xdr:cNvPr id="22" name="1 CuadroText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1546558" y="5558129"/>
          <a:ext cx="1084169" cy="24787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100"/>
            <a:t>Ventas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22"/>
  <sheetViews>
    <sheetView workbookViewId="0">
      <selection activeCell="C17" sqref="C17"/>
    </sheetView>
  </sheetViews>
  <sheetFormatPr defaultColWidth="11.42578125" defaultRowHeight="15" x14ac:dyDescent="0.25"/>
  <cols>
    <col min="2" max="2" width="34.42578125" bestFit="1" customWidth="1"/>
    <col min="3" max="3" width="6.85546875" bestFit="1" customWidth="1"/>
    <col min="6" max="6" width="34.42578125" bestFit="1" customWidth="1"/>
  </cols>
  <sheetData>
    <row r="4" spans="2:9" x14ac:dyDescent="0.25">
      <c r="C4" s="56" t="s">
        <v>87</v>
      </c>
    </row>
    <row r="5" spans="2:9" x14ac:dyDescent="0.25">
      <c r="B5" s="56" t="s">
        <v>4</v>
      </c>
      <c r="C5" s="82">
        <v>49.99</v>
      </c>
    </row>
    <row r="6" spans="2:9" x14ac:dyDescent="0.25">
      <c r="B6" s="56" t="s">
        <v>89</v>
      </c>
      <c r="C6" s="82">
        <v>99.99</v>
      </c>
      <c r="F6" s="54" t="s">
        <v>4</v>
      </c>
      <c r="G6" s="81" t="s">
        <v>15</v>
      </c>
      <c r="H6" s="81" t="s">
        <v>16</v>
      </c>
      <c r="I6" s="81" t="s">
        <v>17</v>
      </c>
    </row>
    <row r="7" spans="2:9" x14ac:dyDescent="0.25">
      <c r="B7" s="56" t="s">
        <v>88</v>
      </c>
      <c r="C7" s="82">
        <v>6.99</v>
      </c>
      <c r="F7" s="57" t="s">
        <v>84</v>
      </c>
      <c r="G7" s="82">
        <v>8.08</v>
      </c>
      <c r="H7" s="82">
        <v>7.29</v>
      </c>
      <c r="I7" s="82">
        <v>6.3</v>
      </c>
    </row>
    <row r="8" spans="2:9" x14ac:dyDescent="0.25">
      <c r="C8" s="53"/>
      <c r="F8" s="57" t="s">
        <v>85</v>
      </c>
      <c r="G8" s="82">
        <v>1.52</v>
      </c>
      <c r="H8" s="82">
        <v>1.52</v>
      </c>
      <c r="I8" s="82">
        <v>1.52</v>
      </c>
    </row>
    <row r="9" spans="2:9" x14ac:dyDescent="0.25">
      <c r="C9" s="53"/>
      <c r="F9" s="57" t="s">
        <v>86</v>
      </c>
      <c r="G9" s="82">
        <v>9.73</v>
      </c>
      <c r="H9" s="82">
        <v>8.5</v>
      </c>
      <c r="I9" s="82">
        <v>5.87</v>
      </c>
    </row>
    <row r="10" spans="2:9" x14ac:dyDescent="0.25">
      <c r="F10" s="57" t="s">
        <v>19</v>
      </c>
      <c r="G10" s="82">
        <v>11</v>
      </c>
      <c r="H10" s="82">
        <v>11</v>
      </c>
      <c r="I10" s="82">
        <v>11</v>
      </c>
    </row>
    <row r="11" spans="2:9" x14ac:dyDescent="0.25">
      <c r="F11" s="57" t="s">
        <v>90</v>
      </c>
      <c r="G11" s="82">
        <v>0.5</v>
      </c>
      <c r="H11" s="82">
        <v>0.5</v>
      </c>
      <c r="I11" s="82">
        <v>0.5</v>
      </c>
    </row>
    <row r="12" spans="2:9" x14ac:dyDescent="0.25">
      <c r="F12" s="54" t="s">
        <v>20</v>
      </c>
      <c r="G12" s="55">
        <f>SUM(G7:G11)</f>
        <v>30.83</v>
      </c>
      <c r="H12" s="55">
        <f>SUM(H7:H10)</f>
        <v>28.310000000000002</v>
      </c>
      <c r="I12" s="55">
        <f>SUM(I7:I10)</f>
        <v>24.69</v>
      </c>
    </row>
    <row r="13" spans="2:9" x14ac:dyDescent="0.25">
      <c r="G13" s="53"/>
      <c r="H13" s="53"/>
      <c r="I13" s="53"/>
    </row>
    <row r="14" spans="2:9" x14ac:dyDescent="0.25">
      <c r="G14" s="53"/>
      <c r="H14" s="53"/>
      <c r="I14" s="53"/>
    </row>
    <row r="15" spans="2:9" x14ac:dyDescent="0.25">
      <c r="F15" s="54" t="s">
        <v>82</v>
      </c>
      <c r="G15" s="81" t="s">
        <v>15</v>
      </c>
      <c r="H15" s="81" t="s">
        <v>16</v>
      </c>
      <c r="I15" s="81" t="s">
        <v>17</v>
      </c>
    </row>
    <row r="16" spans="2:9" ht="30" x14ac:dyDescent="0.25">
      <c r="D16" s="68"/>
      <c r="F16" s="58" t="s">
        <v>91</v>
      </c>
      <c r="G16" s="82">
        <v>15.37</v>
      </c>
      <c r="H16" s="82">
        <v>14.47</v>
      </c>
      <c r="I16" s="82">
        <v>11.66</v>
      </c>
    </row>
    <row r="17" spans="6:9" x14ac:dyDescent="0.25">
      <c r="F17" s="57" t="s">
        <v>84</v>
      </c>
      <c r="G17" s="82">
        <v>8.08</v>
      </c>
      <c r="H17" s="82">
        <v>7.29</v>
      </c>
      <c r="I17" s="82">
        <v>6.03</v>
      </c>
    </row>
    <row r="18" spans="6:9" x14ac:dyDescent="0.25">
      <c r="F18" s="57" t="s">
        <v>85</v>
      </c>
      <c r="G18" s="82">
        <v>1.52</v>
      </c>
      <c r="H18" s="82">
        <v>1.52</v>
      </c>
      <c r="I18" s="82">
        <v>1.52</v>
      </c>
    </row>
    <row r="19" spans="6:9" x14ac:dyDescent="0.25">
      <c r="F19" s="59" t="s">
        <v>18</v>
      </c>
      <c r="G19" s="82">
        <v>24.93</v>
      </c>
      <c r="H19" s="82">
        <v>24.93</v>
      </c>
      <c r="I19" s="82">
        <v>24.93</v>
      </c>
    </row>
    <row r="20" spans="6:9" x14ac:dyDescent="0.25">
      <c r="F20" s="57" t="s">
        <v>19</v>
      </c>
      <c r="G20" s="82">
        <v>11</v>
      </c>
      <c r="H20" s="82">
        <v>11</v>
      </c>
      <c r="I20" s="82">
        <v>11</v>
      </c>
    </row>
    <row r="21" spans="6:9" x14ac:dyDescent="0.25">
      <c r="F21" s="57" t="s">
        <v>90</v>
      </c>
      <c r="G21" s="82">
        <v>0.5</v>
      </c>
      <c r="H21" s="82">
        <v>0.5</v>
      </c>
      <c r="I21" s="82">
        <v>0.5</v>
      </c>
    </row>
    <row r="22" spans="6:9" x14ac:dyDescent="0.25">
      <c r="F22" s="54" t="s">
        <v>20</v>
      </c>
      <c r="G22" s="55">
        <f>SUM(G16:G20)</f>
        <v>60.9</v>
      </c>
      <c r="H22" s="55">
        <f>SUM(H16:H20)</f>
        <v>59.21</v>
      </c>
      <c r="I22" s="55">
        <f>SUM(I16:I20)</f>
        <v>55.14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3"/>
  <sheetViews>
    <sheetView topLeftCell="A10" zoomScaleNormal="100" workbookViewId="0">
      <pane xSplit="1" topLeftCell="B1" activePane="topRight" state="frozen"/>
      <selection pane="topRight" activeCell="H16" sqref="H16"/>
    </sheetView>
  </sheetViews>
  <sheetFormatPr defaultColWidth="11.42578125" defaultRowHeight="15" x14ac:dyDescent="0.25"/>
  <cols>
    <col min="1" max="1" width="25.5703125" bestFit="1" customWidth="1"/>
    <col min="2" max="37" width="5.85546875" style="2" bestFit="1" customWidth="1"/>
    <col min="38" max="38" width="5" bestFit="1" customWidth="1"/>
  </cols>
  <sheetData>
    <row r="1" spans="1:38" x14ac:dyDescent="0.25">
      <c r="A1" t="s">
        <v>6</v>
      </c>
      <c r="B1" s="81">
        <v>1</v>
      </c>
      <c r="C1" s="81">
        <v>2</v>
      </c>
      <c r="D1" s="81">
        <v>3</v>
      </c>
      <c r="E1" s="81">
        <v>4</v>
      </c>
      <c r="F1" s="81">
        <v>5</v>
      </c>
      <c r="G1" s="81">
        <v>6</v>
      </c>
      <c r="H1" s="81">
        <v>7</v>
      </c>
      <c r="I1" s="81">
        <v>8</v>
      </c>
      <c r="J1" s="81">
        <v>9</v>
      </c>
      <c r="K1" s="81">
        <v>10</v>
      </c>
      <c r="L1" s="81">
        <v>11</v>
      </c>
      <c r="M1" s="81">
        <v>12</v>
      </c>
      <c r="N1" s="81">
        <v>13</v>
      </c>
      <c r="O1" s="81">
        <v>14</v>
      </c>
      <c r="P1" s="81">
        <v>15</v>
      </c>
      <c r="Q1" s="81">
        <v>16</v>
      </c>
      <c r="R1" s="81">
        <v>17</v>
      </c>
      <c r="S1" s="81">
        <v>18</v>
      </c>
      <c r="T1" s="81">
        <v>19</v>
      </c>
      <c r="U1" s="81">
        <v>20</v>
      </c>
      <c r="V1" s="81">
        <v>21</v>
      </c>
      <c r="W1" s="81">
        <v>22</v>
      </c>
      <c r="X1" s="81">
        <v>23</v>
      </c>
      <c r="Y1" s="81">
        <v>24</v>
      </c>
      <c r="Z1" s="81">
        <v>25</v>
      </c>
      <c r="AA1" s="81">
        <v>26</v>
      </c>
      <c r="AB1" s="81">
        <v>27</v>
      </c>
      <c r="AC1" s="81">
        <v>28</v>
      </c>
      <c r="AD1" s="81">
        <v>29</v>
      </c>
      <c r="AE1" s="81">
        <v>30</v>
      </c>
      <c r="AF1" s="81">
        <v>31</v>
      </c>
      <c r="AG1" s="81">
        <v>32</v>
      </c>
      <c r="AH1" s="81">
        <v>33</v>
      </c>
      <c r="AI1" s="81">
        <v>34</v>
      </c>
      <c r="AJ1" s="81">
        <v>35</v>
      </c>
      <c r="AK1" s="81">
        <v>36</v>
      </c>
    </row>
    <row r="2" spans="1:38" x14ac:dyDescent="0.25">
      <c r="A2" s="56" t="s">
        <v>80</v>
      </c>
      <c r="B2" s="84">
        <v>20</v>
      </c>
      <c r="C2" s="85">
        <f t="shared" ref="C2:AK2" si="0">B2*$B$7</f>
        <v>21</v>
      </c>
      <c r="D2" s="85">
        <f t="shared" si="0"/>
        <v>22.05</v>
      </c>
      <c r="E2" s="85">
        <f t="shared" si="0"/>
        <v>23.152500000000003</v>
      </c>
      <c r="F2" s="85">
        <f t="shared" si="0"/>
        <v>24.310125000000003</v>
      </c>
      <c r="G2" s="85">
        <f t="shared" si="0"/>
        <v>25.525631250000004</v>
      </c>
      <c r="H2" s="85">
        <f t="shared" si="0"/>
        <v>26.801912812500007</v>
      </c>
      <c r="I2" s="85">
        <f t="shared" si="0"/>
        <v>28.142008453125008</v>
      </c>
      <c r="J2" s="85">
        <f t="shared" si="0"/>
        <v>29.549108875781261</v>
      </c>
      <c r="K2" s="85">
        <f t="shared" si="0"/>
        <v>31.026564319570326</v>
      </c>
      <c r="L2" s="85">
        <f t="shared" si="0"/>
        <v>32.577892535548841</v>
      </c>
      <c r="M2" s="85">
        <f t="shared" si="0"/>
        <v>34.206787162326286</v>
      </c>
      <c r="N2" s="85">
        <f t="shared" si="0"/>
        <v>35.917126520442601</v>
      </c>
      <c r="O2" s="85">
        <f t="shared" si="0"/>
        <v>37.712982846464733</v>
      </c>
      <c r="P2" s="85">
        <f t="shared" si="0"/>
        <v>39.598631988787972</v>
      </c>
      <c r="Q2" s="85">
        <f t="shared" si="0"/>
        <v>41.578563588227375</v>
      </c>
      <c r="R2" s="85">
        <f t="shared" si="0"/>
        <v>43.657491767638746</v>
      </c>
      <c r="S2" s="85">
        <f t="shared" si="0"/>
        <v>45.840366356020688</v>
      </c>
      <c r="T2" s="85">
        <f t="shared" si="0"/>
        <v>48.132384673821726</v>
      </c>
      <c r="U2" s="85">
        <f t="shared" si="0"/>
        <v>50.539003907512814</v>
      </c>
      <c r="V2" s="85">
        <f t="shared" si="0"/>
        <v>53.065954102888455</v>
      </c>
      <c r="W2" s="85">
        <f t="shared" si="0"/>
        <v>55.71925180803288</v>
      </c>
      <c r="X2" s="85">
        <f t="shared" si="0"/>
        <v>58.505214398434525</v>
      </c>
      <c r="Y2" s="85">
        <f t="shared" si="0"/>
        <v>61.430475118356256</v>
      </c>
      <c r="Z2" s="85">
        <f t="shared" si="0"/>
        <v>64.501998874274065</v>
      </c>
      <c r="AA2" s="85">
        <f t="shared" si="0"/>
        <v>67.727098817987766</v>
      </c>
      <c r="AB2" s="85">
        <f t="shared" si="0"/>
        <v>71.113453758887161</v>
      </c>
      <c r="AC2" s="85">
        <f t="shared" si="0"/>
        <v>74.669126446831527</v>
      </c>
      <c r="AD2" s="85">
        <f t="shared" si="0"/>
        <v>78.402582769173108</v>
      </c>
      <c r="AE2" s="85">
        <f t="shared" si="0"/>
        <v>82.322711907631771</v>
      </c>
      <c r="AF2" s="85">
        <f t="shared" si="0"/>
        <v>86.438847503013363</v>
      </c>
      <c r="AG2" s="85">
        <f t="shared" si="0"/>
        <v>90.760789878164033</v>
      </c>
      <c r="AH2" s="85">
        <f t="shared" si="0"/>
        <v>95.298829372072234</v>
      </c>
      <c r="AI2" s="85">
        <f t="shared" si="0"/>
        <v>100.06377084067584</v>
      </c>
      <c r="AJ2" s="85">
        <f t="shared" si="0"/>
        <v>105.06695938270964</v>
      </c>
      <c r="AK2" s="85">
        <f t="shared" si="0"/>
        <v>110.32030735184513</v>
      </c>
      <c r="AL2" s="3">
        <f>SUM(B2:AK2)</f>
        <v>1916.7264543887466</v>
      </c>
    </row>
    <row r="3" spans="1:38" x14ac:dyDescent="0.25">
      <c r="A3" s="56" t="s">
        <v>81</v>
      </c>
      <c r="B3" s="84">
        <v>5</v>
      </c>
      <c r="C3" s="85">
        <f t="shared" ref="C3:AK3" si="1">B3*$B$7</f>
        <v>5.25</v>
      </c>
      <c r="D3" s="85">
        <f t="shared" si="1"/>
        <v>5.5125000000000002</v>
      </c>
      <c r="E3" s="85">
        <f t="shared" si="1"/>
        <v>5.7881250000000009</v>
      </c>
      <c r="F3" s="85">
        <f t="shared" si="1"/>
        <v>6.0775312500000007</v>
      </c>
      <c r="G3" s="85">
        <f t="shared" si="1"/>
        <v>6.3814078125000009</v>
      </c>
      <c r="H3" s="85">
        <f t="shared" si="1"/>
        <v>6.7004782031250016</v>
      </c>
      <c r="I3" s="85">
        <f t="shared" si="1"/>
        <v>7.0355021132812521</v>
      </c>
      <c r="J3" s="85">
        <f t="shared" si="1"/>
        <v>7.3872772189453153</v>
      </c>
      <c r="K3" s="85">
        <f t="shared" si="1"/>
        <v>7.7566410798925816</v>
      </c>
      <c r="L3" s="85">
        <f t="shared" si="1"/>
        <v>8.1444731338872103</v>
      </c>
      <c r="M3" s="85">
        <f t="shared" si="1"/>
        <v>8.5516967905815715</v>
      </c>
      <c r="N3" s="85">
        <f t="shared" si="1"/>
        <v>8.9792816301106502</v>
      </c>
      <c r="O3" s="85">
        <f t="shared" si="1"/>
        <v>9.4282457116161833</v>
      </c>
      <c r="P3" s="85">
        <f t="shared" si="1"/>
        <v>9.8996579971969929</v>
      </c>
      <c r="Q3" s="85">
        <f t="shared" si="1"/>
        <v>10.394640897056844</v>
      </c>
      <c r="R3" s="85">
        <f t="shared" si="1"/>
        <v>10.914372941909686</v>
      </c>
      <c r="S3" s="85">
        <f t="shared" si="1"/>
        <v>11.460091589005172</v>
      </c>
      <c r="T3" s="85">
        <f t="shared" si="1"/>
        <v>12.033096168455431</v>
      </c>
      <c r="U3" s="85">
        <f t="shared" si="1"/>
        <v>12.634750976878204</v>
      </c>
      <c r="V3" s="85">
        <f t="shared" si="1"/>
        <v>13.266488525722114</v>
      </c>
      <c r="W3" s="85">
        <f t="shared" si="1"/>
        <v>13.92981295200822</v>
      </c>
      <c r="X3" s="85">
        <f t="shared" si="1"/>
        <v>14.626303599608631</v>
      </c>
      <c r="Y3" s="85">
        <f t="shared" si="1"/>
        <v>15.357618779589064</v>
      </c>
      <c r="Z3" s="85">
        <f t="shared" si="1"/>
        <v>16.125499718568516</v>
      </c>
      <c r="AA3" s="85">
        <f t="shared" si="1"/>
        <v>16.931774704496942</v>
      </c>
      <c r="AB3" s="85">
        <f t="shared" si="1"/>
        <v>17.77836343972179</v>
      </c>
      <c r="AC3" s="85">
        <f t="shared" si="1"/>
        <v>18.667281611707882</v>
      </c>
      <c r="AD3" s="85">
        <f t="shared" si="1"/>
        <v>19.600645692293277</v>
      </c>
      <c r="AE3" s="85">
        <f t="shared" si="1"/>
        <v>20.580677976907943</v>
      </c>
      <c r="AF3" s="85">
        <f t="shared" si="1"/>
        <v>21.609711875753341</v>
      </c>
      <c r="AG3" s="85">
        <f t="shared" si="1"/>
        <v>22.690197469541008</v>
      </c>
      <c r="AH3" s="85">
        <f t="shared" si="1"/>
        <v>23.824707343018058</v>
      </c>
      <c r="AI3" s="85">
        <f t="shared" si="1"/>
        <v>25.015942710168961</v>
      </c>
      <c r="AJ3" s="85">
        <f t="shared" si="1"/>
        <v>26.26673984567741</v>
      </c>
      <c r="AK3" s="85">
        <f t="shared" si="1"/>
        <v>27.580076837961283</v>
      </c>
      <c r="AL3" s="3">
        <f>SUM(B3:AK3)</f>
        <v>479.18161359718664</v>
      </c>
    </row>
    <row r="4" spans="1:38" x14ac:dyDescent="0.25">
      <c r="AL4" s="69">
        <f>SUM(AL2:AL3)</f>
        <v>2395.908067985933</v>
      </c>
    </row>
    <row r="5" spans="1:38" x14ac:dyDescent="0.25">
      <c r="A5" s="56" t="s">
        <v>75</v>
      </c>
      <c r="B5" s="71">
        <f>SUM(B2:B3)/Datos!$D$14</f>
        <v>1.221043443162772E-4</v>
      </c>
      <c r="C5" s="71">
        <f>SUM(C2:C3)/Datos!$D$14+B5</f>
        <v>2.5031390584836827E-4</v>
      </c>
      <c r="D5" s="71">
        <f>SUM(D2:D3)/Datos!$D$14+C5</f>
        <v>3.8493394545706389E-4</v>
      </c>
      <c r="E5" s="71">
        <f>SUM(E2:E3)/Datos!$D$14+D5</f>
        <v>5.2628498704619425E-4</v>
      </c>
      <c r="F5" s="71">
        <f>SUM(F2:F3)/Datos!$D$14+E5</f>
        <v>6.7470358071478119E-4</v>
      </c>
      <c r="G5" s="71">
        <f>SUM(G2:G3)/Datos!$D$14+F5</f>
        <v>8.3054310406679749E-4</v>
      </c>
      <c r="H5" s="71">
        <f>SUM(H2:H3)/Datos!$D$14+G5</f>
        <v>9.9417460358641459E-4</v>
      </c>
      <c r="I5" s="71">
        <f>SUM(I2:I3)/Datos!$D$14+H5</f>
        <v>1.1659876780820127E-3</v>
      </c>
      <c r="J5" s="71">
        <f>SUM(J2:J3)/Datos!$D$14+I5</f>
        <v>1.3463914063023906E-3</v>
      </c>
      <c r="K5" s="71">
        <f>SUM(K2:K3)/Datos!$D$14+J5</f>
        <v>1.5358153209337874E-3</v>
      </c>
      <c r="L5" s="71">
        <f>SUM(L2:L3)/Datos!$D$14+K5</f>
        <v>1.7347104312967539E-3</v>
      </c>
      <c r="M5" s="71">
        <f>SUM(M2:M3)/Datos!$D$14+L5</f>
        <v>1.943550297177869E-3</v>
      </c>
      <c r="N5" s="71">
        <f>SUM(N2:N3)/Datos!$D$14+M5</f>
        <v>2.1628321563530398E-3</v>
      </c>
      <c r="O5" s="71">
        <f>SUM(O2:O3)/Datos!$D$14+N5</f>
        <v>2.3930781084869693E-3</v>
      </c>
      <c r="P5" s="71">
        <f>SUM(P2:P3)/Datos!$D$14+O5</f>
        <v>2.6348363582275949E-3</v>
      </c>
      <c r="Q5" s="71">
        <f>SUM(Q2:Q3)/Datos!$D$14+P5</f>
        <v>2.8886825204552519E-3</v>
      </c>
      <c r="R5" s="71">
        <f>SUM(R2:R3)/Datos!$D$14+Q5</f>
        <v>3.1552209907942919E-3</v>
      </c>
      <c r="S5" s="71">
        <f>SUM(S2:S3)/Datos!$D$14+R5</f>
        <v>3.4350863846502838E-3</v>
      </c>
      <c r="T5" s="71">
        <f>SUM(T2:T3)/Datos!$D$14+S5</f>
        <v>3.7289450481990754E-3</v>
      </c>
      <c r="U5" s="71">
        <f>SUM(U2:U3)/Datos!$D$14+T5</f>
        <v>4.0374966449253065E-3</v>
      </c>
      <c r="V5" s="71">
        <f>SUM(V2:V3)/Datos!$D$14+U5</f>
        <v>4.3614758214878492E-3</v>
      </c>
      <c r="W5" s="71">
        <f>SUM(W2:W3)/Datos!$D$14+V5</f>
        <v>4.7016539568785192E-3</v>
      </c>
      <c r="X5" s="71">
        <f>SUM(X2:X3)/Datos!$D$14+W5</f>
        <v>5.0588409990387226E-3</v>
      </c>
      <c r="Y5" s="71">
        <f>SUM(Y2:Y3)/Datos!$D$14+X5</f>
        <v>5.4338873933069366E-3</v>
      </c>
      <c r="Z5" s="71">
        <f>SUM(Z2:Z3)/Datos!$D$14+Y5</f>
        <v>5.8276861072885612E-3</v>
      </c>
      <c r="AA5" s="71">
        <f>SUM(AA2:AA3)/Datos!$D$14+Z5</f>
        <v>6.2411747569692663E-3</v>
      </c>
      <c r="AB5" s="71">
        <f>SUM(AB2:AB3)/Datos!$D$14+AA5</f>
        <v>6.675337839134007E-3</v>
      </c>
      <c r="AC5" s="71">
        <f>SUM(AC2:AC3)/Datos!$D$14+AB5</f>
        <v>7.1312090754069848E-3</v>
      </c>
      <c r="AD5" s="71">
        <f>SUM(AD2:AD3)/Datos!$D$14+AC5</f>
        <v>7.6098738734936113E-3</v>
      </c>
      <c r="AE5" s="71">
        <f>SUM(AE2:AE3)/Datos!$D$14+AD5</f>
        <v>8.1124719114845697E-3</v>
      </c>
      <c r="AF5" s="71">
        <f>SUM(AF2:AF3)/Datos!$D$14+AE5</f>
        <v>8.6401998513750758E-3</v>
      </c>
      <c r="AG5" s="71">
        <f>SUM(AG2:AG3)/Datos!$D$14+AF5</f>
        <v>9.1943141882601075E-3</v>
      </c>
      <c r="AH5" s="71">
        <f>SUM(AH2:AH3)/Datos!$D$14+AG5</f>
        <v>9.7761342419893909E-3</v>
      </c>
      <c r="AI5" s="71">
        <f>SUM(AI2:AI3)/Datos!$D$14+AH5</f>
        <v>1.0387045298405138E-2</v>
      </c>
      <c r="AJ5" s="71">
        <f>SUM(AJ2:AJ3)/Datos!$D$14+AI5</f>
        <v>1.1028501907641673E-2</v>
      </c>
      <c r="AK5" s="71">
        <f>SUM(AK2:AK3)/Datos!$D$14+AJ5</f>
        <v>1.1702031347340035E-2</v>
      </c>
    </row>
    <row r="7" spans="1:38" x14ac:dyDescent="0.25">
      <c r="A7" s="56" t="s">
        <v>92</v>
      </c>
      <c r="B7" s="83">
        <v>1.05</v>
      </c>
    </row>
    <row r="8" spans="1:38" x14ac:dyDescent="0.25">
      <c r="AI8" s="70"/>
    </row>
    <row r="9" spans="1:38" x14ac:dyDescent="0.25">
      <c r="A9" s="56" t="s">
        <v>93</v>
      </c>
      <c r="B9" s="83">
        <v>0.8</v>
      </c>
    </row>
    <row r="10" spans="1:38" x14ac:dyDescent="0.25">
      <c r="A10" s="56" t="s">
        <v>94</v>
      </c>
      <c r="B10" s="83">
        <v>0.9</v>
      </c>
    </row>
    <row r="11" spans="1:38" x14ac:dyDescent="0.25">
      <c r="A11" s="11"/>
    </row>
    <row r="12" spans="1:38" x14ac:dyDescent="0.25">
      <c r="A12" s="11"/>
    </row>
    <row r="13" spans="1:38" x14ac:dyDescent="0.25">
      <c r="A13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N20"/>
  <sheetViews>
    <sheetView tabSelected="1" zoomScaleNormal="100" workbookViewId="0">
      <selection activeCell="J7" sqref="J7"/>
    </sheetView>
  </sheetViews>
  <sheetFormatPr defaultColWidth="11.42578125" defaultRowHeight="15" x14ac:dyDescent="0.25"/>
  <cols>
    <col min="3" max="3" width="19.140625" bestFit="1" customWidth="1"/>
    <col min="4" max="4" width="25.7109375" bestFit="1" customWidth="1"/>
    <col min="8" max="8" width="28.85546875" bestFit="1" customWidth="1"/>
    <col min="9" max="9" width="20.28515625" bestFit="1" customWidth="1"/>
    <col min="10" max="10" width="15.85546875" bestFit="1" customWidth="1"/>
    <col min="11" max="11" width="16.85546875" bestFit="1" customWidth="1"/>
    <col min="12" max="12" width="17.85546875" bestFit="1" customWidth="1"/>
  </cols>
  <sheetData>
    <row r="3" spans="3:14" x14ac:dyDescent="0.25">
      <c r="C3" s="1"/>
    </row>
    <row r="5" spans="3:14" x14ac:dyDescent="0.25">
      <c r="I5" s="80"/>
    </row>
    <row r="6" spans="3:14" x14ac:dyDescent="0.25">
      <c r="C6" s="56" t="s">
        <v>2</v>
      </c>
      <c r="D6" s="56" t="s">
        <v>1</v>
      </c>
      <c r="I6" t="s">
        <v>0</v>
      </c>
      <c r="J6" s="72" t="s">
        <v>79</v>
      </c>
    </row>
    <row r="7" spans="3:14" x14ac:dyDescent="0.25">
      <c r="C7" s="74">
        <v>7313380</v>
      </c>
      <c r="D7" s="77">
        <v>0.02</v>
      </c>
      <c r="H7" s="26" t="s">
        <v>52</v>
      </c>
      <c r="I7" s="72">
        <f>SUM('plan de negocio'!B4:AK4)</f>
        <v>95817.155454893422</v>
      </c>
      <c r="J7" s="41">
        <f>SUM('plan de negocio'!B14:AK14)</f>
        <v>73746.050332607003</v>
      </c>
      <c r="K7">
        <f>J7*100/$J$11</f>
        <v>17.055567530950249</v>
      </c>
    </row>
    <row r="8" spans="3:14" x14ac:dyDescent="0.25">
      <c r="H8" s="30" t="s">
        <v>53</v>
      </c>
      <c r="I8" s="72">
        <f>SUM('plan de negocio'!B6:AK6)</f>
        <v>191253.51817433076</v>
      </c>
      <c r="J8" s="72">
        <f>SUM('plan de negocio'!B20:AK20)</f>
        <v>292796.10503326071</v>
      </c>
      <c r="K8">
        <f>J8*100/$J$11</f>
        <v>67.716219643914371</v>
      </c>
    </row>
    <row r="9" spans="3:14" x14ac:dyDescent="0.25">
      <c r="C9" s="56" t="s">
        <v>3</v>
      </c>
      <c r="D9" s="56" t="s">
        <v>1</v>
      </c>
      <c r="H9" s="34" t="s">
        <v>54</v>
      </c>
      <c r="I9" s="72">
        <f>SUM('plan de negocio'!B7:AK7,'plan de negocio'!B5:AK5)</f>
        <v>185217.783145717</v>
      </c>
      <c r="J9" s="72">
        <f>SUM('plan de negocio'!B26:AK26)</f>
        <v>46516</v>
      </c>
      <c r="K9">
        <f t="shared" ref="K9:K10" si="0">J9*100/$J$11</f>
        <v>10.757956198216856</v>
      </c>
    </row>
    <row r="10" spans="3:14" x14ac:dyDescent="0.25">
      <c r="C10" s="74">
        <v>1461883</v>
      </c>
      <c r="D10" s="77">
        <v>0.04</v>
      </c>
      <c r="H10" s="38" t="s">
        <v>55</v>
      </c>
      <c r="J10" s="72">
        <f>SUM('plan de negocio'!B33:AK33)</f>
        <v>19328.80683156227</v>
      </c>
      <c r="K10">
        <f t="shared" si="0"/>
        <v>4.4702566269185153</v>
      </c>
    </row>
    <row r="11" spans="3:14" x14ac:dyDescent="0.25">
      <c r="H11" s="19" t="s">
        <v>45</v>
      </c>
      <c r="J11" s="72">
        <f>SUM('plan de negocio'!B34:AK34)</f>
        <v>432386.96219743002</v>
      </c>
    </row>
    <row r="12" spans="3:14" x14ac:dyDescent="0.25">
      <c r="I12" s="79"/>
      <c r="J12" s="72"/>
      <c r="N12" s="72"/>
    </row>
    <row r="13" spans="3:14" x14ac:dyDescent="0.25">
      <c r="D13" s="56" t="s">
        <v>67</v>
      </c>
      <c r="I13" s="79"/>
      <c r="J13" s="72"/>
      <c r="K13" s="73"/>
      <c r="L13" s="73"/>
      <c r="M13" s="73"/>
    </row>
    <row r="14" spans="3:14" x14ac:dyDescent="0.25">
      <c r="D14" s="75">
        <f>C7*D7+C10*D10</f>
        <v>204742.92</v>
      </c>
      <c r="I14" s="79"/>
      <c r="J14" s="72"/>
      <c r="N14" s="72"/>
    </row>
    <row r="16" spans="3:14" x14ac:dyDescent="0.25">
      <c r="D16" s="56" t="s">
        <v>68</v>
      </c>
    </row>
    <row r="17" spans="4:10" x14ac:dyDescent="0.25">
      <c r="D17" s="76">
        <f>(ventas!AL4)/Datos!D14</f>
        <v>1.1702031347340035E-2</v>
      </c>
    </row>
    <row r="19" spans="4:10" x14ac:dyDescent="0.25">
      <c r="D19" s="56" t="s">
        <v>77</v>
      </c>
      <c r="J19" s="72"/>
    </row>
    <row r="20" spans="4:10" x14ac:dyDescent="0.25">
      <c r="D20" s="62">
        <v>0.1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42"/>
  <sheetViews>
    <sheetView showGridLines="0" topLeftCell="A7" workbookViewId="0">
      <pane xSplit="1" topLeftCell="Y1" activePane="topRight" state="frozen"/>
      <selection pane="topRight" activeCell="A34" sqref="A34"/>
    </sheetView>
  </sheetViews>
  <sheetFormatPr defaultColWidth="11.42578125" defaultRowHeight="15" x14ac:dyDescent="0.25"/>
  <cols>
    <col min="1" max="1" width="28.140625" style="4" customWidth="1"/>
    <col min="2" max="14" width="11.28515625" style="2" bestFit="1" customWidth="1"/>
    <col min="15" max="24" width="12.28515625" style="2" bestFit="1" customWidth="1"/>
    <col min="25" max="35" width="11.28515625" style="2" bestFit="1" customWidth="1"/>
    <col min="36" max="37" width="10.5703125" style="2" bestFit="1" customWidth="1"/>
    <col min="38" max="101" width="11.5703125" style="12"/>
  </cols>
  <sheetData>
    <row r="1" spans="1:10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</row>
    <row r="3" spans="1:101" s="7" customFormat="1" x14ac:dyDescent="0.25">
      <c r="A3" s="6" t="s">
        <v>7</v>
      </c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</row>
    <row r="4" spans="1:101" s="10" customFormat="1" x14ac:dyDescent="0.25">
      <c r="A4" s="9" t="s">
        <v>9</v>
      </c>
      <c r="B4" s="41">
        <f>productos!$C$5*ventas!B2</f>
        <v>999.80000000000007</v>
      </c>
      <c r="C4" s="41">
        <f>productos!$C$5*ventas!C2</f>
        <v>1049.79</v>
      </c>
      <c r="D4" s="41">
        <f>productos!$C$5*ventas!D2</f>
        <v>1102.2795000000001</v>
      </c>
      <c r="E4" s="41">
        <f>productos!$C$5*ventas!E2</f>
        <v>1157.3934750000003</v>
      </c>
      <c r="F4" s="41">
        <f>productos!$C$5*ventas!F2</f>
        <v>1215.2631487500003</v>
      </c>
      <c r="G4" s="41">
        <f>productos!$C$5*ventas!G2</f>
        <v>1276.0263061875003</v>
      </c>
      <c r="H4" s="41">
        <f>productos!$C$5*ventas!H2</f>
        <v>1339.8276214968753</v>
      </c>
      <c r="I4" s="41">
        <f>productos!$C$5*ventas!I2</f>
        <v>1406.8190025717192</v>
      </c>
      <c r="J4" s="41">
        <f>productos!$C$5*ventas!J2</f>
        <v>1477.1599527003052</v>
      </c>
      <c r="K4" s="41">
        <f>productos!$C$5*ventas!K2</f>
        <v>1551.0179503353206</v>
      </c>
      <c r="L4" s="41">
        <f>productos!$C$5*ventas!L2</f>
        <v>1628.5688478520867</v>
      </c>
      <c r="M4" s="41">
        <f>productos!$C$5*ventas!M2</f>
        <v>1709.9972902446912</v>
      </c>
      <c r="N4" s="41">
        <f>productos!$C$5*ventas!N2</f>
        <v>1795.4971547569257</v>
      </c>
      <c r="O4" s="41">
        <f>productos!$C$5*ventas!O2</f>
        <v>1885.2720124947721</v>
      </c>
      <c r="P4" s="41">
        <f>productos!$C$5*ventas!P2</f>
        <v>1979.5356131195108</v>
      </c>
      <c r="Q4" s="41">
        <f>productos!$C$5*ventas!Q2</f>
        <v>2078.5123937754865</v>
      </c>
      <c r="R4" s="41">
        <f>productos!$C$5*ventas!R2</f>
        <v>2182.4380134642611</v>
      </c>
      <c r="S4" s="41">
        <f>productos!$C$5*ventas!S2</f>
        <v>2291.5599141374742</v>
      </c>
      <c r="T4" s="41">
        <f>productos!$C$5*ventas!T2</f>
        <v>2406.1379098443481</v>
      </c>
      <c r="U4" s="41">
        <f>productos!$C$5*ventas!U2</f>
        <v>2526.4448053365659</v>
      </c>
      <c r="V4" s="41">
        <f>productos!$C$5*ventas!V2</f>
        <v>2652.7670456033939</v>
      </c>
      <c r="W4" s="41">
        <f>productos!$C$5*ventas!W2</f>
        <v>2785.4053978835636</v>
      </c>
      <c r="X4" s="41">
        <f>productos!$C$5*ventas!X2</f>
        <v>2924.6756677777421</v>
      </c>
      <c r="Y4" s="41">
        <f>productos!$C$5*ventas!Y2</f>
        <v>3070.9094511666294</v>
      </c>
      <c r="Z4" s="41">
        <f>productos!$C$5*ventas!Z2</f>
        <v>3224.4549237249607</v>
      </c>
      <c r="AA4" s="41">
        <f>productos!$C$5*ventas!AA2</f>
        <v>3385.6776699112083</v>
      </c>
      <c r="AB4" s="41">
        <f>productos!$C$5*ventas!AB2</f>
        <v>3554.9615534067693</v>
      </c>
      <c r="AC4" s="41">
        <f>productos!$C$5*ventas!AC2</f>
        <v>3732.709631077108</v>
      </c>
      <c r="AD4" s="41">
        <f>productos!$C$5*ventas!AD2</f>
        <v>3919.3451126309637</v>
      </c>
      <c r="AE4" s="41">
        <f>productos!$C$5*ventas!AE2</f>
        <v>4115.3123682625128</v>
      </c>
      <c r="AF4" s="41">
        <f>productos!$C$5*ventas!AF2</f>
        <v>4321.0779866756384</v>
      </c>
      <c r="AG4" s="41">
        <f>productos!$C$5*ventas!AG2</f>
        <v>4537.1318860094198</v>
      </c>
      <c r="AH4" s="41">
        <f>productos!$C$5*ventas!AH2</f>
        <v>4763.9884803098912</v>
      </c>
      <c r="AI4" s="41">
        <f>productos!$C$5*ventas!AI2</f>
        <v>5002.1879043253857</v>
      </c>
      <c r="AJ4" s="41">
        <f>productos!$C$5*ventas!AJ2</f>
        <v>5252.2972995416549</v>
      </c>
      <c r="AK4" s="41">
        <f>productos!$C$5*ventas!AK2</f>
        <v>5514.9121645187379</v>
      </c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</row>
    <row r="5" spans="1:101" s="10" customFormat="1" x14ac:dyDescent="0.25">
      <c r="A5" s="9" t="s">
        <v>10</v>
      </c>
      <c r="B5" s="41">
        <f>productos!$C$7*ventas!B2*ventas!$B$9</f>
        <v>111.84000000000002</v>
      </c>
      <c r="C5" s="41">
        <f>(productos!$C$7*ventas!C2*ventas!$B$9)+'plan de negocio'!B5</f>
        <v>229.27200000000002</v>
      </c>
      <c r="D5" s="41">
        <f>(productos!$C$7*ventas!D2*ventas!$B$9)+'plan de negocio'!C5</f>
        <v>352.57560000000001</v>
      </c>
      <c r="E5" s="41">
        <f>(productos!$C$7*ventas!E2*ventas!$B$9)+'plan de negocio'!D5</f>
        <v>482.04438000000005</v>
      </c>
      <c r="F5" s="41">
        <f>(productos!$C$7*ventas!F2*ventas!$B$9)+'plan de negocio'!E5</f>
        <v>617.98659900000007</v>
      </c>
      <c r="G5" s="41">
        <f>(productos!$C$7*ventas!G2*ventas!$B$9)+'plan de negocio'!F5</f>
        <v>760.72592895000014</v>
      </c>
      <c r="H5" s="41">
        <f>(productos!$C$7*ventas!H2*ventas!$B$9)+'plan de negocio'!G5</f>
        <v>910.60222539750021</v>
      </c>
      <c r="I5" s="41">
        <f>(productos!$C$7*ventas!I2*ventas!$B$9)+'plan de negocio'!H5</f>
        <v>1067.9723366673752</v>
      </c>
      <c r="J5" s="41">
        <f>(productos!$C$7*ventas!J2*ventas!$B$9)+'plan de negocio'!I5</f>
        <v>1233.2109535007439</v>
      </c>
      <c r="K5" s="41">
        <f>(productos!$C$7*ventas!K2*ventas!$B$9)+'plan de negocio'!J5</f>
        <v>1406.7115011757812</v>
      </c>
      <c r="L5" s="41">
        <f>(productos!$C$7*ventas!L2*ventas!$B$9)+'plan de negocio'!K5</f>
        <v>1588.8870762345705</v>
      </c>
      <c r="M5" s="41">
        <f>(productos!$C$7*ventas!M2*ventas!$B$9)+'plan de negocio'!L5</f>
        <v>1780.1714300462991</v>
      </c>
      <c r="N5" s="41">
        <f>(productos!$C$7*ventas!N2*ventas!$B$9)+'plan de negocio'!M5</f>
        <v>1981.0200015486141</v>
      </c>
      <c r="O5" s="41">
        <f>(productos!$C$7*ventas!O2*ventas!$B$9)+'plan de negocio'!N5</f>
        <v>2191.9110016260447</v>
      </c>
      <c r="P5" s="41">
        <f>(productos!$C$7*ventas!P2*ventas!$B$9)+'plan de negocio'!O5</f>
        <v>2413.3465517073469</v>
      </c>
      <c r="Q5" s="41">
        <f>(productos!$C$7*ventas!Q2*ventas!$B$9)+'plan de negocio'!P5</f>
        <v>2645.8538792927143</v>
      </c>
      <c r="R5" s="41">
        <f>(productos!$C$7*ventas!R2*ventas!$B$9)+'plan de negocio'!Q5</f>
        <v>2889.9865732573503</v>
      </c>
      <c r="S5" s="41">
        <f>(productos!$C$7*ventas!S2*ventas!$B$9)+'plan de negocio'!R5</f>
        <v>3146.3259019202178</v>
      </c>
      <c r="T5" s="41">
        <f>(productos!$C$7*ventas!T2*ventas!$B$9)+'plan de negocio'!S5</f>
        <v>3415.4821970162288</v>
      </c>
      <c r="U5" s="41">
        <f>(productos!$C$7*ventas!U2*ventas!$B$9)+'plan de negocio'!T5</f>
        <v>3698.0963068670403</v>
      </c>
      <c r="V5" s="41">
        <f>(productos!$C$7*ventas!V2*ventas!$B$9)+'plan de negocio'!U5</f>
        <v>3994.8411222103923</v>
      </c>
      <c r="W5" s="41">
        <f>(productos!$C$7*ventas!W2*ventas!$B$9)+'plan de negocio'!V5</f>
        <v>4306.4231783209125</v>
      </c>
      <c r="X5" s="41">
        <f>(productos!$C$7*ventas!X2*ventas!$B$9)+'plan de negocio'!W5</f>
        <v>4633.5843372369582</v>
      </c>
      <c r="Y5" s="41">
        <f>(productos!$C$7*ventas!Y2*ventas!$B$9)+'plan de negocio'!X5</f>
        <v>4977.1035540988069</v>
      </c>
      <c r="Z5" s="41">
        <f>(productos!$C$7*ventas!Z2*ventas!$B$9)+'plan de negocio'!Y5</f>
        <v>5337.7987318037476</v>
      </c>
      <c r="AA5" s="41">
        <f>(productos!$C$7*ventas!AA2*ventas!$B$9)+'plan de negocio'!Z5</f>
        <v>5716.5286683939357</v>
      </c>
      <c r="AB5" s="41">
        <f>(productos!$C$7*ventas!AB2*ventas!$B$9)+'plan de negocio'!AA5</f>
        <v>6114.1951018136324</v>
      </c>
      <c r="AC5" s="41">
        <f>(productos!$C$7*ventas!AC2*ventas!$B$9)+'plan de negocio'!AB5</f>
        <v>6531.7448569043145</v>
      </c>
      <c r="AD5" s="41">
        <f>(productos!$C$7*ventas!AD2*ventas!$B$9)+'plan de negocio'!AC5</f>
        <v>6970.1720997495304</v>
      </c>
      <c r="AE5" s="41">
        <f>(productos!$C$7*ventas!AE2*ventas!$B$9)+'plan de negocio'!AD5</f>
        <v>7430.5207047370077</v>
      </c>
      <c r="AF5" s="41">
        <f>(productos!$C$7*ventas!AF2*ventas!$B$9)+'plan de negocio'!AE5</f>
        <v>7913.8867399738583</v>
      </c>
      <c r="AG5" s="41">
        <f>(productos!$C$7*ventas!AG2*ventas!$B$9)+'plan de negocio'!AF5</f>
        <v>8421.4210769725523</v>
      </c>
      <c r="AH5" s="41">
        <f>(productos!$C$7*ventas!AH2*ventas!$B$9)+'plan de negocio'!AG5</f>
        <v>8954.3321308211798</v>
      </c>
      <c r="AI5" s="41">
        <f>(productos!$C$7*ventas!AI2*ventas!$B$9)+'plan de negocio'!AH5</f>
        <v>9513.8887373622383</v>
      </c>
      <c r="AJ5" s="41">
        <f>(productos!$C$7*ventas!AJ2*ventas!$B$9)+'plan de negocio'!AI5</f>
        <v>10101.423174230351</v>
      </c>
      <c r="AK5" s="41">
        <f>(productos!$C$7*ventas!AK2*ventas!$B$9)+'plan de negocio'!AJ5</f>
        <v>10718.334332941869</v>
      </c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</row>
    <row r="6" spans="1:101" s="10" customFormat="1" x14ac:dyDescent="0.25">
      <c r="A6" s="9" t="s">
        <v>11</v>
      </c>
      <c r="B6" s="41">
        <f>productos!$C$6*ventas!B2*ventas!B9</f>
        <v>1599.8400000000001</v>
      </c>
      <c r="C6" s="41">
        <f>productos!$C$6*ventas!C2</f>
        <v>2099.79</v>
      </c>
      <c r="D6" s="41">
        <f>productos!$C$6*ventas!D2</f>
        <v>2204.7795000000001</v>
      </c>
      <c r="E6" s="41">
        <f>productos!$C$6*ventas!E2</f>
        <v>2315.0184750000003</v>
      </c>
      <c r="F6" s="41">
        <f>productos!$C$6*ventas!F2</f>
        <v>2430.7693987500002</v>
      </c>
      <c r="G6" s="41">
        <f>productos!$C$6*ventas!G2</f>
        <v>2552.3078686875001</v>
      </c>
      <c r="H6" s="41">
        <f>productos!$C$6*ventas!H2</f>
        <v>2679.9232621218757</v>
      </c>
      <c r="I6" s="41">
        <f>productos!$C$6*ventas!I2</f>
        <v>2813.9194252279694</v>
      </c>
      <c r="J6" s="41">
        <f>productos!$C$6*ventas!J2</f>
        <v>2954.6153964893683</v>
      </c>
      <c r="K6" s="41">
        <f>productos!$C$6*ventas!K2</f>
        <v>3102.3461663138369</v>
      </c>
      <c r="L6" s="41">
        <f>productos!$C$6*ventas!L2</f>
        <v>3257.4634746295283</v>
      </c>
      <c r="M6" s="41">
        <f>productos!$C$6*ventas!M2</f>
        <v>3420.3366483610052</v>
      </c>
      <c r="N6" s="41">
        <f>productos!$C$6*ventas!N2</f>
        <v>3591.3534807790556</v>
      </c>
      <c r="O6" s="41">
        <f>productos!$C$6*ventas!O2</f>
        <v>3770.9211548180083</v>
      </c>
      <c r="P6" s="41">
        <f>productos!$C$6*ventas!P2</f>
        <v>3959.4672125589091</v>
      </c>
      <c r="Q6" s="41">
        <f>productos!$C$6*ventas!Q2</f>
        <v>4157.4405731868546</v>
      </c>
      <c r="R6" s="41">
        <f>productos!$C$6*ventas!R2</f>
        <v>4365.312601846198</v>
      </c>
      <c r="S6" s="41">
        <f>productos!$C$6*ventas!S2</f>
        <v>4583.578231938508</v>
      </c>
      <c r="T6" s="41">
        <f>productos!$C$6*ventas!T2</f>
        <v>4812.7571435354339</v>
      </c>
      <c r="U6" s="41">
        <f>productos!$C$6*ventas!U2</f>
        <v>5053.3950007122057</v>
      </c>
      <c r="V6" s="41">
        <f>productos!$C$6*ventas!V2</f>
        <v>5306.0647507478161</v>
      </c>
      <c r="W6" s="41">
        <f>productos!$C$6*ventas!W2</f>
        <v>5571.3679882852075</v>
      </c>
      <c r="X6" s="41">
        <f>productos!$C$6*ventas!X2</f>
        <v>5849.9363876994676</v>
      </c>
      <c r="Y6" s="41">
        <f>productos!$C$6*ventas!Y2</f>
        <v>6142.4332070844421</v>
      </c>
      <c r="Z6" s="41">
        <f>productos!$C$6*ventas!Z2</f>
        <v>6449.5548674386637</v>
      </c>
      <c r="AA6" s="41">
        <f>productos!$C$6*ventas!AA2</f>
        <v>6772.0326108105965</v>
      </c>
      <c r="AB6" s="41">
        <f>productos!$C$6*ventas!AB2</f>
        <v>7110.6342413511265</v>
      </c>
      <c r="AC6" s="41">
        <f>productos!$C$6*ventas!AC2</f>
        <v>7466.1659534186838</v>
      </c>
      <c r="AD6" s="41">
        <f>productos!$C$6*ventas!AD2</f>
        <v>7839.4742510896185</v>
      </c>
      <c r="AE6" s="41">
        <f>productos!$C$6*ventas!AE2</f>
        <v>8231.447963644101</v>
      </c>
      <c r="AF6" s="41">
        <f>productos!$C$6*ventas!AF2</f>
        <v>8643.0203618263058</v>
      </c>
      <c r="AG6" s="41">
        <f>productos!$C$6*ventas!AG2</f>
        <v>9075.1713799176214</v>
      </c>
      <c r="AH6" s="41">
        <f>productos!$C$6*ventas!AH2</f>
        <v>9528.9299489135028</v>
      </c>
      <c r="AI6" s="41">
        <f>productos!$C$6*ventas!AI2</f>
        <v>10005.376446359178</v>
      </c>
      <c r="AJ6" s="41">
        <f>productos!$C$6*ventas!AJ2</f>
        <v>10505.645268677137</v>
      </c>
      <c r="AK6" s="41">
        <f>productos!$C$6*ventas!AK2</f>
        <v>11030.927532110994</v>
      </c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</row>
    <row r="7" spans="1:101" s="10" customFormat="1" x14ac:dyDescent="0.25">
      <c r="A7" s="9" t="s">
        <v>12</v>
      </c>
      <c r="B7" s="41">
        <f>productos!$C$7*ventas!$B$3*ventas!B10</f>
        <v>31.455000000000002</v>
      </c>
      <c r="C7" s="41">
        <f>(productos!$C$7*ventas!C3*ventas!$B$10)+'plan de negocio'!B7</f>
        <v>64.482749999999996</v>
      </c>
      <c r="D7" s="41">
        <f>(productos!$C$7*ventas!D3*ventas!$B$10)+'plan de negocio'!C7</f>
        <v>99.161887500000006</v>
      </c>
      <c r="E7" s="41">
        <f>(productos!$C$7*ventas!E3*ventas!$B$10)+'plan de negocio'!D7</f>
        <v>135.57498187500002</v>
      </c>
      <c r="F7" s="41">
        <f>(productos!$C$7*ventas!F3*ventas!$B$10)+'plan de negocio'!E7</f>
        <v>173.80873096875001</v>
      </c>
      <c r="G7" s="41">
        <f>(productos!$C$7*ventas!G3*ventas!$B$10)+'plan de negocio'!F7</f>
        <v>213.95416751718753</v>
      </c>
      <c r="H7" s="41">
        <f>(productos!$C$7*ventas!H3*ventas!$B$10)+'plan de negocio'!G7</f>
        <v>256.10687589304689</v>
      </c>
      <c r="I7" s="41">
        <f>(productos!$C$7*ventas!I3*ventas!$B$10)+'plan de negocio'!H7</f>
        <v>300.36721968769928</v>
      </c>
      <c r="J7" s="41">
        <f>(productos!$C$7*ventas!J3*ventas!$B$10)+'plan de negocio'!I7</f>
        <v>346.84058067208423</v>
      </c>
      <c r="K7" s="41">
        <f>(productos!$C$7*ventas!K3*ventas!$B$10)+'plan de negocio'!J7</f>
        <v>395.63760970568848</v>
      </c>
      <c r="L7" s="41">
        <f>(productos!$C$7*ventas!L3*ventas!$B$10)+'plan de negocio'!K7</f>
        <v>446.87449019097289</v>
      </c>
      <c r="M7" s="41">
        <f>(productos!$C$7*ventas!M3*ventas!$B$10)+'plan de negocio'!L7</f>
        <v>500.67321470052156</v>
      </c>
      <c r="N7" s="41">
        <f>(productos!$C$7*ventas!N3*ventas!$B$10)+'plan de negocio'!M7</f>
        <v>557.1618754355477</v>
      </c>
      <c r="O7" s="41">
        <f>(productos!$C$7*ventas!O3*ventas!$B$10)+'plan de negocio'!N7</f>
        <v>616.4749692073251</v>
      </c>
      <c r="P7" s="41">
        <f>(productos!$C$7*ventas!P3*ventas!$B$10)+'plan de negocio'!O7</f>
        <v>678.75371766769138</v>
      </c>
      <c r="Q7" s="41">
        <f>(productos!$C$7*ventas!Q3*ventas!$B$10)+'plan de negocio'!P7</f>
        <v>744.14640355107599</v>
      </c>
      <c r="R7" s="41">
        <f>(productos!$C$7*ventas!R3*ventas!$B$10)+'plan de negocio'!Q7</f>
        <v>812.80872372862984</v>
      </c>
      <c r="S7" s="41">
        <f>(productos!$C$7*ventas!S3*ventas!$B$10)+'plan de negocio'!R7</f>
        <v>884.90415991506143</v>
      </c>
      <c r="T7" s="41">
        <f>(productos!$C$7*ventas!T3*ventas!$B$10)+'plan de negocio'!S7</f>
        <v>960.60436791081452</v>
      </c>
      <c r="U7" s="41">
        <f>(productos!$C$7*ventas!U3*ventas!$B$10)+'plan de negocio'!T7</f>
        <v>1040.0895863063554</v>
      </c>
      <c r="V7" s="41">
        <f>(productos!$C$7*ventas!V3*ventas!$B$10)+'plan de negocio'!U7</f>
        <v>1123.5490656216732</v>
      </c>
      <c r="W7" s="41">
        <f>(productos!$C$7*ventas!W3*ventas!$B$10)+'plan de negocio'!V7</f>
        <v>1211.181518902757</v>
      </c>
      <c r="X7" s="41">
        <f>(productos!$C$7*ventas!X3*ventas!$B$10)+'plan de negocio'!W7</f>
        <v>1303.1955948478949</v>
      </c>
      <c r="Y7" s="41">
        <f>(productos!$C$7*ventas!Y3*ventas!$B$10)+'plan de negocio'!X7</f>
        <v>1399.8103745902897</v>
      </c>
      <c r="Z7" s="41">
        <f>(productos!$C$7*ventas!Z3*ventas!$B$10)+'plan de negocio'!Y7</f>
        <v>1501.2558933198043</v>
      </c>
      <c r="AA7" s="41">
        <f>(productos!$C$7*ventas!AA3*ventas!$B$10)+'plan de negocio'!Z7</f>
        <v>1607.7736879857946</v>
      </c>
      <c r="AB7" s="41">
        <f>(productos!$C$7*ventas!AB3*ventas!$B$10)+'plan de negocio'!AA7</f>
        <v>1719.6173723850843</v>
      </c>
      <c r="AC7" s="41">
        <f>(productos!$C$7*ventas!AC3*ventas!$B$10)+'plan de negocio'!AB7</f>
        <v>1837.0532410043386</v>
      </c>
      <c r="AD7" s="41">
        <f>(productos!$C$7*ventas!AD3*ventas!$B$10)+'plan de negocio'!AC7</f>
        <v>1960.3609030545556</v>
      </c>
      <c r="AE7" s="41">
        <f>(productos!$C$7*ventas!AE3*ventas!$B$10)+'plan de negocio'!AD7</f>
        <v>2089.8339482072834</v>
      </c>
      <c r="AF7" s="41">
        <f>(productos!$C$7*ventas!AF3*ventas!$B$10)+'plan de negocio'!AE7</f>
        <v>2225.7806456176477</v>
      </c>
      <c r="AG7" s="41">
        <f>(productos!$C$7*ventas!AG3*ventas!$B$10)+'plan de negocio'!AF7</f>
        <v>2368.5246778985302</v>
      </c>
      <c r="AH7" s="41">
        <f>(productos!$C$7*ventas!AH3*ventas!$B$10)+'plan de negocio'!AG7</f>
        <v>2518.4059117934567</v>
      </c>
      <c r="AI7" s="41">
        <f>(productos!$C$7*ventas!AI3*ventas!$B$10)+'plan de negocio'!AH7</f>
        <v>2675.7812073831296</v>
      </c>
      <c r="AJ7" s="41">
        <f>(productos!$C$7*ventas!AJ3*ventas!$B$10)+'plan de negocio'!AI7</f>
        <v>2841.0252677522863</v>
      </c>
      <c r="AK7" s="41">
        <f>(productos!$C$7*ventas!AK3*ventas!$B$10)+'plan de negocio'!AJ7</f>
        <v>3014.5315311399008</v>
      </c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</row>
    <row r="8" spans="1:101" s="15" customFormat="1" x14ac:dyDescent="0.25">
      <c r="A8" s="6" t="s">
        <v>50</v>
      </c>
      <c r="B8" s="42">
        <f t="shared" ref="B8:AK8" si="0">SUM(B4:B7)</f>
        <v>2742.9350000000004</v>
      </c>
      <c r="C8" s="42">
        <f t="shared" si="0"/>
        <v>3443.33475</v>
      </c>
      <c r="D8" s="42">
        <f t="shared" si="0"/>
        <v>3758.7964875000002</v>
      </c>
      <c r="E8" s="42">
        <f t="shared" si="0"/>
        <v>4090.0313118750009</v>
      </c>
      <c r="F8" s="42">
        <f t="shared" si="0"/>
        <v>4437.8278774687506</v>
      </c>
      <c r="G8" s="42">
        <f t="shared" si="0"/>
        <v>4803.0142713421883</v>
      </c>
      <c r="H8" s="42">
        <f t="shared" si="0"/>
        <v>5186.4599849092974</v>
      </c>
      <c r="I8" s="42">
        <f t="shared" si="0"/>
        <v>5589.0779841547637</v>
      </c>
      <c r="J8" s="42">
        <f t="shared" si="0"/>
        <v>6011.8268833625016</v>
      </c>
      <c r="K8" s="42">
        <f t="shared" si="0"/>
        <v>6455.7132275306267</v>
      </c>
      <c r="L8" s="42">
        <f t="shared" si="0"/>
        <v>6921.7938889071584</v>
      </c>
      <c r="M8" s="42">
        <f t="shared" si="0"/>
        <v>7411.1785833525164</v>
      </c>
      <c r="N8" s="42">
        <f t="shared" si="0"/>
        <v>7925.0325125201434</v>
      </c>
      <c r="O8" s="42">
        <f t="shared" si="0"/>
        <v>8464.5791381461495</v>
      </c>
      <c r="P8" s="42">
        <f t="shared" si="0"/>
        <v>9031.1030950534569</v>
      </c>
      <c r="Q8" s="42">
        <f t="shared" si="0"/>
        <v>9625.9532498061308</v>
      </c>
      <c r="R8" s="42">
        <f t="shared" si="0"/>
        <v>10250.545912296438</v>
      </c>
      <c r="S8" s="42">
        <f t="shared" si="0"/>
        <v>10906.368207911262</v>
      </c>
      <c r="T8" s="42">
        <f t="shared" si="0"/>
        <v>11594.981618306825</v>
      </c>
      <c r="U8" s="42">
        <f t="shared" si="0"/>
        <v>12318.025699222168</v>
      </c>
      <c r="V8" s="42">
        <f t="shared" si="0"/>
        <v>13077.221984183276</v>
      </c>
      <c r="W8" s="42">
        <f t="shared" si="0"/>
        <v>13874.378083392441</v>
      </c>
      <c r="X8" s="42">
        <f t="shared" si="0"/>
        <v>14711.391987562063</v>
      </c>
      <c r="Y8" s="42">
        <f t="shared" si="0"/>
        <v>15590.256586940168</v>
      </c>
      <c r="Z8" s="42">
        <f t="shared" si="0"/>
        <v>16513.064416287176</v>
      </c>
      <c r="AA8" s="42">
        <f t="shared" si="0"/>
        <v>17482.012637101536</v>
      </c>
      <c r="AB8" s="42">
        <f t="shared" si="0"/>
        <v>18499.408268956613</v>
      </c>
      <c r="AC8" s="42">
        <f t="shared" si="0"/>
        <v>19567.673682404442</v>
      </c>
      <c r="AD8" s="42">
        <f t="shared" si="0"/>
        <v>20689.352366524668</v>
      </c>
      <c r="AE8" s="42">
        <f t="shared" si="0"/>
        <v>21867.114984850909</v>
      </c>
      <c r="AF8" s="42">
        <f t="shared" si="0"/>
        <v>23103.765734093453</v>
      </c>
      <c r="AG8" s="42">
        <f t="shared" si="0"/>
        <v>24402.249020798125</v>
      </c>
      <c r="AH8" s="42">
        <f t="shared" si="0"/>
        <v>25765.656471838029</v>
      </c>
      <c r="AI8" s="42">
        <f t="shared" si="0"/>
        <v>27197.234295429931</v>
      </c>
      <c r="AJ8" s="42">
        <f t="shared" si="0"/>
        <v>28700.391010201431</v>
      </c>
      <c r="AK8" s="42">
        <f t="shared" si="0"/>
        <v>30278.705560711503</v>
      </c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</row>
    <row r="9" spans="1:101" x14ac:dyDescent="0.2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</row>
    <row r="10" spans="1:101" s="18" customFormat="1" x14ac:dyDescent="0.25">
      <c r="A10" s="17" t="s">
        <v>13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</row>
    <row r="11" spans="1:101" s="24" customFormat="1" x14ac:dyDescent="0.25">
      <c r="A11" s="23" t="s">
        <v>49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</row>
    <row r="12" spans="1:101" s="13" customFormat="1" x14ac:dyDescent="0.25">
      <c r="A12" s="25" t="s">
        <v>8</v>
      </c>
      <c r="B12" s="41">
        <f>productos!$I$12*ventas!B2</f>
        <v>493.8</v>
      </c>
      <c r="C12" s="41">
        <f>productos!$I$12*ventas!C2</f>
        <v>518.49</v>
      </c>
      <c r="D12" s="41">
        <f>productos!$I$12*ventas!D2</f>
        <v>544.41450000000009</v>
      </c>
      <c r="E12" s="41">
        <f>productos!$I$12*ventas!E2</f>
        <v>571.6352250000001</v>
      </c>
      <c r="F12" s="41">
        <f>productos!$I$12*ventas!F2</f>
        <v>600.2169862500001</v>
      </c>
      <c r="G12" s="41">
        <f>productos!$I$12*ventas!G2</f>
        <v>630.2278355625001</v>
      </c>
      <c r="H12" s="41">
        <f>productos!$I$12*ventas!H2</f>
        <v>661.73922734062523</v>
      </c>
      <c r="I12" s="41">
        <f>productos!$I$12*ventas!I2</f>
        <v>694.82618870765646</v>
      </c>
      <c r="J12" s="41">
        <f>productos!$I$12*ventas!J2</f>
        <v>729.56749814303942</v>
      </c>
      <c r="K12" s="41">
        <f>productos!$I$12*ventas!K2</f>
        <v>766.0458730501914</v>
      </c>
      <c r="L12" s="41">
        <f>productos!$I$12*ventas!L2</f>
        <v>804.34816670270095</v>
      </c>
      <c r="M12" s="41">
        <f>productos!$I$12*ventas!M2</f>
        <v>844.56557503783608</v>
      </c>
      <c r="N12" s="41">
        <f>productos!$I$12*ventas!N2</f>
        <v>886.7938537897279</v>
      </c>
      <c r="O12" s="41">
        <f>productos!$I$12*ventas!O2</f>
        <v>931.13354647921426</v>
      </c>
      <c r="P12" s="41">
        <f>productos!$I$12*ventas!P2</f>
        <v>977.69022380317506</v>
      </c>
      <c r="Q12" s="41">
        <f>productos!$I$12*ventas!Q2</f>
        <v>1026.574734993334</v>
      </c>
      <c r="R12" s="41">
        <f>productos!$I$12*ventas!R2</f>
        <v>1077.9034717430006</v>
      </c>
      <c r="S12" s="41">
        <f>productos!$I$12*ventas!S2</f>
        <v>1131.7986453301507</v>
      </c>
      <c r="T12" s="41">
        <f>productos!$I$12*ventas!T2</f>
        <v>1188.3885775966585</v>
      </c>
      <c r="U12" s="41">
        <f>productos!$I$12*ventas!U2</f>
        <v>1247.8080064764915</v>
      </c>
      <c r="V12" s="41">
        <f>productos!$I$12*ventas!V2</f>
        <v>1310.198406800316</v>
      </c>
      <c r="W12" s="41">
        <f>productos!$I$12*ventas!W2</f>
        <v>1375.7083271403319</v>
      </c>
      <c r="X12" s="41">
        <f>productos!$I$12*ventas!X2</f>
        <v>1444.4937434973485</v>
      </c>
      <c r="Y12" s="41">
        <f>productos!$I$12*ventas!Y2</f>
        <v>1516.7184306722161</v>
      </c>
      <c r="Z12" s="41">
        <f>productos!$I$12*ventas!Z2</f>
        <v>1592.5543522058267</v>
      </c>
      <c r="AA12" s="41">
        <f>productos!$I$12*ventas!AA2</f>
        <v>1672.182069816118</v>
      </c>
      <c r="AB12" s="41">
        <f>productos!$I$12*ventas!AB2</f>
        <v>1755.7911733069241</v>
      </c>
      <c r="AC12" s="41">
        <f>productos!$I$12*ventas!AC2</f>
        <v>1843.5807319722705</v>
      </c>
      <c r="AD12" s="41">
        <f>productos!$I$12*ventas!AD2</f>
        <v>1935.759768570884</v>
      </c>
      <c r="AE12" s="41">
        <f>productos!$I$12*ventas!AE2</f>
        <v>2032.5477569994284</v>
      </c>
      <c r="AF12" s="41">
        <f>productos!$I$12*ventas!AF2</f>
        <v>2134.1751448494001</v>
      </c>
      <c r="AG12" s="41">
        <f>productos!$I$12*ventas!AG2</f>
        <v>2240.8839020918699</v>
      </c>
      <c r="AH12" s="41">
        <f>productos!$I$12*ventas!AH2</f>
        <v>2352.9280971964636</v>
      </c>
      <c r="AI12" s="41">
        <f>productos!$I$12*ventas!AI2</f>
        <v>2470.5745020562867</v>
      </c>
      <c r="AJ12" s="41">
        <f>productos!$I$12*ventas!AJ2</f>
        <v>2594.1032271591012</v>
      </c>
      <c r="AK12" s="41">
        <f>productos!$I$12*ventas!AK2</f>
        <v>2723.8083885170563</v>
      </c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</row>
    <row r="13" spans="1:101" s="13" customFormat="1" x14ac:dyDescent="0.25">
      <c r="A13" s="25" t="s">
        <v>14</v>
      </c>
      <c r="B13" s="41">
        <f>productos!$I$22*ventas!B3</f>
        <v>275.7</v>
      </c>
      <c r="C13" s="41">
        <f>productos!$I$22*ventas!C3</f>
        <v>289.48500000000001</v>
      </c>
      <c r="D13" s="41">
        <f>productos!$I$22*ventas!D3</f>
        <v>303.95925</v>
      </c>
      <c r="E13" s="41">
        <f>productos!$I$22*ventas!E3</f>
        <v>319.15721250000007</v>
      </c>
      <c r="F13" s="41">
        <f>productos!$I$22*ventas!F3</f>
        <v>335.11507312500004</v>
      </c>
      <c r="G13" s="41">
        <f>productos!$I$22*ventas!G3</f>
        <v>351.87082678125006</v>
      </c>
      <c r="H13" s="41">
        <f>productos!$I$22*ventas!H3</f>
        <v>369.4643681203126</v>
      </c>
      <c r="I13" s="41">
        <f>productos!$I$22*ventas!I3</f>
        <v>387.93758652632823</v>
      </c>
      <c r="J13" s="41">
        <f>productos!$I$22*ventas!J3</f>
        <v>407.33446585264471</v>
      </c>
      <c r="K13" s="41">
        <f>productos!$I$22*ventas!K3</f>
        <v>427.70118914527694</v>
      </c>
      <c r="L13" s="41">
        <f>productos!$I$22*ventas!L3</f>
        <v>449.08624860254076</v>
      </c>
      <c r="M13" s="41">
        <f>productos!$I$22*ventas!M3</f>
        <v>471.54056103266788</v>
      </c>
      <c r="N13" s="41">
        <f>productos!$I$22*ventas!N3</f>
        <v>495.11758908430124</v>
      </c>
      <c r="O13" s="41">
        <f>productos!$I$22*ventas!O3</f>
        <v>519.87346853851636</v>
      </c>
      <c r="P13" s="41">
        <f>productos!$I$22*ventas!P3</f>
        <v>545.86714196544222</v>
      </c>
      <c r="Q13" s="41">
        <f>productos!$I$22*ventas!Q3</f>
        <v>573.16049906371438</v>
      </c>
      <c r="R13" s="41">
        <f>productos!$I$22*ventas!R3</f>
        <v>601.81852401690014</v>
      </c>
      <c r="S13" s="41">
        <f>productos!$I$22*ventas!S3</f>
        <v>631.90945021774519</v>
      </c>
      <c r="T13" s="41">
        <f>productos!$I$22*ventas!T3</f>
        <v>663.50492272863255</v>
      </c>
      <c r="U13" s="41">
        <f>productos!$I$22*ventas!U3</f>
        <v>696.68016886506416</v>
      </c>
      <c r="V13" s="41">
        <f>productos!$I$22*ventas!V3</f>
        <v>731.51417730831736</v>
      </c>
      <c r="W13" s="41">
        <f>productos!$I$22*ventas!W3</f>
        <v>768.08988617373325</v>
      </c>
      <c r="X13" s="41">
        <f>productos!$I$22*ventas!X3</f>
        <v>806.49438048241996</v>
      </c>
      <c r="Y13" s="41">
        <f>productos!$I$22*ventas!Y3</f>
        <v>846.81909950654097</v>
      </c>
      <c r="Z13" s="41">
        <f>productos!$I$22*ventas!Z3</f>
        <v>889.16005448186797</v>
      </c>
      <c r="AA13" s="41">
        <f>productos!$I$22*ventas!AA3</f>
        <v>933.61805720596135</v>
      </c>
      <c r="AB13" s="41">
        <f>productos!$I$22*ventas!AB3</f>
        <v>980.2989600662595</v>
      </c>
      <c r="AC13" s="41">
        <f>productos!$I$22*ventas!AC3</f>
        <v>1029.3139080695726</v>
      </c>
      <c r="AD13" s="41">
        <f>productos!$I$22*ventas!AD3</f>
        <v>1080.7796034730513</v>
      </c>
      <c r="AE13" s="41">
        <f>productos!$I$22*ventas!AE3</f>
        <v>1134.8185836467039</v>
      </c>
      <c r="AF13" s="41">
        <f>productos!$I$22*ventas!AF3</f>
        <v>1191.5595128290392</v>
      </c>
      <c r="AG13" s="41">
        <f>productos!$I$22*ventas!AG3</f>
        <v>1251.1374884704912</v>
      </c>
      <c r="AH13" s="41">
        <f>productos!$I$22*ventas!AH3</f>
        <v>1313.6943628940157</v>
      </c>
      <c r="AI13" s="41">
        <f>productos!$I$22*ventas!AI3</f>
        <v>1379.3790810387165</v>
      </c>
      <c r="AJ13" s="41">
        <f>productos!$I$22*ventas!AJ3</f>
        <v>1448.3480350906525</v>
      </c>
      <c r="AK13" s="41">
        <f>productos!$I$22*ventas!AK3</f>
        <v>1520.7654368451851</v>
      </c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</row>
    <row r="14" spans="1:101" s="16" customFormat="1" x14ac:dyDescent="0.25">
      <c r="A14" s="26" t="s">
        <v>52</v>
      </c>
      <c r="B14" s="46">
        <f t="shared" ref="B14:AK14" si="1">SUM(B12:B13)</f>
        <v>769.5</v>
      </c>
      <c r="C14" s="46">
        <f t="shared" si="1"/>
        <v>807.97500000000002</v>
      </c>
      <c r="D14" s="46">
        <f t="shared" si="1"/>
        <v>848.37375000000009</v>
      </c>
      <c r="E14" s="46">
        <f t="shared" si="1"/>
        <v>890.79243750000023</v>
      </c>
      <c r="F14" s="46">
        <f t="shared" si="1"/>
        <v>935.3320593750002</v>
      </c>
      <c r="G14" s="46">
        <f t="shared" si="1"/>
        <v>982.09866234375022</v>
      </c>
      <c r="H14" s="46">
        <f t="shared" si="1"/>
        <v>1031.2035954609378</v>
      </c>
      <c r="I14" s="46">
        <f t="shared" si="1"/>
        <v>1082.7637752339847</v>
      </c>
      <c r="J14" s="46">
        <f t="shared" si="1"/>
        <v>1136.9019639956841</v>
      </c>
      <c r="K14" s="46">
        <f t="shared" si="1"/>
        <v>1193.7470621954683</v>
      </c>
      <c r="L14" s="46">
        <f t="shared" si="1"/>
        <v>1253.4344153052416</v>
      </c>
      <c r="M14" s="46">
        <f t="shared" si="1"/>
        <v>1316.1061360705039</v>
      </c>
      <c r="N14" s="46">
        <f t="shared" si="1"/>
        <v>1381.911442874029</v>
      </c>
      <c r="O14" s="46">
        <f t="shared" si="1"/>
        <v>1451.0070150177307</v>
      </c>
      <c r="P14" s="46">
        <f t="shared" si="1"/>
        <v>1523.5573657686173</v>
      </c>
      <c r="Q14" s="46">
        <f t="shared" si="1"/>
        <v>1599.7352340570483</v>
      </c>
      <c r="R14" s="46">
        <f t="shared" si="1"/>
        <v>1679.7219957599009</v>
      </c>
      <c r="S14" s="46">
        <f t="shared" si="1"/>
        <v>1763.7080955478959</v>
      </c>
      <c r="T14" s="46">
        <f t="shared" si="1"/>
        <v>1851.8935003252909</v>
      </c>
      <c r="U14" s="46">
        <f t="shared" si="1"/>
        <v>1944.4881753415557</v>
      </c>
      <c r="V14" s="46">
        <f t="shared" si="1"/>
        <v>2041.7125841086333</v>
      </c>
      <c r="W14" s="46">
        <f t="shared" si="1"/>
        <v>2143.7982133140649</v>
      </c>
      <c r="X14" s="46">
        <f t="shared" si="1"/>
        <v>2250.9881239797687</v>
      </c>
      <c r="Y14" s="46">
        <f t="shared" si="1"/>
        <v>2363.5375301787572</v>
      </c>
      <c r="Z14" s="46">
        <f t="shared" si="1"/>
        <v>2481.7144066876945</v>
      </c>
      <c r="AA14" s="46">
        <f t="shared" si="1"/>
        <v>2605.8001270220793</v>
      </c>
      <c r="AB14" s="46">
        <f t="shared" si="1"/>
        <v>2736.0901333731836</v>
      </c>
      <c r="AC14" s="46">
        <f t="shared" si="1"/>
        <v>2872.8946400418431</v>
      </c>
      <c r="AD14" s="46">
        <f t="shared" si="1"/>
        <v>3016.5393720439351</v>
      </c>
      <c r="AE14" s="46">
        <f t="shared" si="1"/>
        <v>3167.3663406461324</v>
      </c>
      <c r="AF14" s="46">
        <f t="shared" si="1"/>
        <v>3325.7346576784394</v>
      </c>
      <c r="AG14" s="46">
        <f t="shared" si="1"/>
        <v>3492.0213905623614</v>
      </c>
      <c r="AH14" s="46">
        <f t="shared" si="1"/>
        <v>3666.6224600904793</v>
      </c>
      <c r="AI14" s="46">
        <f t="shared" si="1"/>
        <v>3849.9535830950035</v>
      </c>
      <c r="AJ14" s="46">
        <f t="shared" si="1"/>
        <v>4042.4512622497537</v>
      </c>
      <c r="AK14" s="46">
        <f t="shared" si="1"/>
        <v>4244.5738253622412</v>
      </c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</row>
    <row r="15" spans="1:101" s="28" customFormat="1" x14ac:dyDescent="0.25">
      <c r="A15" s="27" t="s">
        <v>35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</row>
    <row r="16" spans="1:101" s="14" customFormat="1" x14ac:dyDescent="0.25">
      <c r="A16" s="29" t="s">
        <v>47</v>
      </c>
      <c r="B16" s="47">
        <f>presupuesto!$L$23</f>
        <v>1989</v>
      </c>
      <c r="C16" s="47">
        <f>presupuesto!$L$23</f>
        <v>1989</v>
      </c>
      <c r="D16" s="47">
        <f>presupuesto!$L$23</f>
        <v>1989</v>
      </c>
      <c r="E16" s="47">
        <f>presupuesto!$L$23</f>
        <v>1989</v>
      </c>
      <c r="F16" s="47">
        <f>presupuesto!$L$23</f>
        <v>1989</v>
      </c>
      <c r="G16" s="47">
        <f>presupuesto!$L$23</f>
        <v>1989</v>
      </c>
      <c r="H16" s="47">
        <f>presupuesto!$L$23</f>
        <v>1989</v>
      </c>
      <c r="I16" s="47">
        <f>presupuesto!$L$23</f>
        <v>1989</v>
      </c>
      <c r="J16" s="47">
        <f>presupuesto!$L$23</f>
        <v>1989</v>
      </c>
      <c r="K16" s="47">
        <f>presupuesto!$L$23</f>
        <v>1989</v>
      </c>
      <c r="L16" s="47">
        <f>presupuesto!$L$23</f>
        <v>1989</v>
      </c>
      <c r="M16" s="47">
        <f>presupuesto!$L$23</f>
        <v>1989</v>
      </c>
      <c r="N16" s="47">
        <f>presupuesto!$L$23</f>
        <v>1989</v>
      </c>
      <c r="O16" s="47">
        <f>presupuesto!$L$23</f>
        <v>1989</v>
      </c>
      <c r="P16" s="47">
        <f>presupuesto!$L$23</f>
        <v>1989</v>
      </c>
      <c r="Q16" s="47">
        <f>presupuesto!$L$23</f>
        <v>1989</v>
      </c>
      <c r="R16" s="47">
        <f>presupuesto!$L$23</f>
        <v>1989</v>
      </c>
      <c r="S16" s="47">
        <f>presupuesto!$L$23</f>
        <v>1989</v>
      </c>
      <c r="T16" s="47">
        <f>presupuesto!$L$23</f>
        <v>1989</v>
      </c>
      <c r="U16" s="47">
        <f>presupuesto!$L$23</f>
        <v>1989</v>
      </c>
      <c r="V16" s="47">
        <f>presupuesto!$L$23</f>
        <v>1989</v>
      </c>
      <c r="W16" s="47">
        <f>presupuesto!$L$23</f>
        <v>1989</v>
      </c>
      <c r="X16" s="47">
        <f>presupuesto!$L$23</f>
        <v>1989</v>
      </c>
      <c r="Y16" s="47">
        <f>presupuesto!$L$23</f>
        <v>1989</v>
      </c>
      <c r="Z16" s="47">
        <f>presupuesto!$L$23</f>
        <v>1989</v>
      </c>
      <c r="AA16" s="47">
        <f>presupuesto!$L$23</f>
        <v>1989</v>
      </c>
      <c r="AB16" s="47">
        <f>presupuesto!$L$23</f>
        <v>1989</v>
      </c>
      <c r="AC16" s="47">
        <f>presupuesto!$L$23</f>
        <v>1989</v>
      </c>
      <c r="AD16" s="47">
        <f>presupuesto!$L$23</f>
        <v>1989</v>
      </c>
      <c r="AE16" s="47">
        <f>presupuesto!$L$23</f>
        <v>1989</v>
      </c>
      <c r="AF16" s="47">
        <f>presupuesto!$L$23</f>
        <v>1989</v>
      </c>
      <c r="AG16" s="47">
        <f>presupuesto!$L$23</f>
        <v>1989</v>
      </c>
      <c r="AH16" s="47">
        <f>presupuesto!$L$23</f>
        <v>1989</v>
      </c>
      <c r="AI16" s="47">
        <f>presupuesto!$L$23</f>
        <v>1989</v>
      </c>
      <c r="AJ16" s="47">
        <f>presupuesto!$L$23</f>
        <v>1989</v>
      </c>
      <c r="AK16" s="47">
        <f>presupuesto!$L$23</f>
        <v>1989</v>
      </c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</row>
    <row r="17" spans="1:101" s="14" customFormat="1" x14ac:dyDescent="0.25">
      <c r="A17" s="29" t="s">
        <v>48</v>
      </c>
      <c r="B17" s="41">
        <f>presupuesto!$L$22</f>
        <v>2762.5</v>
      </c>
      <c r="C17" s="41">
        <f>presupuesto!$L$22</f>
        <v>2762.5</v>
      </c>
      <c r="D17" s="41">
        <f>presupuesto!$L$22</f>
        <v>2762.5</v>
      </c>
      <c r="E17" s="41">
        <f>presupuesto!$L$22</f>
        <v>2762.5</v>
      </c>
      <c r="F17" s="41">
        <f>presupuesto!$L$22</f>
        <v>2762.5</v>
      </c>
      <c r="G17" s="41">
        <f>presupuesto!$L$22</f>
        <v>2762.5</v>
      </c>
      <c r="H17" s="41">
        <f>presupuesto!$L$22</f>
        <v>2762.5</v>
      </c>
      <c r="I17" s="41">
        <f>presupuesto!$L$22</f>
        <v>2762.5</v>
      </c>
      <c r="J17" s="41">
        <f>presupuesto!$L$22</f>
        <v>2762.5</v>
      </c>
      <c r="K17" s="41">
        <f>presupuesto!$L$22</f>
        <v>2762.5</v>
      </c>
      <c r="L17" s="41">
        <f>presupuesto!$L$22</f>
        <v>2762.5</v>
      </c>
      <c r="M17" s="41">
        <f>presupuesto!$L$22</f>
        <v>2762.5</v>
      </c>
      <c r="N17" s="41">
        <f>presupuesto!$L$22</f>
        <v>2762.5</v>
      </c>
      <c r="O17" s="41">
        <f>presupuesto!$L$22</f>
        <v>2762.5</v>
      </c>
      <c r="P17" s="41">
        <f>presupuesto!$L$22</f>
        <v>2762.5</v>
      </c>
      <c r="Q17" s="41">
        <f>presupuesto!$L$22</f>
        <v>2762.5</v>
      </c>
      <c r="R17" s="41">
        <f>presupuesto!$L$22</f>
        <v>2762.5</v>
      </c>
      <c r="S17" s="41">
        <f>presupuesto!$L$22</f>
        <v>2762.5</v>
      </c>
      <c r="T17" s="41">
        <f>presupuesto!$L$22</f>
        <v>2762.5</v>
      </c>
      <c r="U17" s="41">
        <f>presupuesto!$L$22</f>
        <v>2762.5</v>
      </c>
      <c r="V17" s="41">
        <f>presupuesto!$L$22</f>
        <v>2762.5</v>
      </c>
      <c r="W17" s="41">
        <f>presupuesto!$L$22</f>
        <v>2762.5</v>
      </c>
      <c r="X17" s="41">
        <f>presupuesto!$L$22</f>
        <v>2762.5</v>
      </c>
      <c r="Y17" s="41">
        <f>presupuesto!$L$22</f>
        <v>2762.5</v>
      </c>
      <c r="Z17" s="41">
        <f>presupuesto!$L$22</f>
        <v>2762.5</v>
      </c>
      <c r="AA17" s="41">
        <f>presupuesto!$L$22</f>
        <v>2762.5</v>
      </c>
      <c r="AB17" s="41">
        <f>presupuesto!$L$22</f>
        <v>2762.5</v>
      </c>
      <c r="AC17" s="41">
        <f>presupuesto!$L$22</f>
        <v>2762.5</v>
      </c>
      <c r="AD17" s="41">
        <f>presupuesto!$L$22</f>
        <v>2762.5</v>
      </c>
      <c r="AE17" s="41">
        <f>presupuesto!$L$22</f>
        <v>2762.5</v>
      </c>
      <c r="AF17" s="41">
        <f>presupuesto!$L$22</f>
        <v>2762.5</v>
      </c>
      <c r="AG17" s="41">
        <f>presupuesto!$L$22</f>
        <v>2762.5</v>
      </c>
      <c r="AH17" s="41">
        <f>presupuesto!$L$22</f>
        <v>2762.5</v>
      </c>
      <c r="AI17" s="41">
        <f>presupuesto!$L$22</f>
        <v>2762.5</v>
      </c>
      <c r="AJ17" s="41">
        <f>presupuesto!$L$22</f>
        <v>2762.5</v>
      </c>
      <c r="AK17" s="41">
        <f>presupuesto!$L$22</f>
        <v>2762.5</v>
      </c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</row>
    <row r="18" spans="1:101" s="14" customFormat="1" x14ac:dyDescent="0.25">
      <c r="A18" s="29" t="s">
        <v>46</v>
      </c>
      <c r="B18" s="47">
        <v>0</v>
      </c>
      <c r="C18" s="41">
        <v>0</v>
      </c>
      <c r="D18" s="41">
        <v>0</v>
      </c>
      <c r="E18" s="41">
        <f>presupuesto!$L$24</f>
        <v>1657.5</v>
      </c>
      <c r="F18" s="41">
        <f>presupuesto!$L$24</f>
        <v>1657.5</v>
      </c>
      <c r="G18" s="41">
        <f>presupuesto!$L$24</f>
        <v>1657.5</v>
      </c>
      <c r="H18" s="41">
        <f>presupuesto!$L$24</f>
        <v>1657.5</v>
      </c>
      <c r="I18" s="41">
        <f>presupuesto!$L$24</f>
        <v>1657.5</v>
      </c>
      <c r="J18" s="41">
        <f>presupuesto!$L$24</f>
        <v>1657.5</v>
      </c>
      <c r="K18" s="41">
        <f>presupuesto!$L$24</f>
        <v>1657.5</v>
      </c>
      <c r="L18" s="41">
        <f>presupuesto!$L$24</f>
        <v>1657.5</v>
      </c>
      <c r="M18" s="41">
        <f>presupuesto!$L$24</f>
        <v>1657.5</v>
      </c>
      <c r="N18" s="41">
        <f>presupuesto!$L$24</f>
        <v>1657.5</v>
      </c>
      <c r="O18" s="41">
        <f>presupuesto!$L$24</f>
        <v>1657.5</v>
      </c>
      <c r="P18" s="41">
        <f>presupuesto!$L$24</f>
        <v>1657.5</v>
      </c>
      <c r="Q18" s="41">
        <f>presupuesto!$L$24</f>
        <v>1657.5</v>
      </c>
      <c r="R18" s="41">
        <f>presupuesto!$L$24</f>
        <v>1657.5</v>
      </c>
      <c r="S18" s="41">
        <f>presupuesto!$L$24</f>
        <v>1657.5</v>
      </c>
      <c r="T18" s="41">
        <f>presupuesto!$L$24</f>
        <v>1657.5</v>
      </c>
      <c r="U18" s="41">
        <f>presupuesto!$L$24</f>
        <v>1657.5</v>
      </c>
      <c r="V18" s="41">
        <f>presupuesto!$L$24</f>
        <v>1657.5</v>
      </c>
      <c r="W18" s="41">
        <f>presupuesto!$L$24</f>
        <v>1657.5</v>
      </c>
      <c r="X18" s="41">
        <f>presupuesto!$L$24</f>
        <v>1657.5</v>
      </c>
      <c r="Y18" s="41">
        <f>presupuesto!$L$24</f>
        <v>1657.5</v>
      </c>
      <c r="Z18" s="41">
        <f>presupuesto!$L$24</f>
        <v>1657.5</v>
      </c>
      <c r="AA18" s="41">
        <f>presupuesto!$L$24</f>
        <v>1657.5</v>
      </c>
      <c r="AB18" s="41">
        <f>presupuesto!$L$24</f>
        <v>1657.5</v>
      </c>
      <c r="AC18" s="41">
        <f>presupuesto!$L$24</f>
        <v>1657.5</v>
      </c>
      <c r="AD18" s="41">
        <f>presupuesto!$L$24</f>
        <v>1657.5</v>
      </c>
      <c r="AE18" s="41">
        <f>presupuesto!$L$24</f>
        <v>1657.5</v>
      </c>
      <c r="AF18" s="41">
        <f>presupuesto!$L$24</f>
        <v>1657.5</v>
      </c>
      <c r="AG18" s="41">
        <f>presupuesto!$L$24</f>
        <v>1657.5</v>
      </c>
      <c r="AH18" s="41">
        <f>presupuesto!$L$24</f>
        <v>1657.5</v>
      </c>
      <c r="AI18" s="41">
        <f>presupuesto!$L$24</f>
        <v>1657.5</v>
      </c>
      <c r="AJ18" s="41">
        <f>presupuesto!$L$24</f>
        <v>1657.5</v>
      </c>
      <c r="AK18" s="41">
        <f>presupuesto!$L$24</f>
        <v>1657.5</v>
      </c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</row>
    <row r="19" spans="1:101" s="14" customFormat="1" x14ac:dyDescent="0.25">
      <c r="A19" s="29" t="s">
        <v>62</v>
      </c>
      <c r="B19" s="41">
        <f>presupuesto!$L$25+presupuesto!$O$21*((ventas!B2*productos!$I$12)+(productos!$I$22*ventas!B3))</f>
        <v>1734.45</v>
      </c>
      <c r="C19" s="41">
        <f>presupuesto!$L$25+presupuesto!$O$21*((ventas!C2*productos!$I$12)+(productos!$I$22*ventas!C3))</f>
        <v>1738.2975000000001</v>
      </c>
      <c r="D19" s="41">
        <f>presupuesto!$L$25+presupuesto!$O$21*((ventas!D2*productos!$I$12)+(productos!$I$22*ventas!D3))</f>
        <v>1742.3373750000001</v>
      </c>
      <c r="E19" s="41">
        <f>presupuesto!$L$25+presupuesto!$O$21*((ventas!E2*productos!$I$12)+(productos!$I$22*ventas!E3))</f>
        <v>1746.5792437499999</v>
      </c>
      <c r="F19" s="41">
        <f>presupuesto!$L$25+presupuesto!$O$21*((ventas!F2*productos!$I$12)+(productos!$I$22*ventas!F3))</f>
        <v>1751.0332059375</v>
      </c>
      <c r="G19" s="41">
        <f>presupuesto!$L$25+presupuesto!$O$21*((ventas!G2*productos!$I$12)+(productos!$I$22*ventas!G3))</f>
        <v>1755.7098662343751</v>
      </c>
      <c r="H19" s="41">
        <f>presupuesto!$L$25+presupuesto!$O$21*((ventas!H2*productos!$I$12)+(productos!$I$22*ventas!H3))</f>
        <v>1760.6203595460938</v>
      </c>
      <c r="I19" s="41">
        <f>presupuesto!$L$25+presupuesto!$O$21*((ventas!I2*productos!$I$12)+(productos!$I$22*ventas!I3))</f>
        <v>1765.7763775233984</v>
      </c>
      <c r="J19" s="41">
        <f>presupuesto!$L$25+presupuesto!$O$21*((ventas!J2*productos!$I$12)+(productos!$I$22*ventas!J3))</f>
        <v>1771.1901963995683</v>
      </c>
      <c r="K19" s="41">
        <f>presupuesto!$L$25+presupuesto!$O$21*((ventas!K2*productos!$I$12)+(productos!$I$22*ventas!K3))</f>
        <v>1776.8747062195469</v>
      </c>
      <c r="L19" s="41">
        <f>presupuesto!$L$25+presupuesto!$O$21*((ventas!L2*productos!$I$12)+(productos!$I$22*ventas!L3))</f>
        <v>1782.8434415305242</v>
      </c>
      <c r="M19" s="41">
        <f>presupuesto!$L$25+presupuesto!$O$21*((ventas!M2*productos!$I$12)+(productos!$I$22*ventas!M3))</f>
        <v>1789.1106136070505</v>
      </c>
      <c r="N19" s="41">
        <f>presupuesto!$L$25+presupuesto!$O$21*((ventas!N2*productos!$I$12)+(productos!$I$22*ventas!N3))</f>
        <v>1795.6911442874029</v>
      </c>
      <c r="O19" s="41">
        <f>presupuesto!$L$25+presupuesto!$O$21*((ventas!O2*productos!$I$12)+(productos!$I$22*ventas!O3))</f>
        <v>1802.6007015017731</v>
      </c>
      <c r="P19" s="41">
        <f>presupuesto!$L$25+presupuesto!$O$21*((ventas!P2*productos!$I$12)+(productos!$I$22*ventas!P3))</f>
        <v>1809.8557365768618</v>
      </c>
      <c r="Q19" s="41">
        <f>presupuesto!$L$25+presupuesto!$O$21*((ventas!Q2*productos!$I$12)+(productos!$I$22*ventas!Q3))</f>
        <v>1817.4735234057048</v>
      </c>
      <c r="R19" s="41">
        <f>presupuesto!$L$25+presupuesto!$O$21*((ventas!R2*productos!$I$12)+(productos!$I$22*ventas!R3))</f>
        <v>1825.4721995759901</v>
      </c>
      <c r="S19" s="41">
        <f>presupuesto!$L$25+presupuesto!$O$21*((ventas!S2*productos!$I$12)+(productos!$I$22*ventas!S3))</f>
        <v>1833.8708095547895</v>
      </c>
      <c r="T19" s="41">
        <f>presupuesto!$L$25+presupuesto!$O$21*((ventas!T2*productos!$I$12)+(productos!$I$22*ventas!T3))</f>
        <v>1842.6893500325291</v>
      </c>
      <c r="U19" s="41">
        <f>presupuesto!$L$25+presupuesto!$O$21*((ventas!U2*productos!$I$12)+(productos!$I$22*ventas!U3))</f>
        <v>1851.9488175341555</v>
      </c>
      <c r="V19" s="41">
        <f>presupuesto!$L$25+presupuesto!$O$21*((ventas!V2*productos!$I$12)+(productos!$I$22*ventas!V3))</f>
        <v>1861.6712584108634</v>
      </c>
      <c r="W19" s="41">
        <f>presupuesto!$L$25+presupuesto!$O$21*((ventas!W2*productos!$I$12)+(productos!$I$22*ventas!W3))</f>
        <v>1871.8798213314064</v>
      </c>
      <c r="X19" s="41">
        <f>presupuesto!$L$25+presupuesto!$O$21*((ventas!X2*productos!$I$12)+(productos!$I$22*ventas!X3))</f>
        <v>1882.5988123979769</v>
      </c>
      <c r="Y19" s="41">
        <f>presupuesto!$L$25+presupuesto!$O$21*((ventas!Y2*productos!$I$12)+(productos!$I$22*ventas!Y3))</f>
        <v>1893.8537530178758</v>
      </c>
      <c r="Z19" s="41">
        <f>presupuesto!$L$25+presupuesto!$O$21*((ventas!Z2*productos!$I$12)+(productos!$I$22*ventas!Z3))</f>
        <v>1905.6714406687695</v>
      </c>
      <c r="AA19" s="41">
        <f>presupuesto!$L$25+presupuesto!$O$21*((ventas!AA2*productos!$I$12)+(productos!$I$22*ventas!AA3))</f>
        <v>1918.080012702208</v>
      </c>
      <c r="AB19" s="41">
        <f>presupuesto!$L$25+presupuesto!$O$21*((ventas!AB2*productos!$I$12)+(productos!$I$22*ventas!AB3))</f>
        <v>1931.1090133373184</v>
      </c>
      <c r="AC19" s="41">
        <f>presupuesto!$L$25+presupuesto!$O$21*((ventas!AC2*productos!$I$12)+(productos!$I$22*ventas!AC3))</f>
        <v>1944.7894640041843</v>
      </c>
      <c r="AD19" s="41">
        <f>presupuesto!$L$25+presupuesto!$O$21*((ventas!AD2*productos!$I$12)+(productos!$I$22*ventas!AD3))</f>
        <v>1959.1539372043935</v>
      </c>
      <c r="AE19" s="41">
        <f>presupuesto!$L$25+presupuesto!$O$21*((ventas!AE2*productos!$I$12)+(productos!$I$22*ventas!AE3))</f>
        <v>1974.2366340646133</v>
      </c>
      <c r="AF19" s="41">
        <f>presupuesto!$L$25+presupuesto!$O$21*((ventas!AF2*productos!$I$12)+(productos!$I$22*ventas!AF3))</f>
        <v>1990.073465767844</v>
      </c>
      <c r="AG19" s="41">
        <f>presupuesto!$L$25+presupuesto!$O$21*((ventas!AG2*productos!$I$12)+(productos!$I$22*ventas!AG3))</f>
        <v>2006.7021390562361</v>
      </c>
      <c r="AH19" s="41">
        <f>presupuesto!$L$25+presupuesto!$O$21*((ventas!AH2*productos!$I$12)+(productos!$I$22*ventas!AH3))</f>
        <v>2024.162246009048</v>
      </c>
      <c r="AI19" s="41">
        <f>presupuesto!$L$25+presupuesto!$O$21*((ventas!AI2*productos!$I$12)+(productos!$I$22*ventas!AI3))</f>
        <v>2042.4953583095003</v>
      </c>
      <c r="AJ19" s="41">
        <f>presupuesto!$L$25+presupuesto!$O$21*((ventas!AJ2*productos!$I$12)+(productos!$I$22*ventas!AJ3))</f>
        <v>2061.7451262249751</v>
      </c>
      <c r="AK19" s="41">
        <f>presupuesto!$L$25+presupuesto!$O$21*((ventas!AK2*productos!$I$12)+(productos!$I$22*ventas!AK3))</f>
        <v>2081.957382536224</v>
      </c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</row>
    <row r="20" spans="1:101" s="14" customFormat="1" x14ac:dyDescent="0.25">
      <c r="A20" s="30" t="s">
        <v>53</v>
      </c>
      <c r="B20" s="48">
        <f t="shared" ref="B20:AK20" si="2">SUM(B16:B19)</f>
        <v>6485.95</v>
      </c>
      <c r="C20" s="48">
        <f t="shared" si="2"/>
        <v>6489.7975000000006</v>
      </c>
      <c r="D20" s="48">
        <f t="shared" si="2"/>
        <v>6493.8373750000001</v>
      </c>
      <c r="E20" s="48">
        <f t="shared" si="2"/>
        <v>8155.5792437500004</v>
      </c>
      <c r="F20" s="48">
        <f t="shared" si="2"/>
        <v>8160.0332059374996</v>
      </c>
      <c r="G20" s="48">
        <f t="shared" si="2"/>
        <v>8164.7098662343751</v>
      </c>
      <c r="H20" s="48">
        <f t="shared" si="2"/>
        <v>8169.6203595460938</v>
      </c>
      <c r="I20" s="48">
        <f t="shared" si="2"/>
        <v>8174.776377523398</v>
      </c>
      <c r="J20" s="48">
        <f t="shared" si="2"/>
        <v>8180.1901963995679</v>
      </c>
      <c r="K20" s="48">
        <f t="shared" si="2"/>
        <v>8185.8747062195471</v>
      </c>
      <c r="L20" s="48">
        <f t="shared" si="2"/>
        <v>8191.8434415305237</v>
      </c>
      <c r="M20" s="48">
        <f t="shared" si="2"/>
        <v>8198.1106136070503</v>
      </c>
      <c r="N20" s="48">
        <f t="shared" si="2"/>
        <v>8204.6911442874025</v>
      </c>
      <c r="O20" s="48">
        <f t="shared" si="2"/>
        <v>8211.6007015017731</v>
      </c>
      <c r="P20" s="48">
        <f t="shared" si="2"/>
        <v>8218.8557365768611</v>
      </c>
      <c r="Q20" s="48">
        <f t="shared" si="2"/>
        <v>8226.4735234057043</v>
      </c>
      <c r="R20" s="48">
        <f t="shared" si="2"/>
        <v>8234.4721995759901</v>
      </c>
      <c r="S20" s="48">
        <f t="shared" si="2"/>
        <v>8242.87080955479</v>
      </c>
      <c r="T20" s="48">
        <f t="shared" si="2"/>
        <v>8251.6893500325295</v>
      </c>
      <c r="U20" s="48">
        <f t="shared" si="2"/>
        <v>8260.9488175341558</v>
      </c>
      <c r="V20" s="48">
        <f t="shared" si="2"/>
        <v>8270.6712584108627</v>
      </c>
      <c r="W20" s="48">
        <f t="shared" si="2"/>
        <v>8280.8798213314058</v>
      </c>
      <c r="X20" s="48">
        <f t="shared" si="2"/>
        <v>8291.5988123979769</v>
      </c>
      <c r="Y20" s="48">
        <f t="shared" si="2"/>
        <v>8302.8537530178764</v>
      </c>
      <c r="Z20" s="48">
        <f t="shared" si="2"/>
        <v>8314.6714406687697</v>
      </c>
      <c r="AA20" s="48">
        <f t="shared" si="2"/>
        <v>8327.0800127022085</v>
      </c>
      <c r="AB20" s="48">
        <f t="shared" si="2"/>
        <v>8340.1090133373182</v>
      </c>
      <c r="AC20" s="48">
        <f t="shared" si="2"/>
        <v>8353.789464004185</v>
      </c>
      <c r="AD20" s="48">
        <f t="shared" si="2"/>
        <v>8368.1539372043935</v>
      </c>
      <c r="AE20" s="48">
        <f t="shared" si="2"/>
        <v>8383.2366340646131</v>
      </c>
      <c r="AF20" s="48">
        <f t="shared" si="2"/>
        <v>8399.073465767844</v>
      </c>
      <c r="AG20" s="48">
        <f t="shared" si="2"/>
        <v>8415.7021390562368</v>
      </c>
      <c r="AH20" s="48">
        <f t="shared" si="2"/>
        <v>8433.1622460090475</v>
      </c>
      <c r="AI20" s="48">
        <f t="shared" si="2"/>
        <v>8451.4953583095012</v>
      </c>
      <c r="AJ20" s="48">
        <f t="shared" si="2"/>
        <v>8470.7451262249742</v>
      </c>
      <c r="AK20" s="48">
        <f t="shared" si="2"/>
        <v>8490.957382536224</v>
      </c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</row>
    <row r="21" spans="1:101" s="32" customFormat="1" x14ac:dyDescent="0.25">
      <c r="A21" s="31" t="s">
        <v>36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</row>
    <row r="22" spans="1:101" s="8" customFormat="1" x14ac:dyDescent="0.25">
      <c r="A22" s="33" t="s">
        <v>37</v>
      </c>
      <c r="B22" s="41">
        <v>600</v>
      </c>
      <c r="C22" s="41">
        <v>600</v>
      </c>
      <c r="D22" s="41">
        <v>600</v>
      </c>
      <c r="E22" s="41">
        <v>600</v>
      </c>
      <c r="F22" s="41">
        <v>600</v>
      </c>
      <c r="G22" s="41">
        <v>600</v>
      </c>
      <c r="H22" s="41">
        <v>600</v>
      </c>
      <c r="I22" s="41">
        <v>600</v>
      </c>
      <c r="J22" s="41">
        <v>600</v>
      </c>
      <c r="K22" s="41">
        <v>600</v>
      </c>
      <c r="L22" s="41">
        <v>600</v>
      </c>
      <c r="M22" s="41">
        <v>600</v>
      </c>
      <c r="N22" s="41">
        <v>600</v>
      </c>
      <c r="O22" s="41">
        <v>600</v>
      </c>
      <c r="P22" s="41">
        <v>600</v>
      </c>
      <c r="Q22" s="41">
        <v>600</v>
      </c>
      <c r="R22" s="41">
        <v>600</v>
      </c>
      <c r="S22" s="41">
        <v>600</v>
      </c>
      <c r="T22" s="41">
        <v>600</v>
      </c>
      <c r="U22" s="41">
        <v>600</v>
      </c>
      <c r="V22" s="41">
        <v>600</v>
      </c>
      <c r="W22" s="41">
        <v>600</v>
      </c>
      <c r="X22" s="41">
        <v>600</v>
      </c>
      <c r="Y22" s="41">
        <v>600</v>
      </c>
      <c r="Z22" s="41">
        <v>600</v>
      </c>
      <c r="AA22" s="41">
        <v>600</v>
      </c>
      <c r="AB22" s="41">
        <v>600</v>
      </c>
      <c r="AC22" s="41">
        <v>600</v>
      </c>
      <c r="AD22" s="41">
        <v>600</v>
      </c>
      <c r="AE22" s="41">
        <v>600</v>
      </c>
      <c r="AF22" s="41">
        <v>600</v>
      </c>
      <c r="AG22" s="41">
        <v>600</v>
      </c>
      <c r="AH22" s="41">
        <v>600</v>
      </c>
      <c r="AI22" s="41">
        <v>600</v>
      </c>
      <c r="AJ22" s="41">
        <v>600</v>
      </c>
      <c r="AK22" s="41">
        <v>600</v>
      </c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</row>
    <row r="23" spans="1:101" s="8" customFormat="1" ht="16.149999999999999" customHeight="1" x14ac:dyDescent="0.25">
      <c r="A23" s="33" t="s">
        <v>38</v>
      </c>
      <c r="B23" s="47">
        <f>60</f>
        <v>60</v>
      </c>
      <c r="C23" s="41">
        <f>B23+60*0.02</f>
        <v>61.2</v>
      </c>
      <c r="D23" s="41">
        <f t="shared" ref="D23:AK23" si="3">C23+60*0.02</f>
        <v>62.400000000000006</v>
      </c>
      <c r="E23" s="41">
        <f t="shared" si="3"/>
        <v>63.600000000000009</v>
      </c>
      <c r="F23" s="41">
        <f t="shared" si="3"/>
        <v>64.800000000000011</v>
      </c>
      <c r="G23" s="41">
        <f t="shared" si="3"/>
        <v>66.000000000000014</v>
      </c>
      <c r="H23" s="41">
        <f t="shared" si="3"/>
        <v>67.200000000000017</v>
      </c>
      <c r="I23" s="41">
        <f t="shared" si="3"/>
        <v>68.40000000000002</v>
      </c>
      <c r="J23" s="41">
        <f t="shared" si="3"/>
        <v>69.600000000000023</v>
      </c>
      <c r="K23" s="41">
        <f t="shared" si="3"/>
        <v>70.800000000000026</v>
      </c>
      <c r="L23" s="41">
        <f t="shared" si="3"/>
        <v>72.000000000000028</v>
      </c>
      <c r="M23" s="41">
        <f t="shared" si="3"/>
        <v>73.200000000000031</v>
      </c>
      <c r="N23" s="41">
        <f t="shared" si="3"/>
        <v>74.400000000000034</v>
      </c>
      <c r="O23" s="41">
        <f t="shared" si="3"/>
        <v>75.600000000000037</v>
      </c>
      <c r="P23" s="41">
        <f t="shared" si="3"/>
        <v>76.80000000000004</v>
      </c>
      <c r="Q23" s="41">
        <f t="shared" si="3"/>
        <v>78.000000000000043</v>
      </c>
      <c r="R23" s="41">
        <f t="shared" si="3"/>
        <v>79.200000000000045</v>
      </c>
      <c r="S23" s="41">
        <f t="shared" si="3"/>
        <v>80.400000000000048</v>
      </c>
      <c r="T23" s="41">
        <f t="shared" si="3"/>
        <v>81.600000000000051</v>
      </c>
      <c r="U23" s="41">
        <f t="shared" si="3"/>
        <v>82.800000000000054</v>
      </c>
      <c r="V23" s="41">
        <f t="shared" si="3"/>
        <v>84.000000000000057</v>
      </c>
      <c r="W23" s="41">
        <f t="shared" si="3"/>
        <v>85.20000000000006</v>
      </c>
      <c r="X23" s="41">
        <f t="shared" si="3"/>
        <v>86.400000000000063</v>
      </c>
      <c r="Y23" s="41">
        <f t="shared" si="3"/>
        <v>87.600000000000065</v>
      </c>
      <c r="Z23" s="41">
        <f t="shared" si="3"/>
        <v>88.800000000000068</v>
      </c>
      <c r="AA23" s="41">
        <f t="shared" si="3"/>
        <v>90.000000000000071</v>
      </c>
      <c r="AB23" s="41">
        <f t="shared" si="3"/>
        <v>91.200000000000074</v>
      </c>
      <c r="AC23" s="41">
        <f t="shared" si="3"/>
        <v>92.400000000000077</v>
      </c>
      <c r="AD23" s="41">
        <f t="shared" si="3"/>
        <v>93.60000000000008</v>
      </c>
      <c r="AE23" s="41">
        <f t="shared" si="3"/>
        <v>94.800000000000082</v>
      </c>
      <c r="AF23" s="41">
        <f t="shared" si="3"/>
        <v>96.000000000000085</v>
      </c>
      <c r="AG23" s="41">
        <f t="shared" si="3"/>
        <v>97.200000000000088</v>
      </c>
      <c r="AH23" s="41">
        <f t="shared" si="3"/>
        <v>98.400000000000091</v>
      </c>
      <c r="AI23" s="41">
        <f t="shared" si="3"/>
        <v>99.600000000000094</v>
      </c>
      <c r="AJ23" s="41">
        <f t="shared" si="3"/>
        <v>100.8000000000001</v>
      </c>
      <c r="AK23" s="41">
        <f t="shared" si="3"/>
        <v>102.0000000000001</v>
      </c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</row>
    <row r="24" spans="1:101" s="8" customFormat="1" x14ac:dyDescent="0.25">
      <c r="A24" s="33" t="s">
        <v>39</v>
      </c>
      <c r="B24" s="41">
        <v>3000</v>
      </c>
      <c r="C24" s="41">
        <v>0</v>
      </c>
      <c r="D24" s="41">
        <v>0</v>
      </c>
      <c r="E24" s="41">
        <v>1000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1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1">
        <v>0</v>
      </c>
      <c r="AJ24" s="41">
        <v>0</v>
      </c>
      <c r="AK24" s="41">
        <v>0</v>
      </c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</row>
    <row r="25" spans="1:101" s="8" customFormat="1" x14ac:dyDescent="0.25">
      <c r="A25" s="33" t="s">
        <v>40</v>
      </c>
      <c r="B25" s="41">
        <v>500</v>
      </c>
      <c r="C25" s="41">
        <v>500</v>
      </c>
      <c r="D25" s="41">
        <v>500</v>
      </c>
      <c r="E25" s="41">
        <v>500</v>
      </c>
      <c r="F25" s="41">
        <v>500</v>
      </c>
      <c r="G25" s="41">
        <v>500</v>
      </c>
      <c r="H25" s="41">
        <v>500</v>
      </c>
      <c r="I25" s="41">
        <v>500</v>
      </c>
      <c r="J25" s="41">
        <v>500</v>
      </c>
      <c r="K25" s="41">
        <v>500</v>
      </c>
      <c r="L25" s="41">
        <v>500</v>
      </c>
      <c r="M25" s="41">
        <v>500</v>
      </c>
      <c r="N25" s="41">
        <v>500</v>
      </c>
      <c r="O25" s="41">
        <v>500</v>
      </c>
      <c r="P25" s="41">
        <v>500</v>
      </c>
      <c r="Q25" s="41">
        <v>500</v>
      </c>
      <c r="R25" s="41">
        <v>500</v>
      </c>
      <c r="S25" s="41">
        <v>500</v>
      </c>
      <c r="T25" s="41">
        <v>500</v>
      </c>
      <c r="U25" s="41">
        <v>500</v>
      </c>
      <c r="V25" s="41">
        <v>500</v>
      </c>
      <c r="W25" s="41">
        <v>500</v>
      </c>
      <c r="X25" s="41">
        <v>500</v>
      </c>
      <c r="Y25" s="41">
        <v>500</v>
      </c>
      <c r="Z25" s="41">
        <v>500</v>
      </c>
      <c r="AA25" s="41">
        <v>500</v>
      </c>
      <c r="AB25" s="41">
        <v>500</v>
      </c>
      <c r="AC25" s="41">
        <v>500</v>
      </c>
      <c r="AD25" s="41">
        <v>500</v>
      </c>
      <c r="AE25" s="41">
        <v>500</v>
      </c>
      <c r="AF25" s="41">
        <v>500</v>
      </c>
      <c r="AG25" s="41">
        <v>500</v>
      </c>
      <c r="AH25" s="41">
        <v>500</v>
      </c>
      <c r="AI25" s="41">
        <v>500</v>
      </c>
      <c r="AJ25" s="41">
        <v>500</v>
      </c>
      <c r="AK25" s="41">
        <v>500</v>
      </c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</row>
    <row r="26" spans="1:101" s="8" customFormat="1" x14ac:dyDescent="0.25">
      <c r="A26" s="34" t="s">
        <v>54</v>
      </c>
      <c r="B26" s="50">
        <f>SUM(B22:B25)</f>
        <v>4160</v>
      </c>
      <c r="C26" s="50">
        <f t="shared" ref="C26:AK26" si="4">SUM(C22:C25)</f>
        <v>1161.2</v>
      </c>
      <c r="D26" s="50">
        <f t="shared" si="4"/>
        <v>1162.4000000000001</v>
      </c>
      <c r="E26" s="50">
        <f t="shared" si="4"/>
        <v>2163.6</v>
      </c>
      <c r="F26" s="50">
        <f t="shared" si="4"/>
        <v>1164.8</v>
      </c>
      <c r="G26" s="50">
        <f t="shared" si="4"/>
        <v>1166</v>
      </c>
      <c r="H26" s="50">
        <f t="shared" si="4"/>
        <v>1167.2</v>
      </c>
      <c r="I26" s="50">
        <f t="shared" si="4"/>
        <v>1168.4000000000001</v>
      </c>
      <c r="J26" s="50">
        <f t="shared" si="4"/>
        <v>1169.5999999999999</v>
      </c>
      <c r="K26" s="50">
        <f t="shared" si="4"/>
        <v>1170.8000000000002</v>
      </c>
      <c r="L26" s="50">
        <f t="shared" si="4"/>
        <v>1172</v>
      </c>
      <c r="M26" s="50">
        <f t="shared" si="4"/>
        <v>1173.2</v>
      </c>
      <c r="N26" s="50">
        <f t="shared" si="4"/>
        <v>1174.4000000000001</v>
      </c>
      <c r="O26" s="50">
        <f t="shared" si="4"/>
        <v>1175.5999999999999</v>
      </c>
      <c r="P26" s="50">
        <f t="shared" si="4"/>
        <v>1176.8000000000002</v>
      </c>
      <c r="Q26" s="50">
        <f t="shared" si="4"/>
        <v>1178</v>
      </c>
      <c r="R26" s="50">
        <f t="shared" si="4"/>
        <v>1179.2</v>
      </c>
      <c r="S26" s="50">
        <f t="shared" si="4"/>
        <v>1180.4000000000001</v>
      </c>
      <c r="T26" s="50">
        <f t="shared" si="4"/>
        <v>1181.5999999999999</v>
      </c>
      <c r="U26" s="50">
        <f t="shared" si="4"/>
        <v>1182.8000000000002</v>
      </c>
      <c r="V26" s="50">
        <f t="shared" si="4"/>
        <v>1184</v>
      </c>
      <c r="W26" s="50">
        <f t="shared" si="4"/>
        <v>1185.2</v>
      </c>
      <c r="X26" s="50">
        <f t="shared" si="4"/>
        <v>1186.4000000000001</v>
      </c>
      <c r="Y26" s="50">
        <f t="shared" si="4"/>
        <v>1187.5999999999999</v>
      </c>
      <c r="Z26" s="50">
        <f t="shared" si="4"/>
        <v>1188.8000000000002</v>
      </c>
      <c r="AA26" s="50">
        <f t="shared" si="4"/>
        <v>1190</v>
      </c>
      <c r="AB26" s="50">
        <f t="shared" si="4"/>
        <v>1191.2</v>
      </c>
      <c r="AC26" s="50">
        <f t="shared" si="4"/>
        <v>1192.4000000000001</v>
      </c>
      <c r="AD26" s="50">
        <f t="shared" si="4"/>
        <v>1193.6000000000001</v>
      </c>
      <c r="AE26" s="50">
        <f t="shared" si="4"/>
        <v>1194.8000000000002</v>
      </c>
      <c r="AF26" s="50">
        <f t="shared" si="4"/>
        <v>1196</v>
      </c>
      <c r="AG26" s="50">
        <f t="shared" si="4"/>
        <v>1197.2</v>
      </c>
      <c r="AH26" s="50">
        <f t="shared" si="4"/>
        <v>1198.4000000000001</v>
      </c>
      <c r="AI26" s="50">
        <f t="shared" si="4"/>
        <v>1199.6000000000001</v>
      </c>
      <c r="AJ26" s="50">
        <f t="shared" si="4"/>
        <v>1200.8000000000002</v>
      </c>
      <c r="AK26" s="50">
        <f t="shared" si="4"/>
        <v>1202</v>
      </c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</row>
    <row r="27" spans="1:101" s="36" customFormat="1" x14ac:dyDescent="0.25">
      <c r="A27" s="35" t="s">
        <v>51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</row>
    <row r="28" spans="1:101" s="8" customFormat="1" x14ac:dyDescent="0.25">
      <c r="A28" s="37" t="s">
        <v>43</v>
      </c>
      <c r="B28" s="41">
        <v>500</v>
      </c>
      <c r="C28" s="41">
        <f>B28+B28*0.01</f>
        <v>505</v>
      </c>
      <c r="D28" s="41">
        <f t="shared" ref="D28:AK28" si="5">C28+C28*0.001</f>
        <v>505.505</v>
      </c>
      <c r="E28" s="41">
        <f t="shared" si="5"/>
        <v>506.01050500000002</v>
      </c>
      <c r="F28" s="41">
        <f t="shared" si="5"/>
        <v>506.51651550500003</v>
      </c>
      <c r="G28" s="41">
        <f t="shared" si="5"/>
        <v>507.02303202050501</v>
      </c>
      <c r="H28" s="41">
        <f t="shared" si="5"/>
        <v>507.53005505252554</v>
      </c>
      <c r="I28" s="41">
        <f t="shared" si="5"/>
        <v>508.03758510757808</v>
      </c>
      <c r="J28" s="41">
        <f t="shared" si="5"/>
        <v>508.54562269268564</v>
      </c>
      <c r="K28" s="41">
        <f t="shared" si="5"/>
        <v>509.05416831537832</v>
      </c>
      <c r="L28" s="41">
        <f t="shared" si="5"/>
        <v>509.56322248369372</v>
      </c>
      <c r="M28" s="41">
        <f t="shared" si="5"/>
        <v>510.0727857061774</v>
      </c>
      <c r="N28" s="41">
        <f t="shared" si="5"/>
        <v>510.5828584918836</v>
      </c>
      <c r="O28" s="41">
        <f t="shared" si="5"/>
        <v>511.09344135037549</v>
      </c>
      <c r="P28" s="41">
        <f t="shared" si="5"/>
        <v>511.60453479172588</v>
      </c>
      <c r="Q28" s="41">
        <f t="shared" si="5"/>
        <v>512.11613932651755</v>
      </c>
      <c r="R28" s="41">
        <f t="shared" si="5"/>
        <v>512.62825546584406</v>
      </c>
      <c r="S28" s="41">
        <f t="shared" si="5"/>
        <v>513.14088372130993</v>
      </c>
      <c r="T28" s="41">
        <f t="shared" si="5"/>
        <v>513.65402460503128</v>
      </c>
      <c r="U28" s="41">
        <f t="shared" si="5"/>
        <v>514.16767862963627</v>
      </c>
      <c r="V28" s="41">
        <f t="shared" si="5"/>
        <v>514.6818463082659</v>
      </c>
      <c r="W28" s="41">
        <f t="shared" si="5"/>
        <v>515.19652815457414</v>
      </c>
      <c r="X28" s="41">
        <f t="shared" si="5"/>
        <v>515.71172468272869</v>
      </c>
      <c r="Y28" s="41">
        <f t="shared" si="5"/>
        <v>516.22743640741146</v>
      </c>
      <c r="Z28" s="41">
        <f t="shared" si="5"/>
        <v>516.74366384381892</v>
      </c>
      <c r="AA28" s="41">
        <f t="shared" si="5"/>
        <v>517.26040750766276</v>
      </c>
      <c r="AB28" s="41">
        <f t="shared" si="5"/>
        <v>517.77766791517047</v>
      </c>
      <c r="AC28" s="41">
        <f t="shared" si="5"/>
        <v>518.29544558308567</v>
      </c>
      <c r="AD28" s="41">
        <f t="shared" si="5"/>
        <v>518.8137410286688</v>
      </c>
      <c r="AE28" s="41">
        <f t="shared" si="5"/>
        <v>519.33255476969748</v>
      </c>
      <c r="AF28" s="41">
        <f t="shared" si="5"/>
        <v>519.85188732446716</v>
      </c>
      <c r="AG28" s="41">
        <f t="shared" si="5"/>
        <v>520.37173921179158</v>
      </c>
      <c r="AH28" s="41">
        <f t="shared" si="5"/>
        <v>520.89211095100336</v>
      </c>
      <c r="AI28" s="41">
        <f t="shared" si="5"/>
        <v>521.41300306195433</v>
      </c>
      <c r="AJ28" s="41">
        <f t="shared" si="5"/>
        <v>521.93441606501631</v>
      </c>
      <c r="AK28" s="41">
        <f t="shared" si="5"/>
        <v>522.45635048108136</v>
      </c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</row>
    <row r="29" spans="1:101" s="8" customFormat="1" x14ac:dyDescent="0.25">
      <c r="A29" s="37" t="s">
        <v>59</v>
      </c>
      <c r="B29" s="41">
        <v>200</v>
      </c>
      <c r="C29" s="41">
        <v>200</v>
      </c>
      <c r="D29" s="41">
        <v>200</v>
      </c>
      <c r="E29" s="41">
        <v>200</v>
      </c>
      <c r="F29" s="41">
        <v>200</v>
      </c>
      <c r="G29" s="41">
        <v>200</v>
      </c>
      <c r="H29" s="41">
        <v>200</v>
      </c>
      <c r="I29" s="41">
        <v>200</v>
      </c>
      <c r="J29" s="41">
        <v>200</v>
      </c>
      <c r="K29" s="41">
        <v>200</v>
      </c>
      <c r="L29" s="41">
        <v>200</v>
      </c>
      <c r="M29" s="41">
        <v>200</v>
      </c>
      <c r="N29" s="41">
        <v>200</v>
      </c>
      <c r="O29" s="41">
        <v>200</v>
      </c>
      <c r="P29" s="41">
        <v>200</v>
      </c>
      <c r="Q29" s="41">
        <v>200</v>
      </c>
      <c r="R29" s="41">
        <v>200</v>
      </c>
      <c r="S29" s="41">
        <v>200</v>
      </c>
      <c r="T29" s="41">
        <v>200</v>
      </c>
      <c r="U29" s="41">
        <v>200</v>
      </c>
      <c r="V29" s="41">
        <v>200</v>
      </c>
      <c r="W29" s="41">
        <v>200</v>
      </c>
      <c r="X29" s="41">
        <v>200</v>
      </c>
      <c r="Y29" s="41">
        <v>200</v>
      </c>
      <c r="Z29" s="41">
        <v>200</v>
      </c>
      <c r="AA29" s="41">
        <v>200</v>
      </c>
      <c r="AB29" s="41">
        <v>200</v>
      </c>
      <c r="AC29" s="41">
        <v>200</v>
      </c>
      <c r="AD29" s="41">
        <v>200</v>
      </c>
      <c r="AE29" s="41">
        <v>200</v>
      </c>
      <c r="AF29" s="41">
        <v>200</v>
      </c>
      <c r="AG29" s="41">
        <v>200</v>
      </c>
      <c r="AH29" s="41">
        <v>200</v>
      </c>
      <c r="AI29" s="41">
        <v>200</v>
      </c>
      <c r="AJ29" s="41">
        <v>200</v>
      </c>
      <c r="AK29" s="41">
        <v>200</v>
      </c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</row>
    <row r="30" spans="1:101" s="8" customFormat="1" x14ac:dyDescent="0.25">
      <c r="A30" s="37" t="s">
        <v>64</v>
      </c>
      <c r="B30" s="41">
        <v>600</v>
      </c>
      <c r="C30" s="41">
        <v>600</v>
      </c>
      <c r="D30" s="41">
        <v>600</v>
      </c>
      <c r="E30" s="41">
        <v>600</v>
      </c>
      <c r="F30" s="41">
        <v>600</v>
      </c>
      <c r="G30" s="41">
        <v>600</v>
      </c>
      <c r="H30" s="41">
        <v>600</v>
      </c>
      <c r="I30" s="41">
        <v>600</v>
      </c>
      <c r="J30" s="41">
        <v>600</v>
      </c>
      <c r="K30" s="41">
        <v>600</v>
      </c>
      <c r="L30" s="41">
        <v>600</v>
      </c>
      <c r="M30" s="41">
        <v>600</v>
      </c>
      <c r="N30" s="41">
        <v>600</v>
      </c>
      <c r="O30" s="41">
        <v>600</v>
      </c>
      <c r="P30" s="41">
        <v>600</v>
      </c>
      <c r="Q30" s="41">
        <v>600</v>
      </c>
      <c r="R30" s="41">
        <v>600</v>
      </c>
      <c r="S30" s="41">
        <v>600</v>
      </c>
      <c r="T30" s="41">
        <v>600</v>
      </c>
      <c r="U30" s="41">
        <v>600</v>
      </c>
      <c r="V30" s="41">
        <v>600</v>
      </c>
      <c r="W30" s="41">
        <v>600</v>
      </c>
      <c r="X30" s="41">
        <v>600</v>
      </c>
      <c r="Y30" s="41">
        <v>600</v>
      </c>
      <c r="Z30" s="41">
        <v>600</v>
      </c>
      <c r="AA30" s="41">
        <v>600</v>
      </c>
      <c r="AB30" s="41">
        <v>600</v>
      </c>
      <c r="AC30" s="41">
        <v>600</v>
      </c>
      <c r="AD30" s="41">
        <v>600</v>
      </c>
      <c r="AE30" s="41">
        <v>600</v>
      </c>
      <c r="AF30" s="41">
        <v>600</v>
      </c>
      <c r="AG30" s="41">
        <v>600</v>
      </c>
      <c r="AH30" s="41">
        <v>600</v>
      </c>
      <c r="AI30" s="41">
        <v>600</v>
      </c>
      <c r="AJ30" s="41">
        <v>600</v>
      </c>
      <c r="AK30" s="41">
        <v>600</v>
      </c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s="8" customFormat="1" x14ac:dyDescent="0.25">
      <c r="A31" s="37" t="s">
        <v>34</v>
      </c>
      <c r="B31" s="41">
        <v>50</v>
      </c>
      <c r="C31" s="41">
        <f>B31*presupuesto!$O$25</f>
        <v>50.5</v>
      </c>
      <c r="D31" s="41">
        <f>C31*presupuesto!$O$25</f>
        <v>51.005000000000003</v>
      </c>
      <c r="E31" s="41">
        <f>D31*presupuesto!$O$25</f>
        <v>51.515050000000002</v>
      </c>
      <c r="F31" s="41">
        <f>E31*presupuesto!$O$25</f>
        <v>52.030200499999999</v>
      </c>
      <c r="G31" s="41">
        <f>F31*presupuesto!$O$25</f>
        <v>52.550502504999997</v>
      </c>
      <c r="H31" s="41">
        <f>G31*presupuesto!$O$25</f>
        <v>53.076007530049999</v>
      </c>
      <c r="I31" s="41">
        <f>H31*presupuesto!$O$25</f>
        <v>53.606767605350498</v>
      </c>
      <c r="J31" s="41">
        <f>I31*presupuesto!$O$25</f>
        <v>54.142835281404004</v>
      </c>
      <c r="K31" s="41">
        <f>J31*presupuesto!$O$25</f>
        <v>54.684263634218041</v>
      </c>
      <c r="L31" s="41">
        <f>K31*presupuesto!$O$25</f>
        <v>55.231106270560225</v>
      </c>
      <c r="M31" s="41">
        <f>L31*presupuesto!$O$25</f>
        <v>55.783417333265831</v>
      </c>
      <c r="N31" s="41">
        <f>M31*presupuesto!$O$25</f>
        <v>56.341251506598489</v>
      </c>
      <c r="O31" s="41">
        <f>N31*presupuesto!$O$25</f>
        <v>56.904664021664473</v>
      </c>
      <c r="P31" s="41">
        <f>O31*presupuesto!$O$25</f>
        <v>57.473710661881121</v>
      </c>
      <c r="Q31" s="41">
        <f>P31*presupuesto!$O$25</f>
        <v>58.048447768499933</v>
      </c>
      <c r="R31" s="41">
        <f>Q31*presupuesto!$O$25</f>
        <v>58.628932246184931</v>
      </c>
      <c r="S31" s="41">
        <f>R31*presupuesto!$O$25</f>
        <v>59.215221568646783</v>
      </c>
      <c r="T31" s="41">
        <f>S31*presupuesto!$O$25</f>
        <v>59.807373784333251</v>
      </c>
      <c r="U31" s="41">
        <f>T31*presupuesto!$O$25</f>
        <v>60.405447522176587</v>
      </c>
      <c r="V31" s="41">
        <f>U31*presupuesto!$O$25</f>
        <v>61.009501997398353</v>
      </c>
      <c r="W31" s="41">
        <f>V31*presupuesto!$O$25</f>
        <v>61.619597017372335</v>
      </c>
      <c r="X31" s="41">
        <f>W31*presupuesto!$O$25</f>
        <v>62.235792987546063</v>
      </c>
      <c r="Y31" s="41">
        <f>X31*presupuesto!$O$25</f>
        <v>62.858150917421526</v>
      </c>
      <c r="Z31" s="41">
        <f>Y31*presupuesto!$O$25</f>
        <v>63.486732426595744</v>
      </c>
      <c r="AA31" s="41">
        <f>Z31*presupuesto!$O$25</f>
        <v>64.121599750861705</v>
      </c>
      <c r="AB31" s="41">
        <f>AA31*presupuesto!$O$25</f>
        <v>64.762815748370329</v>
      </c>
      <c r="AC31" s="41">
        <f>AB31*presupuesto!$O$25</f>
        <v>65.410443905854038</v>
      </c>
      <c r="AD31" s="41">
        <f>AC31*presupuesto!$O$25</f>
        <v>66.064548344912581</v>
      </c>
      <c r="AE31" s="41">
        <f>AD31*presupuesto!$O$25</f>
        <v>66.725193828361711</v>
      </c>
      <c r="AF31" s="41">
        <f>AE31*presupuesto!$O$25</f>
        <v>67.392445766645324</v>
      </c>
      <c r="AG31" s="41">
        <f>AF31*presupuesto!$O$25</f>
        <v>68.066370224311783</v>
      </c>
      <c r="AH31" s="41">
        <f>AG31*presupuesto!$O$25</f>
        <v>68.747033926554906</v>
      </c>
      <c r="AI31" s="41">
        <f>AH31*presupuesto!$O$25</f>
        <v>69.434504265820451</v>
      </c>
      <c r="AJ31" s="41">
        <f>AI31*presupuesto!$O$25</f>
        <v>70.12884930847865</v>
      </c>
      <c r="AK31" s="41">
        <f>AJ31*presupuesto!$O$25</f>
        <v>70.830137801563438</v>
      </c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</row>
    <row r="32" spans="1:101" s="8" customFormat="1" x14ac:dyDescent="0.25">
      <c r="A32" s="37" t="s">
        <v>66</v>
      </c>
      <c r="B32" s="41">
        <f>(ventas!B2*productos!$C$5+productos!$C$6*ventas!B3)*0.05</f>
        <v>74.987499999999997</v>
      </c>
      <c r="C32" s="41">
        <f>(ventas!C2*productos!$C$5+productos!$C$6*ventas!C3)*0.05</f>
        <v>78.736874999999998</v>
      </c>
      <c r="D32" s="41">
        <f>(ventas!D2*productos!$C$5+productos!$C$6*ventas!D3)*0.05</f>
        <v>82.67371875000002</v>
      </c>
      <c r="E32" s="41">
        <f>(ventas!E2*productos!$C$5+productos!$C$6*ventas!E3)*0.05</f>
        <v>86.807404687500025</v>
      </c>
      <c r="F32" s="41">
        <f>(ventas!F2*productos!$C$5+productos!$C$6*ventas!F3)*0.05</f>
        <v>91.147774921875026</v>
      </c>
      <c r="G32" s="41">
        <f>(ventas!G2*productos!$C$5+productos!$C$6*ventas!G3)*0.05</f>
        <v>95.705163667968762</v>
      </c>
      <c r="H32" s="41">
        <f>(ventas!H2*productos!$C$5+productos!$C$6*ventas!H3)*0.05</f>
        <v>100.49042185136722</v>
      </c>
      <c r="I32" s="41">
        <f>(ventas!I2*productos!$C$5+productos!$C$6*ventas!I3)*0.05</f>
        <v>105.51494294393558</v>
      </c>
      <c r="J32" s="41">
        <f>(ventas!J2*productos!$C$5+productos!$C$6*ventas!J3)*0.05</f>
        <v>110.79069009113238</v>
      </c>
      <c r="K32" s="41">
        <f>(ventas!K2*productos!$C$5+productos!$C$6*ventas!K3)*0.05</f>
        <v>116.330224595689</v>
      </c>
      <c r="L32" s="41">
        <f>(ventas!L2*productos!$C$5+productos!$C$6*ventas!L3)*0.05</f>
        <v>122.14673582547344</v>
      </c>
      <c r="M32" s="41">
        <f>(ventas!M2*productos!$C$5+productos!$C$6*ventas!M3)*0.05</f>
        <v>128.25407261674715</v>
      </c>
      <c r="N32" s="41">
        <f>(ventas!N2*productos!$C$5+productos!$C$6*ventas!N3)*0.05</f>
        <v>134.66677624758449</v>
      </c>
      <c r="O32" s="41">
        <f>(ventas!O2*productos!$C$5+productos!$C$6*ventas!O3)*0.05</f>
        <v>141.40011505996372</v>
      </c>
      <c r="P32" s="41">
        <f>(ventas!P2*productos!$C$5+productos!$C$6*ventas!P3)*0.05</f>
        <v>148.47012081296191</v>
      </c>
      <c r="Q32" s="41">
        <f>(ventas!Q2*productos!$C$5+productos!$C$6*ventas!Q3)*0.05</f>
        <v>155.89362685361004</v>
      </c>
      <c r="R32" s="41">
        <f>(ventas!R2*productos!$C$5+productos!$C$6*ventas!R3)*0.05</f>
        <v>163.68830819629054</v>
      </c>
      <c r="S32" s="41">
        <f>(ventas!S2*productos!$C$5+productos!$C$6*ventas!S3)*0.05</f>
        <v>171.87272360610507</v>
      </c>
      <c r="T32" s="41">
        <f>(ventas!T2*productos!$C$5+productos!$C$6*ventas!T3)*0.05</f>
        <v>180.46635978641035</v>
      </c>
      <c r="U32" s="41">
        <f>(ventas!U2*productos!$C$5+productos!$C$6*ventas!U3)*0.05</f>
        <v>189.48967777573088</v>
      </c>
      <c r="V32" s="41">
        <f>(ventas!V2*productos!$C$5+productos!$C$6*ventas!V3)*0.05</f>
        <v>198.96416166451741</v>
      </c>
      <c r="W32" s="41">
        <f>(ventas!W2*productos!$C$5+productos!$C$6*ventas!W3)*0.05</f>
        <v>208.9123697477433</v>
      </c>
      <c r="X32" s="41">
        <f>(ventas!X2*productos!$C$5+productos!$C$6*ventas!X3)*0.05</f>
        <v>219.35798823513048</v>
      </c>
      <c r="Y32" s="41">
        <f>(ventas!Y2*productos!$C$5+productos!$C$6*ventas!Y3)*0.05</f>
        <v>230.325887646887</v>
      </c>
      <c r="Z32" s="41">
        <f>(ventas!Z2*productos!$C$5+productos!$C$6*ventas!Z3)*0.05</f>
        <v>241.84218202923137</v>
      </c>
      <c r="AA32" s="41">
        <f>(ventas!AA2*productos!$C$5+productos!$C$6*ventas!AA3)*0.05</f>
        <v>253.93429113069288</v>
      </c>
      <c r="AB32" s="41">
        <f>(ventas!AB2*productos!$C$5+productos!$C$6*ventas!AB3)*0.05</f>
        <v>266.63100568722757</v>
      </c>
      <c r="AC32" s="41">
        <f>(ventas!AC2*productos!$C$5+productos!$C$6*ventas!AC3)*0.05</f>
        <v>279.96255597158898</v>
      </c>
      <c r="AD32" s="41">
        <f>(ventas!AD2*productos!$C$5+productos!$C$6*ventas!AD3)*0.05</f>
        <v>293.96068377016843</v>
      </c>
      <c r="AE32" s="41">
        <f>(ventas!AE2*productos!$C$5+productos!$C$6*ventas!AE3)*0.05</f>
        <v>308.6587179586769</v>
      </c>
      <c r="AF32" s="41">
        <f>(ventas!AF2*productos!$C$5+productos!$C$6*ventas!AF3)*0.05</f>
        <v>324.09165385661072</v>
      </c>
      <c r="AG32" s="41">
        <f>(ventas!AG2*productos!$C$5+productos!$C$6*ventas!AG3)*0.05</f>
        <v>340.29623654944129</v>
      </c>
      <c r="AH32" s="41">
        <f>(ventas!AH2*productos!$C$5+productos!$C$6*ventas!AH3)*0.05</f>
        <v>357.31104837691339</v>
      </c>
      <c r="AI32" s="41">
        <f>(ventas!AI2*productos!$C$5+productos!$C$6*ventas!AI3)*0.05</f>
        <v>375.17660079575899</v>
      </c>
      <c r="AJ32" s="41">
        <f>(ventas!AJ2*productos!$C$5+productos!$C$6*ventas!AJ3)*0.05</f>
        <v>393.93543083554698</v>
      </c>
      <c r="AK32" s="41">
        <f>(ventas!AK2*productos!$C$5+productos!$C$6*ventas!AK3)*0.05</f>
        <v>413.63220237732435</v>
      </c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</row>
    <row r="33" spans="1:101" s="36" customFormat="1" x14ac:dyDescent="0.25">
      <c r="A33" s="38" t="s">
        <v>55</v>
      </c>
      <c r="B33" s="51">
        <f>SUM(B28:B31)</f>
        <v>1350</v>
      </c>
      <c r="C33" s="51">
        <f t="shared" ref="C33:AK33" si="6">SUM(C28:C28)</f>
        <v>505</v>
      </c>
      <c r="D33" s="51">
        <f t="shared" si="6"/>
        <v>505.505</v>
      </c>
      <c r="E33" s="51">
        <f t="shared" si="6"/>
        <v>506.01050500000002</v>
      </c>
      <c r="F33" s="51">
        <f t="shared" si="6"/>
        <v>506.51651550500003</v>
      </c>
      <c r="G33" s="51">
        <f t="shared" si="6"/>
        <v>507.02303202050501</v>
      </c>
      <c r="H33" s="51">
        <f t="shared" si="6"/>
        <v>507.53005505252554</v>
      </c>
      <c r="I33" s="51">
        <f t="shared" si="6"/>
        <v>508.03758510757808</v>
      </c>
      <c r="J33" s="51">
        <f t="shared" si="6"/>
        <v>508.54562269268564</v>
      </c>
      <c r="K33" s="51">
        <f t="shared" si="6"/>
        <v>509.05416831537832</v>
      </c>
      <c r="L33" s="51">
        <f t="shared" si="6"/>
        <v>509.56322248369372</v>
      </c>
      <c r="M33" s="51">
        <f t="shared" si="6"/>
        <v>510.0727857061774</v>
      </c>
      <c r="N33" s="51">
        <f t="shared" si="6"/>
        <v>510.5828584918836</v>
      </c>
      <c r="O33" s="51">
        <f t="shared" si="6"/>
        <v>511.09344135037549</v>
      </c>
      <c r="P33" s="51">
        <f t="shared" si="6"/>
        <v>511.60453479172588</v>
      </c>
      <c r="Q33" s="51">
        <f t="shared" si="6"/>
        <v>512.11613932651755</v>
      </c>
      <c r="R33" s="51">
        <f t="shared" si="6"/>
        <v>512.62825546584406</v>
      </c>
      <c r="S33" s="51">
        <f t="shared" si="6"/>
        <v>513.14088372130993</v>
      </c>
      <c r="T33" s="51">
        <f t="shared" si="6"/>
        <v>513.65402460503128</v>
      </c>
      <c r="U33" s="51">
        <f t="shared" si="6"/>
        <v>514.16767862963627</v>
      </c>
      <c r="V33" s="51">
        <f t="shared" si="6"/>
        <v>514.6818463082659</v>
      </c>
      <c r="W33" s="51">
        <f t="shared" si="6"/>
        <v>515.19652815457414</v>
      </c>
      <c r="X33" s="51">
        <f t="shared" si="6"/>
        <v>515.71172468272869</v>
      </c>
      <c r="Y33" s="51">
        <f t="shared" si="6"/>
        <v>516.22743640741146</v>
      </c>
      <c r="Z33" s="51">
        <f t="shared" si="6"/>
        <v>516.74366384381892</v>
      </c>
      <c r="AA33" s="51">
        <f t="shared" si="6"/>
        <v>517.26040750766276</v>
      </c>
      <c r="AB33" s="51">
        <f t="shared" si="6"/>
        <v>517.77766791517047</v>
      </c>
      <c r="AC33" s="51">
        <f t="shared" si="6"/>
        <v>518.29544558308567</v>
      </c>
      <c r="AD33" s="51">
        <f t="shared" si="6"/>
        <v>518.8137410286688</v>
      </c>
      <c r="AE33" s="51">
        <f t="shared" si="6"/>
        <v>519.33255476969748</v>
      </c>
      <c r="AF33" s="51">
        <f t="shared" si="6"/>
        <v>519.85188732446716</v>
      </c>
      <c r="AG33" s="51">
        <f t="shared" si="6"/>
        <v>520.37173921179158</v>
      </c>
      <c r="AH33" s="51">
        <f t="shared" si="6"/>
        <v>520.89211095100336</v>
      </c>
      <c r="AI33" s="51">
        <f t="shared" si="6"/>
        <v>521.41300306195433</v>
      </c>
      <c r="AJ33" s="51">
        <f t="shared" si="6"/>
        <v>521.93441606501631</v>
      </c>
      <c r="AK33" s="51">
        <f t="shared" si="6"/>
        <v>522.45635048108136</v>
      </c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</row>
    <row r="34" spans="1:101" s="20" customFormat="1" x14ac:dyDescent="0.25">
      <c r="A34" s="19" t="s">
        <v>45</v>
      </c>
      <c r="B34" s="52">
        <f t="shared" ref="B34:AK34" si="7">B26+B20+B14+B33</f>
        <v>12765.45</v>
      </c>
      <c r="C34" s="52">
        <f t="shared" si="7"/>
        <v>8963.9724999999999</v>
      </c>
      <c r="D34" s="52">
        <f t="shared" si="7"/>
        <v>9010.1161250000005</v>
      </c>
      <c r="E34" s="52">
        <f t="shared" si="7"/>
        <v>11715.982186250001</v>
      </c>
      <c r="F34" s="52">
        <f t="shared" si="7"/>
        <v>10766.681780817498</v>
      </c>
      <c r="G34" s="52">
        <f t="shared" si="7"/>
        <v>10819.831560598628</v>
      </c>
      <c r="H34" s="52">
        <f t="shared" si="7"/>
        <v>10875.554010059559</v>
      </c>
      <c r="I34" s="52">
        <f t="shared" si="7"/>
        <v>10933.977737864961</v>
      </c>
      <c r="J34" s="52">
        <f t="shared" si="7"/>
        <v>10995.237783087938</v>
      </c>
      <c r="K34" s="52">
        <f t="shared" si="7"/>
        <v>11059.475936730394</v>
      </c>
      <c r="L34" s="52">
        <f t="shared" si="7"/>
        <v>11126.841079319458</v>
      </c>
      <c r="M34" s="52">
        <f t="shared" si="7"/>
        <v>11197.489535383733</v>
      </c>
      <c r="N34" s="52">
        <f t="shared" si="7"/>
        <v>11271.585445653314</v>
      </c>
      <c r="O34" s="52">
        <f t="shared" si="7"/>
        <v>11349.301157869879</v>
      </c>
      <c r="P34" s="52">
        <f t="shared" si="7"/>
        <v>11430.817637137205</v>
      </c>
      <c r="Q34" s="52">
        <f t="shared" si="7"/>
        <v>11516.32489678927</v>
      </c>
      <c r="R34" s="52">
        <f t="shared" si="7"/>
        <v>11606.022450801736</v>
      </c>
      <c r="S34" s="52">
        <f t="shared" si="7"/>
        <v>11700.119788823995</v>
      </c>
      <c r="T34" s="52">
        <f t="shared" si="7"/>
        <v>11798.836874962853</v>
      </c>
      <c r="U34" s="52">
        <f t="shared" si="7"/>
        <v>11902.404671505348</v>
      </c>
      <c r="V34" s="52">
        <f t="shared" si="7"/>
        <v>12011.065688827761</v>
      </c>
      <c r="W34" s="52">
        <f t="shared" si="7"/>
        <v>12125.074562800046</v>
      </c>
      <c r="X34" s="52">
        <f t="shared" si="7"/>
        <v>12244.698661060474</v>
      </c>
      <c r="Y34" s="52">
        <f t="shared" si="7"/>
        <v>12370.218719604045</v>
      </c>
      <c r="Z34" s="52">
        <f t="shared" si="7"/>
        <v>12501.929511200284</v>
      </c>
      <c r="AA34" s="52">
        <f t="shared" si="7"/>
        <v>12640.140547231951</v>
      </c>
      <c r="AB34" s="52">
        <f t="shared" si="7"/>
        <v>12785.176814625673</v>
      </c>
      <c r="AC34" s="52">
        <f t="shared" si="7"/>
        <v>12937.379549629113</v>
      </c>
      <c r="AD34" s="52">
        <f t="shared" si="7"/>
        <v>13097.107050276998</v>
      </c>
      <c r="AE34" s="52">
        <f t="shared" si="7"/>
        <v>13264.735529480444</v>
      </c>
      <c r="AF34" s="52">
        <f t="shared" si="7"/>
        <v>13440.660010770751</v>
      </c>
      <c r="AG34" s="52">
        <f t="shared" si="7"/>
        <v>13625.29526883039</v>
      </c>
      <c r="AH34" s="52">
        <f t="shared" si="7"/>
        <v>13819.076817050529</v>
      </c>
      <c r="AI34" s="52">
        <f t="shared" si="7"/>
        <v>14022.461944466459</v>
      </c>
      <c r="AJ34" s="52">
        <f t="shared" si="7"/>
        <v>14235.930804539743</v>
      </c>
      <c r="AK34" s="52">
        <f t="shared" si="7"/>
        <v>14459.987558379546</v>
      </c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</row>
    <row r="35" spans="1:101" x14ac:dyDescent="0.25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</row>
    <row r="36" spans="1:101" x14ac:dyDescent="0.25">
      <c r="A36" s="91" t="s">
        <v>44</v>
      </c>
      <c r="B36" s="60">
        <f t="shared" ref="B36:AK36" si="8">B8-B34</f>
        <v>-10022.514999999999</v>
      </c>
      <c r="C36" s="60">
        <f t="shared" si="8"/>
        <v>-5520.6377499999999</v>
      </c>
      <c r="D36" s="60">
        <f t="shared" si="8"/>
        <v>-5251.3196375000007</v>
      </c>
      <c r="E36" s="60">
        <f t="shared" si="8"/>
        <v>-7625.9508743750002</v>
      </c>
      <c r="F36" s="60">
        <f t="shared" si="8"/>
        <v>-6328.8539033487477</v>
      </c>
      <c r="G36" s="60">
        <f t="shared" si="8"/>
        <v>-6016.8172892564398</v>
      </c>
      <c r="H36" s="60">
        <f t="shared" si="8"/>
        <v>-5689.0940251502616</v>
      </c>
      <c r="I36" s="60">
        <f t="shared" si="8"/>
        <v>-5344.8997537101977</v>
      </c>
      <c r="J36" s="60">
        <f t="shared" si="8"/>
        <v>-4983.4108997254361</v>
      </c>
      <c r="K36" s="60">
        <f t="shared" si="8"/>
        <v>-4603.7627091997674</v>
      </c>
      <c r="L36" s="60">
        <f t="shared" si="8"/>
        <v>-4205.0471904122996</v>
      </c>
      <c r="M36" s="60">
        <f t="shared" si="8"/>
        <v>-3786.3109520312164</v>
      </c>
      <c r="N36" s="60">
        <f t="shared" si="8"/>
        <v>-3346.5529331331709</v>
      </c>
      <c r="O36" s="60">
        <f t="shared" si="8"/>
        <v>-2884.7220197237293</v>
      </c>
      <c r="P36" s="60">
        <f t="shared" si="8"/>
        <v>-2399.7145420837478</v>
      </c>
      <c r="Q36" s="60">
        <f t="shared" si="8"/>
        <v>-1890.3716469831397</v>
      </c>
      <c r="R36" s="60">
        <f t="shared" si="8"/>
        <v>-1355.4765385052979</v>
      </c>
      <c r="S36" s="60">
        <f t="shared" si="8"/>
        <v>-793.75158091273261</v>
      </c>
      <c r="T36" s="60">
        <f t="shared" si="8"/>
        <v>-203.85525665602836</v>
      </c>
      <c r="U36" s="60">
        <f t="shared" si="8"/>
        <v>415.6210277168193</v>
      </c>
      <c r="V36" s="60">
        <f t="shared" si="8"/>
        <v>1066.1562953555149</v>
      </c>
      <c r="W36" s="60">
        <f t="shared" si="8"/>
        <v>1749.3035205923952</v>
      </c>
      <c r="X36" s="60">
        <f t="shared" si="8"/>
        <v>2466.6933265015887</v>
      </c>
      <c r="Y36" s="60">
        <f t="shared" si="8"/>
        <v>3220.0378673361229</v>
      </c>
      <c r="Z36" s="60">
        <f t="shared" si="8"/>
        <v>4011.1349050868921</v>
      </c>
      <c r="AA36" s="60">
        <f t="shared" si="8"/>
        <v>4841.8720898695847</v>
      </c>
      <c r="AB36" s="60">
        <f t="shared" si="8"/>
        <v>5714.2314543309403</v>
      </c>
      <c r="AC36" s="60">
        <f t="shared" si="8"/>
        <v>6630.2941327753288</v>
      </c>
      <c r="AD36" s="60">
        <f t="shared" si="8"/>
        <v>7592.2453162476704</v>
      </c>
      <c r="AE36" s="60">
        <f t="shared" si="8"/>
        <v>8602.3794553704647</v>
      </c>
      <c r="AF36" s="60">
        <f t="shared" si="8"/>
        <v>9663.105723322702</v>
      </c>
      <c r="AG36" s="60">
        <f t="shared" si="8"/>
        <v>10776.953751967734</v>
      </c>
      <c r="AH36" s="60">
        <f t="shared" si="8"/>
        <v>11946.5796547875</v>
      </c>
      <c r="AI36" s="60">
        <f t="shared" si="8"/>
        <v>13174.772350963472</v>
      </c>
      <c r="AJ36" s="60">
        <f t="shared" si="8"/>
        <v>14464.460205661688</v>
      </c>
      <c r="AK36" s="60">
        <f t="shared" si="8"/>
        <v>15818.718002331958</v>
      </c>
    </row>
    <row r="37" spans="1:101" x14ac:dyDescent="0.25">
      <c r="A37" s="92" t="s">
        <v>63</v>
      </c>
      <c r="B37" s="60">
        <f>B36</f>
        <v>-10022.514999999999</v>
      </c>
      <c r="C37" s="60">
        <f>B37+C36</f>
        <v>-15543.152749999999</v>
      </c>
      <c r="D37" s="60">
        <f t="shared" ref="D37:U37" si="9">C37+D36</f>
        <v>-20794.472387499998</v>
      </c>
      <c r="E37" s="60">
        <f t="shared" si="9"/>
        <v>-28420.423261874999</v>
      </c>
      <c r="F37" s="60">
        <f t="shared" si="9"/>
        <v>-34749.27716522375</v>
      </c>
      <c r="G37" s="60">
        <f t="shared" si="9"/>
        <v>-40766.09445448019</v>
      </c>
      <c r="H37" s="60">
        <f t="shared" si="9"/>
        <v>-46455.188479630451</v>
      </c>
      <c r="I37" s="60">
        <f t="shared" si="9"/>
        <v>-51800.088233340648</v>
      </c>
      <c r="J37" s="60">
        <f t="shared" si="9"/>
        <v>-56783.499133066085</v>
      </c>
      <c r="K37" s="60">
        <f t="shared" si="9"/>
        <v>-61387.261842265856</v>
      </c>
      <c r="L37" s="60">
        <f t="shared" si="9"/>
        <v>-65592.309032678153</v>
      </c>
      <c r="M37" s="60">
        <f t="shared" si="9"/>
        <v>-69378.619984709367</v>
      </c>
      <c r="N37" s="60">
        <f t="shared" si="9"/>
        <v>-72725.172917842545</v>
      </c>
      <c r="O37" s="60">
        <f t="shared" si="9"/>
        <v>-75609.894937566278</v>
      </c>
      <c r="P37" s="60">
        <f t="shared" si="9"/>
        <v>-78009.609479650026</v>
      </c>
      <c r="Q37" s="60">
        <f t="shared" si="9"/>
        <v>-79899.981126633167</v>
      </c>
      <c r="R37" s="60">
        <f t="shared" si="9"/>
        <v>-81255.45766513847</v>
      </c>
      <c r="S37" s="60">
        <f t="shared" si="9"/>
        <v>-82049.209246051207</v>
      </c>
      <c r="T37" s="60">
        <f t="shared" si="9"/>
        <v>-82253.064502707231</v>
      </c>
      <c r="U37" s="60">
        <f t="shared" si="9"/>
        <v>-81837.443474990418</v>
      </c>
      <c r="V37" s="60">
        <f t="shared" ref="V37:AK37" si="10">U37+V36</f>
        <v>-80771.287179634906</v>
      </c>
      <c r="W37" s="60">
        <f t="shared" si="10"/>
        <v>-79021.983659042511</v>
      </c>
      <c r="X37" s="60">
        <f t="shared" si="10"/>
        <v>-76555.290332540928</v>
      </c>
      <c r="Y37" s="60">
        <f t="shared" si="10"/>
        <v>-73335.252465204801</v>
      </c>
      <c r="Z37" s="60">
        <f t="shared" si="10"/>
        <v>-69324.117560117913</v>
      </c>
      <c r="AA37" s="60">
        <f t="shared" si="10"/>
        <v>-64482.24547024833</v>
      </c>
      <c r="AB37" s="60">
        <f t="shared" si="10"/>
        <v>-58768.01401591739</v>
      </c>
      <c r="AC37" s="60">
        <f t="shared" si="10"/>
        <v>-52137.719883142061</v>
      </c>
      <c r="AD37" s="60">
        <f t="shared" si="10"/>
        <v>-44545.474566894394</v>
      </c>
      <c r="AE37" s="60">
        <f t="shared" si="10"/>
        <v>-35943.09511152393</v>
      </c>
      <c r="AF37" s="60">
        <f t="shared" si="10"/>
        <v>-26279.989388201226</v>
      </c>
      <c r="AG37" s="60">
        <f t="shared" si="10"/>
        <v>-15503.035636233491</v>
      </c>
      <c r="AH37" s="60">
        <f t="shared" si="10"/>
        <v>-3556.4559814459917</v>
      </c>
      <c r="AI37" s="60">
        <f t="shared" si="10"/>
        <v>9618.3163695174808</v>
      </c>
      <c r="AJ37" s="60">
        <f t="shared" si="10"/>
        <v>24082.776575179167</v>
      </c>
      <c r="AK37" s="60">
        <f t="shared" si="10"/>
        <v>39901.494577511126</v>
      </c>
    </row>
    <row r="38" spans="1:101" x14ac:dyDescent="0.25">
      <c r="A38" s="92" t="s">
        <v>83</v>
      </c>
      <c r="B38" s="61">
        <f>B37-presupuesto!G14</f>
        <v>-35730.014999999999</v>
      </c>
      <c r="C38" s="60">
        <f>B38+C36</f>
        <v>-41250.652750000001</v>
      </c>
      <c r="D38" s="60">
        <f t="shared" ref="D38:AK38" si="11">C38+D36</f>
        <v>-46501.972387500005</v>
      </c>
      <c r="E38" s="60">
        <f t="shared" si="11"/>
        <v>-54127.923261875003</v>
      </c>
      <c r="F38" s="60">
        <f t="shared" si="11"/>
        <v>-60456.77716522375</v>
      </c>
      <c r="G38" s="60">
        <f t="shared" si="11"/>
        <v>-66473.59445448019</v>
      </c>
      <c r="H38" s="60">
        <f t="shared" si="11"/>
        <v>-72162.688479630451</v>
      </c>
      <c r="I38" s="60">
        <f t="shared" si="11"/>
        <v>-77507.588233340648</v>
      </c>
      <c r="J38" s="60">
        <f t="shared" si="11"/>
        <v>-82490.999133066085</v>
      </c>
      <c r="K38" s="60">
        <f t="shared" si="11"/>
        <v>-87094.761842265856</v>
      </c>
      <c r="L38" s="60">
        <f t="shared" si="11"/>
        <v>-91299.809032678153</v>
      </c>
      <c r="M38" s="60">
        <f t="shared" si="11"/>
        <v>-95086.119984709367</v>
      </c>
      <c r="N38" s="60">
        <f t="shared" si="11"/>
        <v>-98432.672917842545</v>
      </c>
      <c r="O38" s="60">
        <f t="shared" si="11"/>
        <v>-101317.39493756628</v>
      </c>
      <c r="P38" s="60">
        <f t="shared" si="11"/>
        <v>-103717.10947965003</v>
      </c>
      <c r="Q38" s="60">
        <f t="shared" si="11"/>
        <v>-105607.48112663317</v>
      </c>
      <c r="R38" s="60">
        <f t="shared" si="11"/>
        <v>-106962.95766513847</v>
      </c>
      <c r="S38" s="60">
        <f t="shared" si="11"/>
        <v>-107756.70924605121</v>
      </c>
      <c r="T38" s="60">
        <f t="shared" si="11"/>
        <v>-107960.56450270723</v>
      </c>
      <c r="U38" s="60">
        <f t="shared" si="11"/>
        <v>-107544.94347499042</v>
      </c>
      <c r="V38" s="60">
        <f t="shared" si="11"/>
        <v>-106478.78717963491</v>
      </c>
      <c r="W38" s="60">
        <f t="shared" si="11"/>
        <v>-104729.48365904251</v>
      </c>
      <c r="X38" s="60">
        <f t="shared" si="11"/>
        <v>-102262.79033254093</v>
      </c>
      <c r="Y38" s="60">
        <f t="shared" si="11"/>
        <v>-99042.752465204801</v>
      </c>
      <c r="Z38" s="60">
        <f t="shared" si="11"/>
        <v>-95031.617560117913</v>
      </c>
      <c r="AA38" s="60">
        <f t="shared" si="11"/>
        <v>-90189.745470248323</v>
      </c>
      <c r="AB38" s="60">
        <f t="shared" si="11"/>
        <v>-84475.514015917375</v>
      </c>
      <c r="AC38" s="60">
        <f t="shared" si="11"/>
        <v>-77845.219883142039</v>
      </c>
      <c r="AD38" s="60">
        <f t="shared" si="11"/>
        <v>-70252.974566894365</v>
      </c>
      <c r="AE38" s="60">
        <f t="shared" si="11"/>
        <v>-61650.5951115239</v>
      </c>
      <c r="AF38" s="60">
        <f t="shared" si="11"/>
        <v>-51987.489388201197</v>
      </c>
      <c r="AG38" s="60">
        <f t="shared" si="11"/>
        <v>-41210.535636233464</v>
      </c>
      <c r="AH38" s="60">
        <f t="shared" si="11"/>
        <v>-29263.955981445964</v>
      </c>
      <c r="AI38" s="60">
        <f t="shared" si="11"/>
        <v>-16089.183630482492</v>
      </c>
      <c r="AJ38" s="60">
        <f t="shared" si="11"/>
        <v>-1624.7234248208042</v>
      </c>
      <c r="AK38" s="60">
        <f t="shared" si="11"/>
        <v>14193.994577511154</v>
      </c>
    </row>
    <row r="40" spans="1:101" x14ac:dyDescent="0.25">
      <c r="A40" s="5"/>
    </row>
    <row r="42" spans="1:101" x14ac:dyDescent="0.25">
      <c r="K42" s="7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5"/>
  <sheetViews>
    <sheetView workbookViewId="0">
      <selection activeCell="O21" sqref="O21"/>
    </sheetView>
  </sheetViews>
  <sheetFormatPr defaultColWidth="11.42578125" defaultRowHeight="15" x14ac:dyDescent="0.25"/>
  <cols>
    <col min="1" max="1" width="23.85546875" bestFit="1" customWidth="1"/>
    <col min="9" max="9" width="17.140625" bestFit="1" customWidth="1"/>
    <col min="10" max="10" width="10.42578125" bestFit="1" customWidth="1"/>
    <col min="11" max="11" width="12.5703125" customWidth="1"/>
    <col min="14" max="14" width="24.28515625" bestFit="1" customWidth="1"/>
  </cols>
  <sheetData>
    <row r="1" spans="1:8" x14ac:dyDescent="0.25">
      <c r="B1" s="65" t="s">
        <v>69</v>
      </c>
      <c r="C1" s="65" t="s">
        <v>70</v>
      </c>
      <c r="D1" s="65" t="s">
        <v>71</v>
      </c>
      <c r="E1" s="65" t="s">
        <v>72</v>
      </c>
      <c r="F1" s="65" t="s">
        <v>73</v>
      </c>
    </row>
    <row r="2" spans="1:8" x14ac:dyDescent="0.25">
      <c r="A2" s="40" t="s">
        <v>23</v>
      </c>
      <c r="B2" s="86"/>
      <c r="C2" s="86"/>
      <c r="D2" s="86"/>
      <c r="E2" s="86"/>
      <c r="F2" s="86"/>
      <c r="G2" s="86"/>
    </row>
    <row r="3" spans="1:8" x14ac:dyDescent="0.25">
      <c r="A3" s="29" t="s">
        <v>24</v>
      </c>
      <c r="B3" s="87">
        <f>$L$22</f>
        <v>2762.5</v>
      </c>
      <c r="C3" s="87">
        <f>$L$22</f>
        <v>2762.5</v>
      </c>
      <c r="D3" s="87">
        <f>$L$22</f>
        <v>2762.5</v>
      </c>
      <c r="E3" s="87">
        <f>$L$22</f>
        <v>2762.5</v>
      </c>
      <c r="F3" s="87">
        <f>$L$22</f>
        <v>2762.5</v>
      </c>
      <c r="G3" s="87"/>
    </row>
    <row r="4" spans="1:8" x14ac:dyDescent="0.25">
      <c r="A4" s="29" t="s">
        <v>30</v>
      </c>
      <c r="B4" s="87"/>
      <c r="C4" s="87">
        <v>100</v>
      </c>
      <c r="D4" s="87"/>
      <c r="E4" s="87">
        <v>100</v>
      </c>
      <c r="F4" s="87">
        <v>100</v>
      </c>
      <c r="G4" s="87"/>
    </row>
    <row r="5" spans="1:8" x14ac:dyDescent="0.25">
      <c r="A5" s="29" t="s">
        <v>31</v>
      </c>
      <c r="B5" s="87">
        <v>500</v>
      </c>
      <c r="C5" s="87"/>
      <c r="D5" s="87"/>
      <c r="E5" s="87"/>
      <c r="F5" s="87"/>
      <c r="G5" s="87"/>
    </row>
    <row r="6" spans="1:8" x14ac:dyDescent="0.25">
      <c r="A6" s="29" t="s">
        <v>32</v>
      </c>
      <c r="B6" s="87">
        <v>50</v>
      </c>
      <c r="C6" s="87"/>
      <c r="D6" s="87"/>
      <c r="E6" s="87"/>
      <c r="F6" s="87"/>
      <c r="G6" s="87"/>
    </row>
    <row r="7" spans="1:8" x14ac:dyDescent="0.25">
      <c r="A7" s="29" t="s">
        <v>33</v>
      </c>
      <c r="B7" s="87">
        <v>100</v>
      </c>
      <c r="C7" s="87"/>
      <c r="D7" s="87"/>
      <c r="E7" s="87"/>
      <c r="F7" s="87"/>
      <c r="G7" s="87"/>
    </row>
    <row r="8" spans="1:8" x14ac:dyDescent="0.25">
      <c r="A8" s="39" t="s">
        <v>21</v>
      </c>
      <c r="B8" s="64">
        <f>SUM(B3:B7)</f>
        <v>3412.5</v>
      </c>
      <c r="C8" s="64">
        <f>SUM(C3:C7)</f>
        <v>2862.5</v>
      </c>
      <c r="D8" s="64">
        <f>SUM(D3:D7)</f>
        <v>2762.5</v>
      </c>
      <c r="E8" s="64">
        <f>SUM(E3:E7)</f>
        <v>2862.5</v>
      </c>
      <c r="F8" s="64">
        <f>SUM(F3:F7)</f>
        <v>2862.5</v>
      </c>
      <c r="G8" s="66"/>
    </row>
    <row r="9" spans="1:8" x14ac:dyDescent="0.25">
      <c r="A9" s="40" t="s">
        <v>25</v>
      </c>
      <c r="B9" s="87"/>
      <c r="C9" s="87"/>
      <c r="D9" s="87"/>
      <c r="E9" s="87"/>
      <c r="F9" s="87"/>
      <c r="G9" s="87"/>
    </row>
    <row r="10" spans="1:8" x14ac:dyDescent="0.25">
      <c r="A10" s="29" t="s">
        <v>27</v>
      </c>
      <c r="B10" s="87">
        <f t="shared" ref="B10:F10" si="0">$L$23</f>
        <v>1989</v>
      </c>
      <c r="C10" s="87">
        <f t="shared" si="0"/>
        <v>1989</v>
      </c>
      <c r="D10" s="87">
        <f t="shared" si="0"/>
        <v>1989</v>
      </c>
      <c r="E10" s="87">
        <f t="shared" si="0"/>
        <v>1989</v>
      </c>
      <c r="F10" s="87">
        <f t="shared" si="0"/>
        <v>1989</v>
      </c>
      <c r="G10" s="87"/>
    </row>
    <row r="11" spans="1:8" x14ac:dyDescent="0.25">
      <c r="A11" s="29" t="s">
        <v>57</v>
      </c>
      <c r="B11" s="87">
        <v>1000</v>
      </c>
      <c r="C11" s="87"/>
      <c r="D11" s="87"/>
      <c r="E11" s="87"/>
      <c r="F11" s="87"/>
      <c r="G11" s="87"/>
    </row>
    <row r="12" spans="1:8" x14ac:dyDescent="0.25">
      <c r="A12" s="29" t="s">
        <v>58</v>
      </c>
      <c r="B12" s="87">
        <v>200</v>
      </c>
      <c r="C12" s="87"/>
      <c r="D12" s="87"/>
      <c r="E12" s="87"/>
      <c r="F12" s="87"/>
      <c r="G12" s="87"/>
    </row>
    <row r="13" spans="1:8" x14ac:dyDescent="0.25">
      <c r="A13" s="39" t="s">
        <v>22</v>
      </c>
      <c r="B13" s="64">
        <f>SUM(B10:B11)</f>
        <v>2989</v>
      </c>
      <c r="C13" s="64">
        <f>SUM(C10:C11)</f>
        <v>1989</v>
      </c>
      <c r="D13" s="64">
        <f>SUM(D10:D11)</f>
        <v>1989</v>
      </c>
      <c r="E13" s="64">
        <f>SUM(E10:E11)</f>
        <v>1989</v>
      </c>
      <c r="F13" s="64">
        <f>SUM(F10:F11)</f>
        <v>1989</v>
      </c>
      <c r="G13" s="66"/>
    </row>
    <row r="14" spans="1:8" x14ac:dyDescent="0.25">
      <c r="A14" t="s">
        <v>56</v>
      </c>
      <c r="B14" s="87">
        <f t="shared" ref="B14:F14" si="1">SUM(B13,B8)</f>
        <v>6401.5</v>
      </c>
      <c r="C14" s="87">
        <f t="shared" si="1"/>
        <v>4851.5</v>
      </c>
      <c r="D14" s="87">
        <f t="shared" si="1"/>
        <v>4751.5</v>
      </c>
      <c r="E14" s="87">
        <f t="shared" si="1"/>
        <v>4851.5</v>
      </c>
      <c r="F14" s="87">
        <f t="shared" si="1"/>
        <v>4851.5</v>
      </c>
      <c r="G14" s="88">
        <f>SUM(B14:F14)</f>
        <v>25707.5</v>
      </c>
      <c r="H14" s="89" t="s">
        <v>74</v>
      </c>
    </row>
    <row r="15" spans="1:8" x14ac:dyDescent="0.25">
      <c r="B15" s="63"/>
      <c r="C15" s="63"/>
      <c r="D15" s="63"/>
      <c r="E15" s="63"/>
      <c r="F15" s="63"/>
      <c r="G15" s="67"/>
    </row>
    <row r="21" spans="5:15" x14ac:dyDescent="0.25">
      <c r="J21" s="65" t="s">
        <v>26</v>
      </c>
      <c r="K21" s="65" t="s">
        <v>28</v>
      </c>
      <c r="L21" s="65" t="s">
        <v>29</v>
      </c>
      <c r="N21" s="16" t="s">
        <v>60</v>
      </c>
      <c r="O21" s="28">
        <v>0.1</v>
      </c>
    </row>
    <row r="22" spans="5:15" x14ac:dyDescent="0.25">
      <c r="I22" s="28" t="s">
        <v>24</v>
      </c>
      <c r="J22" s="90">
        <v>25000</v>
      </c>
      <c r="K22" s="90">
        <f>J22*O23</f>
        <v>33150</v>
      </c>
      <c r="L22" s="90">
        <f>K22/12</f>
        <v>2762.5</v>
      </c>
    </row>
    <row r="23" spans="5:15" x14ac:dyDescent="0.25">
      <c r="I23" s="28" t="s">
        <v>27</v>
      </c>
      <c r="J23" s="90">
        <v>18000</v>
      </c>
      <c r="K23" s="90">
        <f>J23*O23</f>
        <v>23868</v>
      </c>
      <c r="L23" s="90">
        <f>K23/12</f>
        <v>1989</v>
      </c>
      <c r="N23" s="16" t="s">
        <v>61</v>
      </c>
      <c r="O23" s="28">
        <v>1.3260000000000001</v>
      </c>
    </row>
    <row r="24" spans="5:15" x14ac:dyDescent="0.25">
      <c r="E24" s="68"/>
      <c r="I24" s="28" t="s">
        <v>42</v>
      </c>
      <c r="J24" s="90">
        <v>15000</v>
      </c>
      <c r="K24" s="90">
        <f>J24*O23</f>
        <v>19890</v>
      </c>
      <c r="L24" s="90">
        <f>K24/12</f>
        <v>1657.5</v>
      </c>
    </row>
    <row r="25" spans="5:15" x14ac:dyDescent="0.25">
      <c r="I25" s="28" t="s">
        <v>41</v>
      </c>
      <c r="J25" s="90">
        <v>15000</v>
      </c>
      <c r="K25" s="90">
        <f>J25*O23</f>
        <v>19890</v>
      </c>
      <c r="L25" s="90">
        <f>K25/12</f>
        <v>1657.5</v>
      </c>
      <c r="N25" s="16" t="s">
        <v>65</v>
      </c>
      <c r="O25" s="28">
        <v>1.01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N23:T68"/>
  <sheetViews>
    <sheetView topLeftCell="D20" zoomScaleNormal="100" workbookViewId="0">
      <selection activeCell="T33" sqref="T33"/>
    </sheetView>
  </sheetViews>
  <sheetFormatPr defaultColWidth="11.42578125" defaultRowHeight="15" x14ac:dyDescent="0.25"/>
  <cols>
    <col min="15" max="15" width="11.5703125" customWidth="1"/>
  </cols>
  <sheetData>
    <row r="23" spans="20:20" x14ac:dyDescent="0.25">
      <c r="T23" s="68"/>
    </row>
    <row r="27" spans="20:20" x14ac:dyDescent="0.25">
      <c r="T27" s="78"/>
    </row>
    <row r="59" spans="14:15" x14ac:dyDescent="0.25">
      <c r="N59" s="80" t="s">
        <v>78</v>
      </c>
    </row>
    <row r="60" spans="14:15" x14ac:dyDescent="0.25">
      <c r="N60" t="s">
        <v>76</v>
      </c>
      <c r="O60" s="72">
        <f>SUM('plan de negocio'!G58:AP58)</f>
        <v>0</v>
      </c>
    </row>
    <row r="61" spans="14:15" x14ac:dyDescent="0.25">
      <c r="N61" t="s">
        <v>14</v>
      </c>
      <c r="O61" s="72">
        <f>SUM('plan de negocio'!G60:AP60)</f>
        <v>0</v>
      </c>
    </row>
    <row r="62" spans="14:15" x14ac:dyDescent="0.25">
      <c r="N62" t="s">
        <v>5</v>
      </c>
      <c r="O62" s="72">
        <f>SUM('plan de negocio'!G59:AP59)+SUM('plan de negocio'!G61:AP61)</f>
        <v>0</v>
      </c>
    </row>
    <row r="64" spans="14:15" x14ac:dyDescent="0.25">
      <c r="N64" s="80" t="s">
        <v>79</v>
      </c>
    </row>
    <row r="65" spans="14:15" x14ac:dyDescent="0.25">
      <c r="N65" s="79" t="s">
        <v>51</v>
      </c>
      <c r="O65" s="72">
        <f>SUM('plan de negocio'!G87:AP87)</f>
        <v>0</v>
      </c>
    </row>
    <row r="66" spans="14:15" x14ac:dyDescent="0.25">
      <c r="N66" s="79" t="s">
        <v>36</v>
      </c>
      <c r="O66" s="72">
        <f>SUM('plan de negocio'!G80:AP80)</f>
        <v>0</v>
      </c>
    </row>
    <row r="67" spans="14:15" x14ac:dyDescent="0.25">
      <c r="N67" s="79" t="s">
        <v>35</v>
      </c>
      <c r="O67" s="72">
        <f>SUM('plan de negocio'!G74:AP74)</f>
        <v>0</v>
      </c>
    </row>
    <row r="68" spans="14:15" x14ac:dyDescent="0.25">
      <c r="N68" s="79" t="s">
        <v>49</v>
      </c>
      <c r="O68" s="72">
        <f>SUM('plan de negocio'!G68:AP68)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productos</vt:lpstr>
      <vt:lpstr>ventas</vt:lpstr>
      <vt:lpstr>Datos</vt:lpstr>
      <vt:lpstr>plan de negocio</vt:lpstr>
      <vt:lpstr>presupuesto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TOY4</cp:lastModifiedBy>
  <dcterms:created xsi:type="dcterms:W3CDTF">2021-05-06T15:43:26Z</dcterms:created>
  <dcterms:modified xsi:type="dcterms:W3CDTF">2021-11-28T10:51:46Z</dcterms:modified>
</cp:coreProperties>
</file>