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rick/Desktop/Bootcamp/Class Folder/Crowdfunding Analysis/Resources/"/>
    </mc:Choice>
  </mc:AlternateContent>
  <xr:revisionPtr revIDLastSave="0" documentId="13_ncr:1_{6FD77165-F646-FE4E-9D01-66E8ED959A90}" xr6:coauthVersionLast="36" xr6:coauthVersionMax="36" xr10:uidLastSave="{00000000-0000-0000-0000-000000000000}"/>
  <bookViews>
    <workbookView xWindow="0" yWindow="980" windowWidth="15060" windowHeight="15780" firstSheet="2" activeTab="4" xr2:uid="{00000000-000D-0000-FFFF-FFFF00000000}"/>
  </bookViews>
  <sheets>
    <sheet name="Descriptive Statistics" sheetId="9" r:id="rId1"/>
    <sheet name="Edimburg Research" sheetId="5" r:id="rId2"/>
    <sheet name="Subcategory Statistics" sheetId="3" r:id="rId3"/>
    <sheet name="Category Statistics" sheetId="2" r:id="rId4"/>
    <sheet name="Theater Outcomes by Launch Date" sheetId="11" r:id="rId5"/>
    <sheet name="Kickstarter" sheetId="1" r:id="rId6"/>
    <sheet name="Outcome Based on Launch Date" sheetId="4" r:id="rId7"/>
    <sheet name="Outcome Based on Goals" sheetId="12" r:id="rId8"/>
  </sheets>
  <definedNames>
    <definedName name="_xlnm._FilterDatabase" localSheetId="5" hidden="1">Kickstarter!$A$1:$T$4115</definedName>
  </definedNames>
  <calcPr calcId="18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4" l="1"/>
  <c r="C7" i="12" l="1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3" i="12" l="1"/>
  <c r="F3" i="12" s="1"/>
  <c r="E4" i="12"/>
  <c r="H4" i="12" s="1"/>
  <c r="E5" i="12"/>
  <c r="H5" i="12" s="1"/>
  <c r="E6" i="12"/>
  <c r="G6" i="12" s="1"/>
  <c r="E7" i="12"/>
  <c r="F7" i="12" s="1"/>
  <c r="E8" i="12"/>
  <c r="F8" i="12" s="1"/>
  <c r="E9" i="12"/>
  <c r="H9" i="12" s="1"/>
  <c r="E10" i="12"/>
  <c r="G10" i="12" s="1"/>
  <c r="E11" i="12"/>
  <c r="F11" i="12" s="1"/>
  <c r="E12" i="12"/>
  <c r="F12" i="12" s="1"/>
  <c r="E13" i="12"/>
  <c r="H13" i="12" s="1"/>
  <c r="E2" i="12"/>
  <c r="F2" i="12" s="1"/>
  <c r="U3885" i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U2924" i="1"/>
  <c r="F10" i="12" l="1"/>
  <c r="G13" i="12"/>
  <c r="F9" i="12"/>
  <c r="G12" i="12"/>
  <c r="G4" i="12"/>
  <c r="G5" i="12"/>
  <c r="F6" i="12"/>
  <c r="G9" i="12"/>
  <c r="H12" i="12"/>
  <c r="F13" i="12"/>
  <c r="F5" i="12"/>
  <c r="G8" i="12"/>
  <c r="H8" i="12"/>
  <c r="H11" i="12"/>
  <c r="H7" i="12"/>
  <c r="F4" i="12"/>
  <c r="G11" i="12"/>
  <c r="G7" i="12"/>
  <c r="G3" i="12"/>
  <c r="H10" i="12"/>
  <c r="H6" i="12"/>
  <c r="H3" i="12"/>
  <c r="H2" i="12"/>
  <c r="G2" i="12"/>
  <c r="C6" i="9"/>
  <c r="B6" i="9"/>
  <c r="C5" i="9"/>
  <c r="C2" i="9"/>
  <c r="B5" i="9"/>
  <c r="C3" i="9"/>
  <c r="B3" i="9"/>
  <c r="B2" i="9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<sst xmlns="http://schemas.openxmlformats.org/spreadsheetml/2006/main" count="33082" uniqueCount="8409">
  <si>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</si>
  <si>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</si>
  <si>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</si>
  <si>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</si>
  <si>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</si>
  <si>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</si>
  <si>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</si>
  <si>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</si>
  <si>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</si>
  <si>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</si>
  <si>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</si>
  <si>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</si>
  <si>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</si>
  <si>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</si>
  <si>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</si>
  <si>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</si>
  <si>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</si>
  <si>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</si>
  <si>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</si>
  <si>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</si>
  <si>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</si>
  <si>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</si>
  <si>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</si>
  <si>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</si>
  <si>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</si>
  <si>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</si>
  <si>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</si>
  <si>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</si>
  <si>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</si>
  <si>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</si>
  <si>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</si>
  <si>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</si>
  <si>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</si>
  <si>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</si>
  <si>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</si>
  <si>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</si>
  <si>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</si>
  <si>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</si>
  <si>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</si>
  <si>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</si>
  <si>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</si>
  <si>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</si>
  <si>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</si>
  <si>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</si>
  <si>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</si>
  <si>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</si>
  <si>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</si>
  <si>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</si>
  <si>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</si>
  <si>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</si>
  <si>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</si>
  <si>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</si>
  <si>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</si>
  <si>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</si>
  <si>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</si>
  <si>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</si>
  <si>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</si>
  <si>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</si>
  <si>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</si>
  <si>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</si>
  <si>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</si>
  <si>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</si>
  <si>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</si>
  <si>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</si>
  <si>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</si>
  <si>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</si>
  <si>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</si>
  <si>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</si>
  <si>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</si>
  <si>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</si>
  <si>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</si>
  <si>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</si>
  <si>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</si>
  <si>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</si>
  <si>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</si>
  <si>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</si>
  <si>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</si>
  <si>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</si>
  <si>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</si>
  <si>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</si>
  <si>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</si>
  <si>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</si>
  <si>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</si>
  <si>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</si>
  <si>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</si>
  <si>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</si>
  <si>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</si>
  <si>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</si>
  <si>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</si>
  <si>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</si>
  <si>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</si>
  <si>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</si>
  <si>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</si>
  <si>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</si>
  <si>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</si>
  <si>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</si>
  <si>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</si>
  <si>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</si>
  <si>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</si>
  <si>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</si>
  <si>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</si>
  <si>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</si>
  <si>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</si>
  <si>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</si>
  <si>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</si>
  <si>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</si>
  <si>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</si>
  <si>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</si>
  <si>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</si>
  <si>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</si>
  <si>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</si>
  <si>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</si>
  <si>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</si>
  <si>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</si>
  <si>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</si>
  <si>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</si>
  <si>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</si>
  <si>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</si>
  <si>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</si>
  <si>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</si>
  <si>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</si>
  <si>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</si>
  <si>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</si>
  <si>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</si>
  <si>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</si>
  <si>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</si>
  <si>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</si>
  <si>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</si>
  <si>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</si>
  <si>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</si>
  <si>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</si>
  <si>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</si>
  <si>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</si>
  <si>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</si>
  <si>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</si>
  <si>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</si>
  <si>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</si>
  <si>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</si>
  <si>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</si>
  <si>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</si>
  <si>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</si>
  <si>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</si>
  <si>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</si>
  <si>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</si>
  <si>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</si>
  <si>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</si>
  <si>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</si>
  <si>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</si>
  <si>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</si>
  <si>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</si>
  <si>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</si>
  <si>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</si>
  <si>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</si>
  <si>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</si>
  <si>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</si>
  <si>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</si>
  <si>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</si>
  <si>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</si>
  <si>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</si>
  <si>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</si>
  <si>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</si>
  <si>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</si>
  <si>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</si>
  <si>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</si>
  <si>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</si>
  <si>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</si>
  <si>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</si>
  <si>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</si>
  <si>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</si>
  <si>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</si>
  <si>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</si>
  <si>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</si>
  <si>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</si>
  <si>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</si>
  <si>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</si>
  <si>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</si>
  <si>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</si>
  <si>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</si>
  <si>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</si>
  <si>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</si>
  <si>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</si>
  <si>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</si>
  <si>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</si>
  <si>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</si>
  <si>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</si>
  <si>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</si>
  <si>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</si>
  <si>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</si>
  <si>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</si>
  <si>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</si>
  <si>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</si>
  <si>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</si>
  <si>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</si>
  <si>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</si>
  <si>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</si>
  <si>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</si>
  <si>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</si>
  <si>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</si>
  <si>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</si>
  <si>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</si>
  <si>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</si>
  <si>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</si>
  <si>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</si>
  <si>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</si>
  <si>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</si>
  <si>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</si>
  <si>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</si>
  <si>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</si>
  <si>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</si>
  <si>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</si>
  <si>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</si>
  <si>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</si>
  <si>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</si>
  <si>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</si>
  <si>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</si>
  <si>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</si>
  <si>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</si>
  <si>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</si>
  <si>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</si>
  <si>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</si>
  <si>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</si>
  <si>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</si>
  <si>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</si>
  <si>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</si>
  <si>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</si>
  <si>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</si>
  <si>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</si>
  <si>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</si>
  <si>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</si>
  <si>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</si>
  <si>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</si>
  <si>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</si>
  <si>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</si>
  <si>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</si>
  <si>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</si>
  <si>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</si>
  <si>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</si>
  <si>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</si>
  <si>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</si>
  <si>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</si>
  <si>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</si>
  <si>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</si>
  <si>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</si>
  <si>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</si>
  <si>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</si>
  <si>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</si>
  <si>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</si>
  <si>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</si>
  <si>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</si>
  <si>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</si>
  <si>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</si>
  <si>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</si>
  <si>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</si>
  <si>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</si>
  <si>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</si>
  <si>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</si>
  <si>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</si>
  <si>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</si>
  <si>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</si>
  <si>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</si>
  <si>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</si>
  <si>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</si>
  <si>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</si>
  <si>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</si>
  <si>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</si>
  <si>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</si>
  <si>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</si>
  <si>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</si>
  <si>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</si>
  <si>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</si>
  <si>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</si>
  <si>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</si>
  <si>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</si>
  <si>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</si>
  <si>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</si>
  <si>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</si>
  <si>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</si>
  <si>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</si>
  <si>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</si>
  <si>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</si>
  <si>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</si>
  <si>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</si>
  <si>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</si>
  <si>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</si>
  <si>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</si>
  <si>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</si>
  <si>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</si>
  <si>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</si>
  <si>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</si>
  <si>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</si>
  <si>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</si>
  <si>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</si>
  <si>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</si>
  <si>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</si>
  <si>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</si>
  <si>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</si>
  <si>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</si>
  <si>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</si>
  <si>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</si>
  <si>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</si>
  <si>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</si>
  <si>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</si>
  <si>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</si>
  <si>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</si>
  <si>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</si>
  <si>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</si>
  <si>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</si>
  <si>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</si>
  <si>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</si>
  <si>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</si>
  <si>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</si>
  <si>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</si>
  <si>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</si>
  <si>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</si>
  <si>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</si>
  <si>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</si>
  <si>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</si>
  <si>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</si>
  <si>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</si>
  <si>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</si>
  <si>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</si>
  <si>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</si>
  <si>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</si>
  <si>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</si>
  <si>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</si>
  <si>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</si>
  <si>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</si>
  <si>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</si>
  <si>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</si>
  <si>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</si>
  <si>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</si>
  <si>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</si>
  <si>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</si>
  <si>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</si>
  <si>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</si>
  <si>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</si>
  <si>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</si>
  <si>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</si>
  <si>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</si>
  <si>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</si>
  <si>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</si>
  <si>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</si>
  <si>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</si>
  <si>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</si>
  <si>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</si>
  <si>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</si>
  <si>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</si>
  <si>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</si>
  <si>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</si>
  <si>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</si>
  <si>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</si>
  <si>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</si>
  <si>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</si>
  <si>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</si>
  <si>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</si>
  <si>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</si>
  <si>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</si>
  <si>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</si>
  <si>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</si>
  <si>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</si>
  <si>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</si>
  <si>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</si>
  <si>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</si>
  <si>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</si>
  <si>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</si>
  <si>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</si>
  <si>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</si>
  <si>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</si>
  <si>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</si>
  <si>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</si>
  <si>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</si>
  <si>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</si>
  <si>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</si>
  <si>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</si>
  <si>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</si>
  <si>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</si>
  <si>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</si>
  <si>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</si>
  <si>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</si>
  <si>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</si>
  <si>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</si>
  <si>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</si>
  <si>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</si>
  <si>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</si>
  <si>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</si>
  <si>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</si>
  <si>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</si>
  <si>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</si>
  <si>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</si>
  <si>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</si>
  <si>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</si>
  <si>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</si>
  <si>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</si>
  <si>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</si>
  <si>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</si>
  <si>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</si>
  <si>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</si>
  <si>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</si>
  <si>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</si>
  <si>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</si>
  <si>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</si>
  <si>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</si>
  <si>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</si>
  <si>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</si>
  <si>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</si>
  <si>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</si>
  <si>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</si>
  <si>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</si>
  <si>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</si>
  <si>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</si>
  <si>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</si>
  <si>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</si>
  <si>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</si>
  <si>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</si>
  <si>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</si>
  <si>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</si>
  <si>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</si>
  <si>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</si>
  <si>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</si>
  <si>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</si>
  <si>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</si>
  <si>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</si>
  <si>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</si>
  <si>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</si>
  <si>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</si>
  <si>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</si>
  <si>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</si>
  <si>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</si>
  <si>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</si>
  <si>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</si>
  <si>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</si>
  <si>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</si>
  <si>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</si>
  <si>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</si>
  <si>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</si>
  <si>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</si>
  <si>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</si>
  <si>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</si>
  <si>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</si>
  <si>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</si>
  <si>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</si>
  <si>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</si>
  <si>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</si>
  <si>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</si>
  <si>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</si>
  <si>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</si>
  <si>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</si>
  <si>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</si>
  <si>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</si>
  <si>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</si>
  <si>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</si>
  <si>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</si>
  <si>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</si>
  <si>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</si>
  <si>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</si>
  <si>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</si>
  <si>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</si>
  <si>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</si>
  <si>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</si>
  <si>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</si>
  <si>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</si>
  <si>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</si>
  <si>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</si>
  <si>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</si>
  <si>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</si>
  <si>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</si>
  <si>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</si>
  <si>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</si>
  <si>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</si>
  <si>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</si>
  <si>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</si>
  <si>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</si>
  <si>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</si>
  <si>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</si>
  <si>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</si>
  <si>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</si>
  <si>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</si>
  <si>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</si>
  <si>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</si>
  <si>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</si>
  <si>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</si>
  <si>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</si>
  <si>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</si>
  <si>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</si>
  <si>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</si>
  <si>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</si>
  <si>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</si>
  <si>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</si>
  <si>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</si>
  <si>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</si>
  <si>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</si>
  <si>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</si>
  <si>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</si>
  <si>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</si>
  <si>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</si>
  <si>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</si>
  <si>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</si>
  <si>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</si>
  <si>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</si>
  <si>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</si>
  <si>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</si>
  <si>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</si>
  <si>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</si>
  <si>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</si>
  <si>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</si>
  <si>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</si>
  <si>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</si>
  <si>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</si>
  <si>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</si>
  <si>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</si>
  <si>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</si>
  <si>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</si>
  <si>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</si>
  <si>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</si>
  <si>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</si>
  <si>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</si>
  <si>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</si>
  <si>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</si>
  <si>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</si>
  <si>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</si>
  <si>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</si>
  <si>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</si>
  <si>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</si>
  <si>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</si>
  <si>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</si>
  <si>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</si>
  <si>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</si>
  <si>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</si>
  <si>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</si>
  <si>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</si>
  <si>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</si>
  <si>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</si>
  <si>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</si>
  <si>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</si>
  <si>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</si>
  <si>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</si>
  <si>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</si>
  <si>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</si>
  <si>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</si>
  <si>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</si>
  <si>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</si>
  <si>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</si>
  <si>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</si>
  <si>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</si>
  <si>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</si>
  <si>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</si>
  <si>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</si>
  <si>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</si>
  <si>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</si>
  <si>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</si>
  <si>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</si>
  <si>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</si>
  <si>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</si>
  <si>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</si>
  <si>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</si>
  <si>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</si>
  <si>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</si>
  <si>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</si>
  <si>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</si>
  <si>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</si>
  <si>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</si>
  <si>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</si>
  <si>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</si>
  <si>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</si>
  <si>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</si>
  <si>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</si>
  <si>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</si>
  <si>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</si>
  <si>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</si>
  <si>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</si>
  <si>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</si>
  <si>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</si>
  <si>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</si>
  <si>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</si>
  <si>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</si>
  <si>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</si>
  <si>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</si>
  <si>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</si>
  <si>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</si>
  <si>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</si>
  <si>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</si>
  <si>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</si>
  <si>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</si>
  <si>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</si>
  <si>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</si>
  <si>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</si>
  <si>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</si>
  <si>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</si>
  <si>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</si>
  <si>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</si>
  <si>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</si>
  <si>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</si>
  <si>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</si>
  <si>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</si>
  <si>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</si>
  <si>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</si>
  <si>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</si>
  <si>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</si>
  <si>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</si>
  <si>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</si>
  <si>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</si>
  <si>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</si>
  <si>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</si>
  <si>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</si>
  <si>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</si>
  <si>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</si>
  <si>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</si>
  <si>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</si>
  <si>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</si>
  <si>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</si>
  <si>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</si>
  <si>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</si>
  <si>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</si>
  <si>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</si>
  <si>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</si>
  <si>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</si>
  <si>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</si>
  <si>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</si>
  <si>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</si>
  <si>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</si>
  <si>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</si>
  <si>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</si>
  <si>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</si>
  <si>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</si>
  <si>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</si>
  <si>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</si>
  <si>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</si>
  <si>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</si>
  <si>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</si>
  <si>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</si>
  <si>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</si>
  <si>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</si>
  <si>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</si>
  <si>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</si>
  <si>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</si>
  <si>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</si>
  <si>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</si>
  <si>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</si>
  <si>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</si>
  <si>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</si>
  <si>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</si>
  <si>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</si>
  <si>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</si>
  <si>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</si>
  <si>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</si>
  <si>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</si>
  <si>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</si>
  <si>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</si>
  <si>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</si>
  <si>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</si>
  <si>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</si>
  <si>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</si>
  <si>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</si>
  <si>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</si>
  <si>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</si>
  <si>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</si>
  <si>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</si>
  <si>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</si>
  <si>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</si>
  <si>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</si>
  <si>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</si>
  <si>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</si>
  <si>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</si>
  <si>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</si>
  <si>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</si>
  <si>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</si>
  <si>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</si>
  <si>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</si>
  <si>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</si>
  <si>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</si>
  <si>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</si>
  <si>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</si>
  <si>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</si>
  <si>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</si>
  <si>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</si>
  <si>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</si>
  <si>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</si>
  <si>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</si>
  <si>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</si>
  <si>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</si>
  <si>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</si>
  <si>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</si>
  <si>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</si>
  <si>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</si>
  <si>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</si>
  <si>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</si>
  <si>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</si>
  <si>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</si>
  <si>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</si>
  <si>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</si>
  <si>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</si>
  <si>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</si>
  <si>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</si>
  <si>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</si>
  <si>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</si>
  <si>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</si>
  <si>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</si>
  <si>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</si>
  <si>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</si>
  <si>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</si>
  <si>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</si>
  <si>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</si>
  <si>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</si>
  <si>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</si>
  <si>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</si>
  <si>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</si>
  <si>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</si>
  <si>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</si>
  <si>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</si>
  <si>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</si>
  <si>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</si>
  <si>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</si>
  <si>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</si>
  <si>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</si>
  <si>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</si>
  <si>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</si>
  <si>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</si>
  <si>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</si>
  <si>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</si>
  <si>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</si>
  <si>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</si>
  <si>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</si>
  <si>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</si>
  <si>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</si>
  <si>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</si>
  <si>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</si>
  <si>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</si>
  <si>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</si>
  <si>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</si>
  <si>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</si>
  <si>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</si>
  <si>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</si>
  <si>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</si>
  <si>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</si>
  <si>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</si>
  <si>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</si>
  <si>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</si>
  <si>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</si>
  <si>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</si>
  <si>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</si>
  <si>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</si>
  <si>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</si>
  <si>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</si>
  <si>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</si>
  <si>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</si>
  <si>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</si>
  <si>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</si>
  <si>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</si>
  <si>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</si>
  <si>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</si>
  <si>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</si>
  <si>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</si>
  <si>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</si>
  <si>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</si>
  <si>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</si>
  <si>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</si>
  <si>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</si>
  <si>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</si>
  <si>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</si>
  <si>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</si>
  <si>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</si>
  <si>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</si>
  <si>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</si>
  <si>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</si>
  <si>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</si>
  <si>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</si>
  <si>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</si>
  <si>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</si>
  <si>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</si>
  <si>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</si>
  <si>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</si>
  <si>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</si>
  <si>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</si>
  <si>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</si>
  <si>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</si>
  <si>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</si>
  <si>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</si>
  <si>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</si>
  <si>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</si>
  <si>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</si>
  <si>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</si>
  <si>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</si>
  <si>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</si>
  <si>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</si>
  <si>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</si>
  <si>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</si>
  <si>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</si>
  <si>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</si>
  <si>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</si>
  <si>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</si>
  <si>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</si>
  <si>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</si>
  <si>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</si>
  <si>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</si>
  <si>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</si>
  <si>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</si>
  <si>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</si>
  <si>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</si>
  <si>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</si>
  <si>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</si>
  <si>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</si>
  <si>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</si>
  <si>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</si>
  <si>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</si>
  <si>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</si>
  <si>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</si>
  <si>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</si>
  <si>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</si>
  <si>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</si>
  <si>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</si>
  <si>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</si>
  <si>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</si>
  <si>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</si>
  <si>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</si>
  <si>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</si>
  <si>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</si>
  <si>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</si>
  <si>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</si>
  <si>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</si>
  <si>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</si>
  <si>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</si>
  <si>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</si>
  <si>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</si>
  <si>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</si>
  <si>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</si>
  <si>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</si>
  <si>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</si>
  <si>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</si>
  <si>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</si>
  <si>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</si>
  <si>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</si>
  <si>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</si>
  <si>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</si>
  <si>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</si>
  <si>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</si>
  <si>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</si>
  <si>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</si>
  <si>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</si>
  <si>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</si>
  <si>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</si>
  <si>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</si>
  <si>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</si>
  <si>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</si>
  <si>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</si>
  <si>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</si>
  <si>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</si>
  <si>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</si>
  <si>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</si>
  <si>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</si>
  <si>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</si>
  <si>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</si>
  <si>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</si>
  <si>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</si>
  <si>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</si>
  <si>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</si>
  <si>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</si>
  <si>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</si>
  <si>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</si>
  <si>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</si>
  <si>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</si>
  <si>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</si>
  <si>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</si>
  <si>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</si>
  <si>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</si>
  <si>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</si>
  <si>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</si>
  <si>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</si>
  <si>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</si>
  <si>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</si>
  <si>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</si>
  <si>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</si>
  <si>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</si>
  <si>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</si>
  <si>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</si>
  <si>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</si>
  <si>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</si>
  <si>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</si>
  <si>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</si>
  <si>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</si>
  <si>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</si>
  <si>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</si>
  <si>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</si>
  <si>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</si>
  <si>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</si>
  <si>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</si>
  <si>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</si>
  <si>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</si>
  <si>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</si>
  <si>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</si>
  <si>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</si>
  <si>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</si>
  <si>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</si>
  <si>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</si>
  <si>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</si>
  <si>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</si>
  <si>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</si>
  <si>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</si>
  <si>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</si>
  <si>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</si>
  <si>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</si>
  <si>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</si>
  <si>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</si>
  <si>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</si>
  <si>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</si>
  <si>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</si>
  <si>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</si>
  <si>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</si>
  <si>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</si>
  <si>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</si>
  <si>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</si>
  <si>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</si>
  <si>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</si>
  <si>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</si>
  <si>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</si>
  <si>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</si>
  <si>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</si>
  <si>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</si>
  <si>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</si>
  <si>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</si>
  <si>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</si>
  <si>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</si>
  <si>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</si>
  <si>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</si>
  <si>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</si>
  <si>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</si>
  <si>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</si>
  <si>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</si>
  <si>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</si>
  <si>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</si>
  <si>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</si>
  <si>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</si>
  <si>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</si>
  <si>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</si>
  <si>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</si>
  <si>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</si>
  <si>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</si>
  <si>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</si>
  <si>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</si>
  <si>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</si>
  <si>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</si>
  <si>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</si>
  <si>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</si>
  <si>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</si>
  <si>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</si>
  <si>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</si>
  <si>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</si>
  <si>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</si>
  <si>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</si>
  <si>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</si>
  <si>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</si>
  <si>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</si>
  <si>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</si>
  <si>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</si>
  <si>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</si>
  <si>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</si>
  <si>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</si>
  <si>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</si>
  <si>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</si>
  <si>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</si>
  <si>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</si>
  <si>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</si>
  <si>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</si>
  <si>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</si>
  <si>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</si>
  <si>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</si>
  <si>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</si>
  <si>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</si>
  <si>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</si>
  <si>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</si>
  <si>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</si>
  <si>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</si>
  <si>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</si>
  <si>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</si>
  <si>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</si>
  <si>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</si>
  <si>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</si>
  <si>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</si>
  <si>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</si>
  <si>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</si>
  <si>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</si>
  <si>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</si>
  <si>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</si>
  <si>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</si>
  <si>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</si>
  <si>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</si>
  <si>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</si>
  <si>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</si>
  <si>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</si>
  <si>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</si>
  <si>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</si>
  <si>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</si>
  <si>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</si>
  <si>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</si>
  <si>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</si>
  <si>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</si>
  <si>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</si>
  <si>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</si>
  <si>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</si>
  <si>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</si>
  <si>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</si>
  <si>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</si>
  <si>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</si>
  <si>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</si>
  <si>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</si>
  <si>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</si>
  <si>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</si>
  <si>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</si>
  <si>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</si>
  <si>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</si>
  <si>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</si>
  <si>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</si>
  <si>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</si>
  <si>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</si>
  <si>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</si>
  <si>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</si>
  <si>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</si>
  <si>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</si>
  <si>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</si>
  <si>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</si>
  <si>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</si>
  <si>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</si>
  <si>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</si>
  <si>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</si>
  <si>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</si>
  <si>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</si>
  <si>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</si>
  <si>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</si>
  <si>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</si>
  <si>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</si>
  <si>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</si>
  <si>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</si>
  <si>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</si>
  <si>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</si>
  <si>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</si>
  <si>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</si>
  <si>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</si>
  <si>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</si>
  <si>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</si>
  <si>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</si>
  <si>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</si>
  <si>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</si>
  <si>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</si>
  <si>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</si>
  <si>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</si>
  <si>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</si>
  <si>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</si>
  <si>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</si>
  <si>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</si>
  <si>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</si>
  <si>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</si>
  <si>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</si>
  <si>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</si>
  <si>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</si>
  <si>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</si>
  <si>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</si>
  <si>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</si>
  <si>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</si>
  <si>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</si>
  <si>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</si>
  <si>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</si>
  <si>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</si>
  <si>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</si>
  <si>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</si>
  <si>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</si>
  <si>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</si>
  <si>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</si>
  <si>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</si>
  <si>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</si>
  <si>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</si>
  <si>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</si>
  <si>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</si>
  <si>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</si>
  <si>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</si>
  <si>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</si>
  <si>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</si>
  <si>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</si>
  <si>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</si>
  <si>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</si>
  <si>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</si>
  <si>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</si>
  <si>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</si>
  <si>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</si>
  <si>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</si>
  <si>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</si>
  <si>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</si>
  <si>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</si>
  <si>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</si>
  <si>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</si>
  <si>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</si>
  <si>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</si>
  <si>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</si>
  <si>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</si>
  <si>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</si>
  <si>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</si>
  <si>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</si>
  <si>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</si>
  <si>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</si>
  <si>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</si>
  <si>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</si>
  <si>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</si>
  <si>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</si>
  <si>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</si>
  <si>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</si>
  <si>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</si>
  <si>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</si>
  <si>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</si>
  <si>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</si>
  <si>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</si>
  <si>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</si>
  <si>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</si>
  <si>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</si>
  <si>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</si>
  <si>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</si>
  <si>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</si>
  <si>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</si>
  <si>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</si>
  <si>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</si>
  <si>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</si>
  <si>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</si>
  <si>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</si>
  <si>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</si>
  <si>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</si>
  <si>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</si>
  <si>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</si>
  <si>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</si>
  <si>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</si>
  <si>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</si>
  <si>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</si>
  <si>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</si>
  <si>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</si>
  <si>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</si>
  <si>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</si>
  <si>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</si>
  <si>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</si>
  <si>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</si>
  <si>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</si>
  <si>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</si>
  <si>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</si>
  <si>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</si>
  <si>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</si>
  <si>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</si>
  <si>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</si>
  <si>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</si>
  <si>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</si>
  <si>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</si>
  <si>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</si>
  <si>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</si>
  <si>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</si>
  <si>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</si>
  <si>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</si>
  <si>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</si>
  <si>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</si>
  <si>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</si>
  <si>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</si>
  <si>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</si>
  <si>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</si>
  <si>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</si>
  <si>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</si>
  <si>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</si>
  <si>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</si>
  <si>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</si>
  <si>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</si>
  <si>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</si>
  <si>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</si>
  <si>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</si>
  <si>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</si>
  <si>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</si>
  <si>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</si>
  <si>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</si>
  <si>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</si>
  <si>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</si>
  <si>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</si>
  <si>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</si>
  <si>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</si>
  <si>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</si>
  <si>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</si>
  <si>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</si>
  <si>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</si>
  <si>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</si>
  <si>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</si>
  <si>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</si>
  <si>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</si>
  <si>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</si>
  <si>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</si>
  <si>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</si>
  <si>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</si>
  <si>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</si>
  <si>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</si>
  <si>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</si>
  <si>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</si>
  <si>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</si>
  <si>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</si>
  <si>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</si>
  <si>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</si>
  <si>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</si>
  <si>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</si>
  <si>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</si>
  <si>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</si>
  <si>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</si>
  <si>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</si>
  <si>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</si>
  <si>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</si>
  <si>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</si>
  <si>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</si>
  <si>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</si>
  <si>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</si>
  <si>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</si>
  <si>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</si>
  <si>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</si>
  <si>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</si>
  <si>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</si>
  <si>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</si>
  <si>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</si>
  <si>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</si>
  <si>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</si>
  <si>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</si>
  <si>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</si>
  <si>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</si>
  <si>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</si>
  <si>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</si>
  <si>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</si>
  <si>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</si>
  <si>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</si>
  <si>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</si>
  <si>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</si>
  <si>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</si>
  <si>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</si>
  <si>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</si>
  <si>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</si>
  <si>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</si>
  <si>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</si>
  <si>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</si>
  <si>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</si>
  <si>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</si>
  <si>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</si>
  <si>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</si>
  <si>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</si>
  <si>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</si>
  <si>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</si>
  <si>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</si>
  <si>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</si>
  <si>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</si>
  <si>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</si>
  <si>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</si>
  <si>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</si>
  <si>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</si>
  <si>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</si>
  <si>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</si>
  <si>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</si>
  <si>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</si>
  <si>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</si>
  <si>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</si>
  <si>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</si>
  <si>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</si>
  <si>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</si>
  <si>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</si>
  <si>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</si>
  <si>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</si>
  <si>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</si>
  <si>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</si>
  <si>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</si>
  <si>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</si>
  <si>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</si>
  <si>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</si>
  <si>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</si>
  <si>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</si>
  <si>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</si>
  <si>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</si>
  <si>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</si>
  <si>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</si>
  <si>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</si>
  <si>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</si>
  <si>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</si>
  <si>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</si>
  <si>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</si>
  <si>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</si>
  <si>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</si>
  <si>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</si>
  <si>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</si>
  <si>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</si>
  <si>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</si>
  <si>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</si>
  <si>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</si>
  <si>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</si>
  <si>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</si>
  <si>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</si>
  <si>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</si>
  <si>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</si>
  <si>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</si>
  <si>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</si>
  <si>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</si>
  <si>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</si>
  <si>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</si>
  <si>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</si>
  <si>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</si>
  <si>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</si>
  <si>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</si>
  <si>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</si>
  <si>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</si>
  <si>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</si>
  <si>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</si>
  <si>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</si>
  <si>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</si>
  <si>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</si>
  <si>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</si>
  <si>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</si>
  <si>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</si>
  <si>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</si>
  <si>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</si>
  <si>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</si>
  <si>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</si>
  <si>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</si>
  <si>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</si>
  <si>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</si>
  <si>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</si>
  <si>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</si>
  <si>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</si>
  <si>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</si>
  <si>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</si>
  <si>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</si>
  <si>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</si>
  <si>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</si>
  <si>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</si>
  <si>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</si>
  <si>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</si>
  <si>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</si>
  <si>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</si>
  <si>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</si>
  <si>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</si>
  <si>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</si>
  <si>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</si>
  <si>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</si>
  <si>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</si>
  <si>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</si>
  <si>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</si>
  <si>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</si>
  <si>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</si>
  <si>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</si>
  <si>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</si>
  <si>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</si>
  <si>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</si>
  <si>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</si>
  <si>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</si>
  <si>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</si>
  <si>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</si>
  <si>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</si>
  <si>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</si>
  <si>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</si>
  <si>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</si>
  <si>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</si>
  <si>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</si>
  <si>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</si>
  <si>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</si>
  <si>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</si>
  <si>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</si>
  <si>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</si>
  <si>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</si>
  <si>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</si>
  <si>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</si>
  <si>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</si>
  <si>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</si>
  <si>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</si>
  <si>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</si>
  <si>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</si>
  <si>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</si>
  <si>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</si>
  <si>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</si>
  <si>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</si>
  <si>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</si>
  <si>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</si>
  <si>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</si>
  <si>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</si>
  <si>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</si>
  <si>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</si>
  <si>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</si>
  <si>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</si>
  <si>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</si>
  <si>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</si>
  <si>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</si>
  <si>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</si>
  <si>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</si>
  <si>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</si>
  <si>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</si>
  <si>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</si>
  <si>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</si>
  <si>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</si>
  <si>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</si>
  <si>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</si>
  <si>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</si>
  <si>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</si>
  <si>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</si>
  <si>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</si>
  <si>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</si>
  <si>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</si>
  <si>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</si>
  <si>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</si>
  <si>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</si>
  <si>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</si>
  <si>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</si>
  <si>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</si>
  <si>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</si>
  <si>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</si>
  <si>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</si>
  <si>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</si>
  <si>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</si>
  <si>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</si>
  <si>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</si>
  <si>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</si>
  <si>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</si>
  <si>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</si>
  <si>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</si>
  <si>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</si>
  <si>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</si>
  <si>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</si>
  <si>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</si>
  <si>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</si>
  <si>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</si>
  <si>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</si>
  <si>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</si>
  <si>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</si>
  <si>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</si>
  <si>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</si>
  <si>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</si>
  <si>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</si>
  <si>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</si>
  <si>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</si>
  <si>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</si>
  <si>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</si>
  <si>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</si>
  <si>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</si>
  <si>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</si>
  <si>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</si>
  <si>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</si>
  <si>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</si>
  <si>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</si>
  <si>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</si>
  <si>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</si>
  <si>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</si>
  <si>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</si>
  <si>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</si>
  <si>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</si>
  <si>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</si>
  <si>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</si>
  <si>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</si>
  <si>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</si>
  <si>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</si>
  <si>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</si>
  <si>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</si>
  <si>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</si>
  <si>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</si>
  <si>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</si>
  <si>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</si>
  <si>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</si>
  <si>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</si>
  <si>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</si>
  <si>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</si>
  <si>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</si>
  <si>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</si>
  <si>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</si>
  <si>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</si>
  <si>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</si>
  <si>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</si>
  <si>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</si>
  <si>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</si>
  <si>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</si>
  <si>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</si>
  <si>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</si>
  <si>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</si>
  <si>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</si>
  <si>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</si>
  <si>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</si>
  <si>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</si>
  <si>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</si>
  <si>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</si>
  <si>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</si>
  <si>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</si>
  <si>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</si>
  <si>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</si>
  <si>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</si>
  <si>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</si>
  <si>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</si>
  <si>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</si>
  <si>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</si>
  <si>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</si>
  <si>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</si>
  <si>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</si>
  <si>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</si>
  <si>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</si>
  <si>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</si>
  <si>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</si>
  <si>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</si>
  <si>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</si>
  <si>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</si>
  <si>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</si>
  <si>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</si>
  <si>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</si>
  <si>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</si>
  <si>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</si>
  <si>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</si>
  <si>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</si>
  <si>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</si>
  <si>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</si>
  <si>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</si>
  <si>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</si>
  <si>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</si>
  <si>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</si>
  <si>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</si>
  <si>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</si>
  <si>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</si>
  <si>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</si>
  <si>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</si>
  <si>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</si>
  <si>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</si>
  <si>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</si>
  <si>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</si>
  <si>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</si>
  <si>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</si>
  <si>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</si>
  <si>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</si>
  <si>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</si>
  <si>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</si>
  <si>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</si>
  <si>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</si>
  <si>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</si>
  <si>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</si>
  <si>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</si>
  <si>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</si>
  <si>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</si>
  <si>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</si>
  <si>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</si>
  <si>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</si>
  <si>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</si>
  <si>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</si>
  <si>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</si>
  <si>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</si>
  <si>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</si>
  <si>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</si>
  <si>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</si>
  <si>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</si>
  <si>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</si>
  <si>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</si>
  <si>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</si>
  <si>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</si>
  <si>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</si>
  <si>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</si>
  <si>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</si>
  <si>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</si>
  <si>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</si>
  <si>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</si>
  <si>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</si>
  <si>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</si>
  <si>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</si>
  <si>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</si>
  <si>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</si>
  <si>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</si>
  <si>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</si>
  <si>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</si>
  <si>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</si>
  <si>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</si>
  <si>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</si>
  <si>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</si>
  <si>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</si>
  <si>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</si>
  <si>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</si>
  <si>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</si>
  <si>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</si>
  <si>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</si>
  <si>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</si>
  <si>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</si>
  <si>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</si>
  <si>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</si>
  <si>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</si>
  <si>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</si>
  <si>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</si>
  <si>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</si>
  <si>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</si>
  <si>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</si>
  <si>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</si>
  <si>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</si>
  <si>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</si>
  <si>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</si>
  <si>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</si>
  <si>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</si>
  <si>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</si>
  <si>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</si>
  <si>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</si>
  <si>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</si>
  <si>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</si>
  <si>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</si>
  <si>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</si>
  <si>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</si>
  <si>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</si>
  <si>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</si>
  <si>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</si>
  <si>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</si>
  <si>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</si>
  <si>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</si>
  <si>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</si>
  <si>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</si>
  <si>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</si>
  <si>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</si>
  <si>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</si>
  <si>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</si>
  <si>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</si>
  <si>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</si>
  <si>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</si>
  <si>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</si>
  <si>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</si>
  <si>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</si>
  <si>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</si>
  <si>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</si>
  <si>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</si>
  <si>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</si>
  <si>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</si>
  <si>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</si>
  <si>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</si>
  <si>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</si>
  <si>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</si>
  <si>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</si>
  <si>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</si>
  <si>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</si>
  <si>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</si>
  <si>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</si>
  <si>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</si>
  <si>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</si>
  <si>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</si>
  <si>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</si>
  <si>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</si>
  <si>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</si>
  <si>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</si>
  <si>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</si>
  <si>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</si>
  <si>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</si>
  <si>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</si>
  <si>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</si>
  <si>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</si>
  <si>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</si>
  <si>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</si>
  <si>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</si>
  <si>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</si>
  <si>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</si>
  <si>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</si>
  <si>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</si>
  <si>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</si>
  <si>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</si>
  <si>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</si>
  <si>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</si>
  <si>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</si>
  <si>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</si>
  <si>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</si>
  <si>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</si>
  <si>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</si>
  <si>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</si>
  <si>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</si>
  <si>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</si>
  <si>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</si>
  <si>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</si>
  <si>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</si>
  <si>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</si>
  <si>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</si>
  <si>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</si>
  <si>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</si>
  <si>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</si>
  <si>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</si>
  <si>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</si>
  <si>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</si>
  <si>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</si>
  <si>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</si>
  <si>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</si>
  <si>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</si>
  <si>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</si>
  <si>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</si>
  <si>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</si>
  <si>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</si>
  <si>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</si>
  <si>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</si>
  <si>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</si>
  <si>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</si>
  <si>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</si>
  <si>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</si>
  <si>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</si>
  <si>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</si>
  <si>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</si>
  <si>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</si>
  <si>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</si>
  <si>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</si>
  <si>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</si>
  <si>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</si>
  <si>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</si>
  <si>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</si>
  <si>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</si>
  <si>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</si>
  <si>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</si>
  <si>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</si>
  <si>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</si>
  <si>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</si>
  <si>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</si>
  <si>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</si>
  <si>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</si>
  <si>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</si>
  <si>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</si>
  <si>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</si>
  <si>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</si>
  <si>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</si>
  <si>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</si>
  <si>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</si>
  <si>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</si>
  <si>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</si>
  <si>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</si>
  <si>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</si>
  <si>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</si>
  <si>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</si>
  <si>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</si>
  <si>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</si>
  <si>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</si>
  <si>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</si>
  <si>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</si>
  <si>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</si>
  <si>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</si>
  <si>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</si>
  <si>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</si>
  <si>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</si>
  <si>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</si>
  <si>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</si>
  <si>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</si>
  <si>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</si>
  <si>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</si>
  <si>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</si>
  <si>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</si>
  <si>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</si>
  <si>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</si>
  <si>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</si>
  <si>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</si>
  <si>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</si>
  <si>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</si>
  <si>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</si>
  <si>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</si>
  <si>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</si>
  <si>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</si>
  <si>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</si>
  <si>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</si>
  <si>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</si>
  <si>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</si>
  <si>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</si>
  <si>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</si>
  <si>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</si>
  <si>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</si>
  <si>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</si>
  <si>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</si>
  <si>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</si>
  <si>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</si>
  <si>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</si>
  <si>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</si>
  <si>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</si>
  <si>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</si>
  <si>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</si>
  <si>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</si>
  <si>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</si>
  <si>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</si>
  <si>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</si>
  <si>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</si>
  <si>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</si>
  <si>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</si>
  <si>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</si>
  <si>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</si>
  <si>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</si>
  <si>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</si>
  <si>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</si>
  <si>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</si>
  <si>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</si>
  <si>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</si>
  <si>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</si>
  <si>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</si>
  <si>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</si>
  <si>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</si>
  <si>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</si>
  <si>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</si>
  <si>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</si>
  <si>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</si>
  <si>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</si>
  <si>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</si>
  <si>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</si>
  <si>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</si>
  <si>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</si>
  <si>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</si>
  <si>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</si>
  <si>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</si>
  <si>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</si>
  <si>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</si>
  <si>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</si>
  <si>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</si>
  <si>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</si>
  <si>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</si>
  <si>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</si>
  <si>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</si>
  <si>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</si>
  <si>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</si>
  <si>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</si>
  <si>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</si>
  <si>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</si>
  <si>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</si>
  <si>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</si>
  <si>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</si>
  <si>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</si>
  <si>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</si>
  <si>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</si>
  <si>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</si>
  <si>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</si>
  <si>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</si>
  <si>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</si>
  <si>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</si>
  <si>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</si>
  <si>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</si>
  <si>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</si>
  <si>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</si>
  <si>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</si>
  <si>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</si>
  <si>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</si>
  <si>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</si>
  <si>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</si>
  <si>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</si>
  <si>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</si>
  <si>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</si>
  <si>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</si>
  <si>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</si>
  <si>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</si>
  <si>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</si>
  <si>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</si>
  <si>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</si>
  <si>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</si>
  <si>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</si>
  <si>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</si>
  <si>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</si>
  <si>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</si>
  <si>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</si>
  <si>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</si>
  <si>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</si>
  <si>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</si>
  <si>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</si>
  <si>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</si>
  <si>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</si>
  <si>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</si>
  <si>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</si>
  <si>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</si>
  <si>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</si>
  <si>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</si>
  <si>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</si>
  <si>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</si>
  <si>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</si>
  <si>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</si>
  <si>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</si>
  <si>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</si>
  <si>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</si>
  <si>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</si>
  <si>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</si>
  <si>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</si>
  <si>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</si>
  <si>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</si>
  <si>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</si>
  <si>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</si>
  <si>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</si>
  <si>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</si>
  <si>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</si>
  <si>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</si>
  <si>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</si>
  <si>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</si>
  <si>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</si>
  <si>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</si>
  <si>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</si>
  <si>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</si>
  <si>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</si>
  <si>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</si>
  <si>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</si>
  <si>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</si>
  <si>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</si>
  <si>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</si>
  <si>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</si>
  <si>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</si>
  <si>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</si>
  <si>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</si>
  <si>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</si>
  <si>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</si>
  <si>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</si>
  <si>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</si>
  <si>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</si>
  <si>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</si>
  <si>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</si>
  <si>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</si>
  <si>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</si>
  <si>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</si>
  <si>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</si>
  <si>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</si>
  <si>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</si>
  <si>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</si>
  <si>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</si>
  <si>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</si>
  <si>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</si>
  <si>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</si>
  <si>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</si>
  <si>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</si>
  <si>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</si>
  <si>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</si>
  <si>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</si>
  <si>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</si>
  <si>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</si>
  <si>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</si>
  <si>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</si>
  <si>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</si>
  <si>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</si>
  <si>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</si>
  <si>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</si>
  <si>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</si>
  <si>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</si>
  <si>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</si>
  <si>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</si>
  <si>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</si>
  <si>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</si>
  <si>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</si>
  <si>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</si>
  <si>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</si>
  <si>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</si>
  <si>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</si>
  <si>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</si>
  <si>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</si>
  <si>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</si>
  <si>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</si>
  <si>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</si>
  <si>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</si>
  <si>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</si>
  <si>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</si>
  <si>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</si>
  <si>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</si>
  <si>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</si>
  <si>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</si>
  <si>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</si>
  <si>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</si>
  <si>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</si>
  <si>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</si>
  <si>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</si>
  <si>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</si>
  <si>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</si>
  <si>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</si>
  <si>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</si>
  <si>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</si>
  <si>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</si>
  <si>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</si>
  <si>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</si>
  <si>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</si>
  <si>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</si>
  <si>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</si>
  <si>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</si>
  <si>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</si>
  <si>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</si>
  <si>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</si>
  <si>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</si>
  <si>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</si>
  <si>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</si>
  <si>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</si>
  <si>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</si>
  <si>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</si>
  <si>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</si>
  <si>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</si>
  <si>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</si>
  <si>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</si>
  <si>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</si>
  <si>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</si>
  <si>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</si>
  <si>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</si>
  <si>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</si>
  <si>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</si>
  <si>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</si>
  <si>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</si>
  <si>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</si>
  <si>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</si>
  <si>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</si>
  <si>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</si>
  <si>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</si>
  <si>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</si>
  <si>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</si>
  <si>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</si>
  <si>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</si>
  <si>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</si>
  <si>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</si>
  <si>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</si>
  <si>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</si>
  <si>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</si>
  <si>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</si>
  <si>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</si>
  <si>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</si>
  <si>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</si>
  <si>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</si>
  <si>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</si>
  <si>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</si>
  <si>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</si>
  <si>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</si>
  <si>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</si>
  <si>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</si>
  <si>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</si>
  <si>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</si>
  <si>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</si>
  <si>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</si>
  <si>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</si>
  <si>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</si>
  <si>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</si>
  <si>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</si>
  <si>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</si>
  <si>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</si>
  <si>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</si>
  <si>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</si>
  <si>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</si>
  <si>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</si>
  <si>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</si>
  <si>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</si>
  <si>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</si>
  <si>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</si>
  <si>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</si>
  <si>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</si>
  <si>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</si>
  <si>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</si>
  <si>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</si>
  <si>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</si>
  <si>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</si>
  <si>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</si>
  <si>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</si>
  <si>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</si>
  <si>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</si>
  <si>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</si>
  <si>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</si>
  <si>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</si>
  <si>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</si>
  <si>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</si>
  <si>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</si>
  <si>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</si>
  <si>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</si>
  <si>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</si>
  <si>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</si>
  <si>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</si>
  <si>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</si>
  <si>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</si>
  <si>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</si>
  <si>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</si>
  <si>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</si>
  <si>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</si>
  <si>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</si>
  <si>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</si>
  <si>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</si>
  <si>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</si>
  <si>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</si>
  <si>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</si>
  <si>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</si>
  <si>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</si>
  <si>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</si>
  <si>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</si>
  <si>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</si>
  <si>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</si>
  <si>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</si>
  <si>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</si>
  <si>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</si>
  <si>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</si>
  <si>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</si>
  <si>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</si>
  <si>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</si>
  <si>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</si>
  <si>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</si>
  <si>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</si>
  <si>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</si>
  <si>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</si>
  <si>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</si>
  <si>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</si>
  <si>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</si>
  <si>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</si>
  <si>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</si>
  <si>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</si>
  <si>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</si>
  <si>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</si>
  <si>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</si>
  <si>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</si>
  <si>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</si>
  <si>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</si>
  <si>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</si>
  <si>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</si>
  <si>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</si>
  <si>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</si>
  <si>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</si>
  <si>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</si>
  <si>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</si>
  <si>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</si>
  <si>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</si>
  <si>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</si>
  <si>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</si>
  <si>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</si>
  <si>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</si>
  <si>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</si>
  <si>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</si>
  <si>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</si>
  <si>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</si>
  <si>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</si>
  <si>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</si>
  <si>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</si>
  <si>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</si>
  <si>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</si>
  <si>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</si>
  <si>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</si>
  <si>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</si>
  <si>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</si>
  <si>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</si>
  <si>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</si>
  <si>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</si>
  <si>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</si>
  <si>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</si>
  <si>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</si>
  <si>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</si>
  <si>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</si>
  <si>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</si>
  <si>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</si>
  <si>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</si>
  <si>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</si>
  <si>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</si>
  <si>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</si>
  <si>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</si>
  <si>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</si>
  <si>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</si>
  <si>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</si>
  <si>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</si>
  <si>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</si>
  <si>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</si>
  <si>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</si>
  <si>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</si>
  <si>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</si>
  <si>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</si>
  <si>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</si>
  <si>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</si>
  <si>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</si>
  <si>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</si>
  <si>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</si>
  <si>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</si>
  <si>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</si>
  <si>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</si>
  <si>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</si>
  <si>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</si>
  <si>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</si>
  <si>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</si>
  <si>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</si>
  <si>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</si>
  <si>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</si>
  <si>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</si>
  <si>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</si>
  <si>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</si>
  <si>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</si>
  <si>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</si>
  <si>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</si>
  <si>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</si>
  <si>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</si>
  <si>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</si>
  <si>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</si>
  <si>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</si>
  <si>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</si>
  <si>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</si>
  <si>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</si>
  <si>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</si>
  <si>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</si>
  <si>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</si>
  <si>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</si>
  <si>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</si>
  <si>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</si>
  <si>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</si>
  <si>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</si>
  <si>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</si>
  <si>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</si>
  <si>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</si>
  <si>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</si>
  <si>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</si>
  <si>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</si>
  <si>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</si>
  <si>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</si>
  <si>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</si>
  <si>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</si>
  <si>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</si>
  <si>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</si>
  <si>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</si>
  <si>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</si>
  <si>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</si>
  <si>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</si>
  <si>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</si>
  <si>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</si>
  <si>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</si>
  <si>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</si>
  <si>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</si>
  <si>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</si>
  <si>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</si>
  <si>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</si>
  <si>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</si>
  <si>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</si>
  <si>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</si>
  <si>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</si>
  <si>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</si>
  <si>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</si>
  <si>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</si>
  <si>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</si>
  <si>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</si>
  <si>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</si>
  <si>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</si>
  <si>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</si>
  <si>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</si>
  <si>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</si>
  <si>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</si>
  <si>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</si>
  <si>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</si>
  <si>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</si>
  <si>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</si>
  <si>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</si>
  <si>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</si>
  <si>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</si>
  <si>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</si>
  <si>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</si>
  <si>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</si>
  <si>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</si>
  <si>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</si>
  <si>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</si>
  <si>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</si>
  <si>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</si>
  <si>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</si>
  <si>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</si>
  <si>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</si>
  <si>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</si>
  <si>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</si>
  <si>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</si>
  <si>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</si>
  <si>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</si>
  <si>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</si>
  <si>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</si>
  <si>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</si>
  <si>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</si>
  <si>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</si>
  <si>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</si>
  <si>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</si>
  <si>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</si>
  <si>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</si>
  <si>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</si>
  <si>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</si>
  <si>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</si>
  <si>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</si>
  <si>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</si>
  <si>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</si>
  <si>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</si>
  <si>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</si>
  <si>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</si>
  <si>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</si>
  <si>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</si>
  <si>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</si>
  <si>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</si>
  <si>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</si>
  <si>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</si>
  <si>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</si>
  <si>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</si>
  <si>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</si>
  <si>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</si>
  <si>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</si>
  <si>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</si>
  <si>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</si>
  <si>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</si>
  <si>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</si>
  <si>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</si>
  <si>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</si>
  <si>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</si>
  <si>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</si>
  <si>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</si>
  <si>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</si>
  <si>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</si>
  <si>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</si>
  <si>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</si>
  <si>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</si>
  <si>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</si>
  <si>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</si>
  <si>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</si>
  <si>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</si>
  <si>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</si>
  <si>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</si>
  <si>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</si>
  <si>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</si>
  <si>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</si>
  <si>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</si>
  <si>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</si>
  <si>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</si>
  <si>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</si>
  <si>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</si>
  <si>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</si>
  <si>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</si>
  <si>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</si>
  <si>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</si>
  <si>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</si>
  <si>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</si>
  <si>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</si>
  <si>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</si>
  <si>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</si>
  <si>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</si>
  <si>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</si>
  <si>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</si>
  <si>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</si>
  <si>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</si>
  <si>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</si>
  <si>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</si>
  <si>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</si>
  <si>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</si>
  <si>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</si>
  <si>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</si>
  <si>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</si>
  <si>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</si>
  <si>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</si>
  <si>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</si>
  <si>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</si>
  <si>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</si>
  <si>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</si>
  <si>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</si>
  <si>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</si>
  <si>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</si>
  <si>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</si>
  <si>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</si>
  <si>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</si>
  <si>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</si>
  <si>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</si>
  <si>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</si>
  <si>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</si>
  <si>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</si>
  <si>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</si>
  <si>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</si>
  <si>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</si>
  <si>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</si>
  <si>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</si>
  <si>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</si>
  <si>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</si>
  <si>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</si>
  <si>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</si>
  <si>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</si>
  <si>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</si>
  <si>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</si>
  <si>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</si>
  <si>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</si>
  <si>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</si>
  <si>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</si>
  <si>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</si>
  <si>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</si>
  <si>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</si>
  <si>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</si>
  <si>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</si>
  <si>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</si>
  <si>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</si>
  <si>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</si>
  <si>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</si>
  <si>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</si>
  <si>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</si>
  <si>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</si>
  <si>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</si>
  <si>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</si>
  <si>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</si>
  <si>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</si>
  <si>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</si>
  <si>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</si>
  <si>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</si>
  <si>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</si>
  <si>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</si>
  <si>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</si>
  <si>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</si>
  <si>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</si>
  <si>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</si>
  <si>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</si>
  <si>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</si>
  <si>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</si>
  <si>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</si>
  <si>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</si>
  <si>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</si>
  <si>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</si>
  <si>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</si>
  <si>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</si>
  <si>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</si>
  <si>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</si>
  <si>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</si>
  <si>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</si>
  <si>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</si>
  <si>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</si>
  <si>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</si>
  <si>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</si>
  <si>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</si>
  <si>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</si>
  <si>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</si>
  <si>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</si>
  <si>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</si>
  <si>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</si>
  <si>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</si>
  <si>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</si>
  <si>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</si>
  <si>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</si>
  <si>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</si>
  <si>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</si>
  <si>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</si>
  <si>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</si>
  <si>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</si>
  <si>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</si>
  <si>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</si>
  <si>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</si>
  <si>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</si>
  <si>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</si>
  <si>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</si>
  <si>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</si>
  <si>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</si>
  <si>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</si>
  <si>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</si>
  <si>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</si>
  <si>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</si>
  <si>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</si>
  <si>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</si>
  <si>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</si>
  <si>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</si>
  <si>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</si>
  <si>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</si>
  <si>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</si>
  <si>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</si>
  <si>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</si>
  <si>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</si>
  <si>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</si>
  <si>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</si>
  <si>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</si>
  <si>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</si>
  <si>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</si>
  <si>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</si>
  <si>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</si>
  <si>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</si>
  <si>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</si>
  <si>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</si>
  <si>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</si>
  <si>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</si>
  <si>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</si>
  <si>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</si>
  <si>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</si>
  <si>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</si>
  <si>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</si>
  <si>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</si>
  <si>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</si>
  <si>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</si>
  <si>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</si>
  <si>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</si>
  <si>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</si>
  <si>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</si>
  <si>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</si>
  <si>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</si>
  <si>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</si>
  <si>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</si>
  <si>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</si>
  <si>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</si>
  <si>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</si>
  <si>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</si>
  <si>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</si>
  <si>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</si>
  <si>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</si>
  <si>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</si>
  <si>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</si>
  <si>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</si>
  <si>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</si>
  <si>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</si>
  <si>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</si>
  <si>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</si>
  <si>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</si>
  <si>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</si>
  <si>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</si>
  <si>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</si>
  <si>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</si>
  <si>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</si>
  <si>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</si>
  <si>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</si>
  <si>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</si>
  <si>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</si>
  <si>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</si>
  <si>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</si>
  <si>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</si>
  <si>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</si>
  <si>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</si>
  <si>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</si>
  <si>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</si>
  <si>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</si>
  <si>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</si>
  <si>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</si>
  <si>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</si>
  <si>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</si>
  <si>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</si>
  <si>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</si>
  <si>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</si>
  <si>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</si>
  <si>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</si>
  <si>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</si>
  <si>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</si>
  <si>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</si>
  <si>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</si>
  <si>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</si>
  <si>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</si>
  <si>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</si>
  <si>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</si>
  <si>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</si>
  <si>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</si>
  <si>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</si>
  <si>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</si>
  <si>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</si>
  <si>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</si>
  <si>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</si>
  <si>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</si>
  <si>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</si>
  <si>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</si>
  <si>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</si>
  <si>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</si>
  <si>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</si>
  <si>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</si>
  <si>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</si>
  <si>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</si>
  <si>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</si>
  <si>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</si>
  <si>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</si>
  <si>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</si>
  <si>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</si>
  <si>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</si>
  <si>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</si>
  <si>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</si>
  <si>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</si>
  <si>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</si>
  <si>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</si>
  <si>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</si>
  <si>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</si>
  <si>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</si>
  <si>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</si>
  <si>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</si>
  <si>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</si>
  <si>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</si>
  <si>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</si>
  <si>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</si>
  <si>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</si>
  <si>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</si>
  <si>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</si>
  <si>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</si>
  <si>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</si>
  <si>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</si>
  <si>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</si>
  <si>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</si>
  <si>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</si>
  <si>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</si>
  <si>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</si>
  <si>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</si>
  <si>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</si>
  <si>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</si>
  <si>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</si>
  <si>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</si>
  <si>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</si>
  <si>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</si>
  <si>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</si>
  <si>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</si>
  <si>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</si>
  <si>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</si>
  <si>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</si>
  <si>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</si>
  <si>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</si>
  <si>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</si>
  <si>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</si>
  <si>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</si>
  <si>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</si>
  <si>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</si>
  <si>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</si>
  <si>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</si>
  <si>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</si>
  <si>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</si>
  <si>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</si>
  <si>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</si>
  <si>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</si>
  <si>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</si>
  <si>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</si>
  <si>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</si>
  <si>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</si>
  <si>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</si>
  <si>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</si>
  <si>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</si>
  <si>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</si>
  <si>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</si>
  <si>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</si>
  <si>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</si>
  <si>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</si>
  <si>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</si>
  <si>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</si>
  <si>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</si>
  <si>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</si>
  <si>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</si>
  <si>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</si>
  <si>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</si>
  <si>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</si>
  <si>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</si>
  <si>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</si>
  <si>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</si>
  <si>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</si>
  <si>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</si>
  <si>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</si>
  <si>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</si>
  <si>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</si>
  <si>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</si>
  <si>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</si>
  <si>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</si>
  <si>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</si>
  <si>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</si>
  <si>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</si>
  <si>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</si>
  <si>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</si>
  <si>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</si>
  <si>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</si>
  <si>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</si>
  <si>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</si>
  <si>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</si>
  <si>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</si>
  <si>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</si>
  <si>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</si>
  <si>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</si>
  <si>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</si>
  <si>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</si>
  <si>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</si>
  <si>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</si>
  <si>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</si>
  <si>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</si>
  <si>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</si>
  <si>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</si>
  <si>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</si>
  <si>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</si>
  <si>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</si>
  <si>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</si>
  <si>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</si>
  <si>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</si>
  <si>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</si>
  <si>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</si>
  <si>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</si>
  <si>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</si>
  <si>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</si>
  <si>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</si>
  <si>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</si>
  <si>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</si>
  <si>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</si>
  <si>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</si>
  <si>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</si>
  <si>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</si>
  <si>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</si>
  <si>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</si>
  <si>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</si>
  <si>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</si>
  <si>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</si>
  <si>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</si>
  <si>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</si>
  <si>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</si>
  <si>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</si>
  <si>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</si>
  <si>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</si>
  <si>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</si>
  <si>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</si>
  <si>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</si>
  <si>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</si>
  <si>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</si>
  <si>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</si>
  <si>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</si>
  <si>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</si>
  <si>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</si>
  <si>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</si>
  <si>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</si>
  <si>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</si>
  <si>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</si>
  <si>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</si>
  <si>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</si>
  <si>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</si>
  <si>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</si>
  <si>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</si>
  <si>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</si>
  <si>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</si>
  <si>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</si>
  <si>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</si>
  <si>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</si>
  <si>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</si>
  <si>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</si>
  <si>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</si>
  <si>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</si>
  <si>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</si>
  <si>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</si>
  <si>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</si>
  <si>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</si>
  <si>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</si>
  <si>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</si>
  <si>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</si>
  <si>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</si>
  <si>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</si>
  <si>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</si>
  <si>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</si>
  <si>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</si>
  <si>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</si>
  <si>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</si>
  <si>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</si>
  <si>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</si>
  <si>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</si>
  <si>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</si>
  <si>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</si>
  <si>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</si>
  <si>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</si>
  <si>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</si>
  <si>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</si>
  <si>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</si>
  <si>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</si>
  <si>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</si>
  <si>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</si>
  <si>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</si>
  <si>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</si>
  <si>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</si>
  <si>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</si>
  <si>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</si>
  <si>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</si>
  <si>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</si>
  <si>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</si>
  <si>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</si>
  <si>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</si>
  <si>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</si>
  <si>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</si>
  <si>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</si>
  <si>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</si>
  <si>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</si>
  <si>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</si>
  <si>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</si>
  <si>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</si>
  <si>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</si>
  <si>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</si>
  <si>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</si>
  <si>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</si>
  <si>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</si>
  <si>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</si>
  <si>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</si>
  <si>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</si>
  <si>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</si>
  <si>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</si>
  <si>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</si>
  <si>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</si>
  <si>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</si>
  <si>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</si>
  <si>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</si>
  <si>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</si>
  <si>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</si>
  <si>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</si>
  <si>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</si>
  <si>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</si>
  <si>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</si>
  <si>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</si>
  <si>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</si>
  <si>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</si>
  <si>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</si>
  <si>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</si>
  <si>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</si>
  <si>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</si>
  <si>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</si>
  <si>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</si>
  <si>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</si>
  <si>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</si>
  <si>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</si>
  <si>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</si>
  <si>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</si>
  <si>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</si>
  <si>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</si>
  <si>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</si>
  <si>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</si>
  <si>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</si>
  <si>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</si>
  <si>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</si>
  <si>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</si>
  <si>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</si>
  <si>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</si>
  <si>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</si>
  <si>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</si>
  <si>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</si>
  <si>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</si>
  <si>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</si>
  <si>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</si>
  <si>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</si>
  <si>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</si>
  <si>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</si>
  <si>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</si>
  <si>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</si>
  <si>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</si>
  <si>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</si>
  <si>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</si>
  <si>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</si>
  <si>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</si>
  <si>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</si>
  <si>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</si>
  <si>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</si>
  <si>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</si>
  <si>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</si>
  <si>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</si>
  <si>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</si>
  <si>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</si>
  <si>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</si>
  <si>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</si>
  <si>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</si>
  <si>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</si>
  <si>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</si>
  <si>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</si>
  <si>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</si>
  <si>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</si>
  <si>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</si>
  <si>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</si>
  <si>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</si>
  <si>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</si>
  <si>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</si>
  <si>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</si>
  <si>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</si>
  <si>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</si>
  <si>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</si>
  <si>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</si>
  <si>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</si>
  <si>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</si>
  <si>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</si>
  <si>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</si>
  <si>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</si>
  <si>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</si>
  <si>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</si>
  <si>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</si>
  <si>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</si>
  <si>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</si>
  <si>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</si>
  <si>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</si>
  <si>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</si>
  <si>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</si>
  <si>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</si>
  <si>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</si>
  <si>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</si>
  <si>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</si>
  <si>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</si>
  <si>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</si>
  <si>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</si>
  <si>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</si>
  <si>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</si>
  <si>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</si>
  <si>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</si>
  <si>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</si>
  <si>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</si>
  <si>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</si>
  <si>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</si>
  <si>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</si>
  <si>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</si>
  <si>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</si>
  <si>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</si>
  <si>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</si>
  <si>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</si>
  <si>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</si>
  <si>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</si>
  <si>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</si>
  <si>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</si>
  <si>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</si>
  <si>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</si>
  <si>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</si>
  <si>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</si>
  <si>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</si>
  <si>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</si>
  <si>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</si>
  <si>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</si>
  <si>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</si>
  <si>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</si>
  <si>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</si>
  <si>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</si>
  <si>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</si>
  <si>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</si>
  <si>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</si>
  <si>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</si>
  <si>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</si>
  <si>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</si>
  <si>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</si>
  <si>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</si>
  <si>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</si>
  <si>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</si>
  <si>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</si>
  <si>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</si>
  <si>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</si>
  <si>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</si>
  <si>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</si>
  <si>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</si>
  <si>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</si>
  <si>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</si>
  <si>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</si>
  <si>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</si>
  <si>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</si>
  <si>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</si>
  <si>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</si>
  <si>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</si>
  <si>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</si>
  <si>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</si>
  <si>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</si>
  <si>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</si>
  <si>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</si>
  <si>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</si>
  <si>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</si>
  <si>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</si>
  <si>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</si>
  <si>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</si>
  <si>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</si>
  <si>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</si>
  <si>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</si>
  <si>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</si>
  <si>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</si>
  <si>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</si>
  <si>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</si>
  <si>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</si>
  <si>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</si>
  <si>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</si>
  <si>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</si>
  <si>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</si>
  <si>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</si>
  <si>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</si>
  <si>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</si>
  <si>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</si>
  <si>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</si>
  <si>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</si>
  <si>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</si>
  <si>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</si>
  <si>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</si>
  <si>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</si>
  <si>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</si>
  <si>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</si>
  <si>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</si>
  <si>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</si>
  <si>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</si>
  <si>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</si>
  <si>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</si>
  <si>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</si>
  <si>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</si>
  <si>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</si>
  <si>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</si>
  <si>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</si>
  <si>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</si>
  <si>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</si>
  <si>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</si>
  <si>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</si>
  <si>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</si>
  <si>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</si>
  <si>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</si>
  <si>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</si>
  <si>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</si>
  <si>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</si>
  <si>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</si>
  <si>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</si>
  <si>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</si>
  <si>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</si>
  <si>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</si>
  <si>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</si>
  <si>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</si>
  <si>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</si>
  <si>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</si>
  <si>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</si>
  <si>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</si>
  <si>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</si>
  <si>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</si>
  <si>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</si>
  <si>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</si>
  <si>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</si>
  <si>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</si>
  <si>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</si>
  <si>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</si>
  <si>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</si>
  <si>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</si>
  <si>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</si>
  <si>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</si>
  <si>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</si>
  <si>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</si>
  <si>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</si>
  <si>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</si>
  <si>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</si>
  <si>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</si>
  <si>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</si>
  <si>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</si>
  <si>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</si>
  <si>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</si>
  <si>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</si>
  <si>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</si>
  <si>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</si>
  <si>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</si>
  <si>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</si>
  <si>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</si>
  <si>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</si>
  <si>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</si>
  <si>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</si>
  <si>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</si>
  <si>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</si>
  <si>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</si>
  <si>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</si>
  <si>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</si>
  <si>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</si>
  <si>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</si>
  <si>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</si>
  <si>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</si>
  <si>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</si>
  <si>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</si>
  <si>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</si>
  <si>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</si>
  <si>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</si>
  <si>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</si>
  <si>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</si>
  <si>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</si>
  <si>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</si>
  <si>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</si>
  <si>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</si>
  <si>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</si>
  <si>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</si>
  <si>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</si>
  <si>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</si>
  <si>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</si>
  <si>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</si>
  <si>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</si>
  <si>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</si>
  <si>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</si>
  <si>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</si>
  <si>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</si>
  <si>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</si>
  <si>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</si>
  <si>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</si>
  <si>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</si>
  <si>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</si>
  <si>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</si>
  <si>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</si>
  <si>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</si>
  <si>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</si>
  <si>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</si>
  <si>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</si>
  <si>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</si>
  <si>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</si>
  <si>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</si>
  <si>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</si>
  <si>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</si>
  <si>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</si>
  <si>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</si>
  <si>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</si>
  <si>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</si>
  <si>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</si>
  <si>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</si>
  <si>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</si>
  <si>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</si>
  <si>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</si>
  <si>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</si>
  <si>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</si>
  <si>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</si>
  <si>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</si>
  <si>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</si>
  <si>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</si>
  <si>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</si>
  <si>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</si>
  <si>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</si>
  <si>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</si>
  <si>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</si>
  <si>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</si>
  <si>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</si>
  <si>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</si>
  <si>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</si>
  <si>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</si>
  <si>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</si>
  <si>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</si>
  <si>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</si>
  <si>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</si>
  <si>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</si>
  <si>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</si>
  <si>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</si>
  <si>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</si>
  <si>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</si>
  <si>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</si>
  <si>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</si>
  <si>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</si>
  <si>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</si>
  <si>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</si>
  <si>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</si>
  <si>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</si>
  <si>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</si>
  <si>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</si>
  <si>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</si>
  <si>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</si>
  <si>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</si>
  <si>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</si>
  <si>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</si>
  <si>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</si>
  <si>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</si>
  <si>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</si>
  <si>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</si>
  <si>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</si>
  <si>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</si>
  <si>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</si>
  <si>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</si>
  <si>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</si>
  <si>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</si>
  <si>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</si>
  <si>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</si>
  <si>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</si>
  <si>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</si>
  <si>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</si>
  <si>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</si>
  <si>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</si>
  <si>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</si>
  <si>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</si>
  <si>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</si>
  <si>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</si>
  <si>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</si>
  <si>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</si>
  <si>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</si>
  <si>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</si>
  <si>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</si>
  <si>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</si>
  <si>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</si>
  <si>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</si>
  <si>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</si>
  <si>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</si>
  <si>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</si>
  <si>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</si>
  <si>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</si>
  <si>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</si>
  <si>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</si>
  <si>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</si>
  <si>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</si>
  <si>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</si>
  <si>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</si>
  <si>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</si>
  <si>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</si>
  <si>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</si>
  <si>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</si>
  <si>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</si>
  <si>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</si>
  <si>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</si>
  <si>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</si>
  <si>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</si>
  <si>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</si>
  <si>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</si>
  <si>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</si>
  <si>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</si>
  <si>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</si>
  <si>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</si>
  <si>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</si>
  <si>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</si>
  <si>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</si>
  <si>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</si>
  <si>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</si>
  <si>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</si>
  <si>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</si>
  <si>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</si>
  <si>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</si>
  <si>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</si>
  <si>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</si>
  <si>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</si>
  <si>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</si>
  <si>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</si>
  <si>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</si>
  <si>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</si>
  <si>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</si>
  <si>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</si>
  <si>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</si>
  <si>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</si>
  <si>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</si>
  <si>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</si>
  <si>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</si>
  <si>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</si>
  <si>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</si>
  <si>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</si>
  <si>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</si>
  <si>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</si>
  <si>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</si>
  <si>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</si>
  <si>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</si>
  <si>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</si>
  <si>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</si>
  <si>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</si>
  <si>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</si>
  <si>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</si>
  <si>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</si>
  <si>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</si>
  <si>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</si>
  <si>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</si>
  <si>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</si>
  <si>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</si>
  <si>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</si>
  <si>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</si>
  <si>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</si>
  <si>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</si>
  <si>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</si>
  <si>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</si>
  <si>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</si>
  <si>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</si>
  <si>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</si>
  <si>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</si>
  <si>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</si>
  <si>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</si>
  <si>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</si>
  <si>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</si>
  <si>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</si>
  <si>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</si>
  <si>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</si>
  <si>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</si>
  <si>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</si>
  <si>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</si>
  <si>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</si>
  <si>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</si>
  <si>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</si>
  <si>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</si>
  <si>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</si>
  <si>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</si>
  <si>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</si>
  <si>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</si>
  <si>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</si>
  <si>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</si>
  <si>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</si>
  <si>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</si>
  <si>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</si>
  <si>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</si>
  <si>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</si>
  <si>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</si>
  <si>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</si>
  <si>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</si>
  <si>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</si>
  <si>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</si>
  <si>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</si>
  <si>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</si>
  <si>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</si>
  <si>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</si>
  <si>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</si>
  <si>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</si>
  <si>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</si>
  <si>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</si>
  <si>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</si>
  <si>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</si>
  <si>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</si>
  <si>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</si>
  <si>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</si>
  <si>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</si>
  <si>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</si>
  <si>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</si>
  <si>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</si>
  <si>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</si>
  <si>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</si>
  <si>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</si>
  <si>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</si>
  <si>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</si>
  <si>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</si>
  <si>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</si>
  <si>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</si>
  <si>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</si>
  <si>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</si>
  <si>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</si>
  <si>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</si>
  <si>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</si>
  <si>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</si>
  <si>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</si>
  <si>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</si>
  <si>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</si>
  <si>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</si>
  <si>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</si>
  <si>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</si>
  <si>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</si>
  <si>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</si>
  <si>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</si>
  <si>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</si>
  <si>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</si>
  <si>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</si>
  <si>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</si>
  <si>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</si>
  <si>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</si>
  <si>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</si>
  <si>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</si>
  <si>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</si>
  <si>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</si>
  <si>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</si>
  <si>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</si>
  <si>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</si>
  <si>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</si>
  <si>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</si>
  <si>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</si>
  <si>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</si>
  <si>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</si>
  <si>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</si>
  <si>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</si>
  <si>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</si>
  <si>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</si>
  <si>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</si>
  <si>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</si>
  <si>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</si>
  <si>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</si>
  <si>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</si>
  <si>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</si>
  <si>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</si>
  <si>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</si>
  <si>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</si>
  <si>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</si>
  <si>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</si>
  <si>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</si>
  <si>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</si>
  <si>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</si>
  <si>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</si>
  <si>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</si>
  <si>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</si>
  <si>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</si>
  <si>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</si>
  <si>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</si>
  <si>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</si>
  <si>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</si>
  <si>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</si>
  <si>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</si>
  <si>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</si>
  <si>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</si>
  <si>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</si>
  <si>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</si>
  <si>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</si>
  <si>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</si>
  <si>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</si>
  <si>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</si>
  <si>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</si>
  <si>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</si>
  <si>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</si>
  <si>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</si>
  <si>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</si>
  <si>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</si>
  <si>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</si>
  <si>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</si>
  <si>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</si>
  <si>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</si>
  <si>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</si>
  <si>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</si>
  <si>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</si>
  <si>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</si>
  <si>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</si>
  <si>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</si>
  <si>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</si>
  <si>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</si>
  <si>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</si>
  <si>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</si>
  <si>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</si>
  <si>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</si>
  <si>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</si>
  <si>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</si>
  <si>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</si>
  <si>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</si>
  <si>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</si>
  <si>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</si>
  <si>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</si>
  <si>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</si>
  <si>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</si>
  <si>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</si>
  <si>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</si>
  <si>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</si>
  <si>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</si>
  <si>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</si>
  <si>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</si>
  <si>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</si>
  <si>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</si>
  <si>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</si>
  <si>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</si>
  <si>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</si>
  <si>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</si>
  <si>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</si>
  <si>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</si>
  <si>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</si>
  <si>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</si>
  <si>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</si>
  <si>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</si>
  <si>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</si>
  <si>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</si>
  <si>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</si>
  <si>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</si>
  <si>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</si>
  <si>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</si>
  <si>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</si>
  <si>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</si>
  <si>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</si>
  <si>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</si>
  <si>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</si>
  <si>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</si>
  <si>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</si>
  <si>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</si>
  <si>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</si>
  <si>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</si>
  <si>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</si>
  <si>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</si>
  <si>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</si>
  <si>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</si>
  <si>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</si>
  <si>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</si>
  <si>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</si>
  <si>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</si>
  <si>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</si>
  <si>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</si>
  <si>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</si>
  <si>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</si>
  <si>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</si>
  <si>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</si>
  <si>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</si>
  <si>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</si>
  <si>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</si>
  <si>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</si>
  <si>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</si>
  <si>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</si>
  <si>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</si>
  <si>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</si>
  <si>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</si>
  <si>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</si>
  <si>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</si>
  <si>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</si>
  <si>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</si>
  <si>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</si>
  <si>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</si>
  <si>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</si>
  <si>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</si>
  <si>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</si>
  <si>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</si>
  <si>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</si>
  <si>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</si>
  <si>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</si>
  <si>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</si>
  <si>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</si>
  <si>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</si>
  <si>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</si>
  <si>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</si>
  <si>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</si>
  <si>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</si>
  <si>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</si>
  <si>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</si>
  <si>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</si>
  <si>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</si>
  <si>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</si>
  <si>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</si>
  <si>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</si>
  <si>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</si>
  <si>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</si>
  <si>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</si>
  <si>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</si>
  <si>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</si>
  <si>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</si>
  <si>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</si>
  <si>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</si>
  <si>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</si>
  <si>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</si>
  <si>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</si>
  <si>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</si>
  <si>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</si>
  <si>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</si>
  <si>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</si>
  <si>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</si>
  <si>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</si>
  <si>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</si>
  <si>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</si>
  <si>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</si>
  <si>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</si>
  <si>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</si>
  <si>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</si>
  <si>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</si>
  <si>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</si>
  <si>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</si>
  <si>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</si>
  <si>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</si>
  <si>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</si>
  <si>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</si>
  <si>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</si>
  <si>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</si>
  <si>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</si>
  <si>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</si>
  <si>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</si>
  <si>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</si>
  <si>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</si>
  <si>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</si>
  <si>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</si>
  <si>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</si>
  <si>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</si>
  <si>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</si>
  <si>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</si>
  <si>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</si>
  <si>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</si>
  <si>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</si>
  <si>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</si>
  <si>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</si>
  <si>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</si>
  <si>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</si>
  <si>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</si>
  <si>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</si>
  <si>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</si>
  <si>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</si>
  <si>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</si>
  <si>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</si>
  <si>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</si>
  <si>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</si>
  <si>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</si>
  <si>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</si>
  <si>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</si>
  <si>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</si>
  <si>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</si>
  <si>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</si>
  <si>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</si>
  <si>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</si>
  <si>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</si>
  <si>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</si>
  <si>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</si>
  <si>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</si>
  <si>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</si>
  <si>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</si>
  <si>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</si>
  <si>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</si>
  <si>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</si>
  <si>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</si>
  <si>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</si>
  <si>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</si>
  <si>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</si>
  <si>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</si>
  <si>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</si>
  <si>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</si>
  <si>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</si>
  <si>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</si>
  <si>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</si>
  <si>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</si>
  <si>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</si>
  <si>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</si>
  <si>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</si>
  <si>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</si>
  <si>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</si>
  <si>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</si>
  <si>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</si>
  <si>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</si>
  <si>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</si>
  <si>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</si>
  <si>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</si>
  <si>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</si>
  <si>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</si>
  <si>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</si>
  <si>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</si>
  <si>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</si>
  <si>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</si>
  <si>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</si>
  <si>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</si>
  <si>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</si>
  <si>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</si>
  <si>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</si>
  <si>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</si>
  <si>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</si>
  <si>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</si>
  <si>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</si>
  <si>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</si>
  <si>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</si>
  <si>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</si>
  <si>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</si>
  <si>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</si>
  <si>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</si>
  <si>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</si>
  <si>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</si>
  <si>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</si>
  <si>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</si>
  <si>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</si>
  <si>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</si>
  <si>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</si>
  <si>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</si>
  <si>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</si>
  <si>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</si>
  <si>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</si>
  <si>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</si>
  <si>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</si>
  <si>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</si>
  <si>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</si>
  <si>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</si>
  <si>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</si>
  <si>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</si>
  <si>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</si>
  <si>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</si>
  <si>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</si>
  <si>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</si>
  <si>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</si>
  <si>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</si>
  <si>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</si>
  <si>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</si>
  <si>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</si>
  <si>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</si>
  <si>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</si>
  <si>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</si>
  <si>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</si>
  <si>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</si>
  <si>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</si>
  <si>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</si>
  <si>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</si>
  <si>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</si>
  <si>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</si>
  <si>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</si>
  <si>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</si>
  <si>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</si>
  <si>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</si>
  <si>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</si>
  <si>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</si>
  <si>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</si>
  <si>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</si>
  <si>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</si>
  <si>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</si>
  <si>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</si>
  <si>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</si>
  <si>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</si>
  <si>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</si>
  <si>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</si>
  <si>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</si>
  <si>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</si>
  <si>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</si>
  <si>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</si>
  <si>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</si>
  <si>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</si>
  <si>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</si>
  <si>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</si>
  <si>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</si>
  <si>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</si>
  <si>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</si>
  <si>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</si>
  <si>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</si>
  <si>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</si>
  <si>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</si>
  <si>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</si>
  <si>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</si>
  <si>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</si>
  <si>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</si>
  <si>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</si>
  <si>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</si>
  <si>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</si>
  <si>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</si>
  <si>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</si>
  <si>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</si>
  <si>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</si>
  <si>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</si>
  <si>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</si>
  <si>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</si>
  <si>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</si>
  <si>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</si>
  <si>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</si>
  <si>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</si>
  <si>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</si>
  <si>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</si>
  <si>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</si>
  <si>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</si>
  <si>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</si>
  <si>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</si>
  <si>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</si>
  <si>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</si>
  <si>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</si>
  <si>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</si>
  <si>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</si>
  <si>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</si>
  <si>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</si>
  <si>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</si>
  <si>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</si>
  <si>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</si>
  <si>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</si>
  <si>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</si>
  <si>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</si>
  <si>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</si>
  <si>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</si>
  <si>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</si>
  <si>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</si>
  <si>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</si>
  <si>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</si>
  <si>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</si>
  <si>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</si>
  <si>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</si>
  <si>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</si>
  <si>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</si>
  <si>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</si>
  <si>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</si>
  <si>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</si>
  <si>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</si>
  <si>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</si>
  <si>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</si>
  <si>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</si>
  <si>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</si>
  <si>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</si>
  <si>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</si>
  <si>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</si>
  <si>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</si>
  <si>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</si>
  <si>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</si>
  <si>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</si>
  <si>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</si>
  <si>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</si>
  <si>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</si>
  <si>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</si>
  <si>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</si>
  <si>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</si>
  <si>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</si>
  <si>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</si>
  <si>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</si>
  <si>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</si>
  <si>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</si>
  <si>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</si>
  <si>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</si>
  <si>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</si>
  <si>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</si>
  <si>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</si>
  <si>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</si>
  <si>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</si>
  <si>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</si>
  <si>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</si>
  <si>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</si>
  <si>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</si>
  <si>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</si>
  <si>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</si>
  <si>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</si>
  <si>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</si>
  <si>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</si>
  <si>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</si>
  <si>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</si>
  <si>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</si>
  <si>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</si>
  <si>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</si>
  <si>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</si>
  <si>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</si>
  <si>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</si>
  <si>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</si>
  <si>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</si>
  <si>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</si>
  <si>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</si>
  <si>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</si>
  <si>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</si>
  <si>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</si>
  <si>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</si>
  <si>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</si>
  <si>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</si>
  <si>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</si>
  <si>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</si>
  <si>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</si>
  <si>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</si>
  <si>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</si>
  <si>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</si>
  <si>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</si>
  <si>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</si>
  <si>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</si>
  <si>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</si>
  <si>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</si>
  <si>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</si>
  <si>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</si>
  <si>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</si>
  <si>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</si>
  <si>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</si>
  <si>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</si>
  <si>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</si>
  <si>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</si>
  <si>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</si>
  <si>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</si>
  <si>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</si>
  <si>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</si>
  <si>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</si>
  <si>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</si>
  <si>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</si>
  <si>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</si>
  <si>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</si>
  <si>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</si>
  <si>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</si>
  <si>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</si>
  <si>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</si>
  <si>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</si>
  <si>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</si>
  <si>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</si>
  <si>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</si>
  <si>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</si>
  <si>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</si>
  <si>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</si>
  <si>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</si>
  <si>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</si>
  <si>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</si>
  <si>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</si>
  <si>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</si>
  <si>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</si>
  <si>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</si>
  <si>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</si>
  <si>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</si>
  <si>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</si>
  <si>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</si>
  <si>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</si>
  <si>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</si>
  <si>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</si>
  <si>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</si>
  <si>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</si>
  <si>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</si>
  <si>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</si>
  <si>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</si>
  <si>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</si>
  <si>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</si>
  <si>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</si>
  <si>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</si>
  <si>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</si>
  <si>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</si>
  <si>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</si>
  <si>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</si>
  <si>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</si>
  <si>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</si>
  <si>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</si>
  <si>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</si>
  <si>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</si>
  <si>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</si>
  <si>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</si>
  <si>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</si>
  <si>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</si>
  <si>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</si>
  <si>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</si>
  <si>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</si>
  <si>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</si>
  <si>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</si>
  <si>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</si>
  <si>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</si>
  <si>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</si>
  <si>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</si>
  <si>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</si>
  <si>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</si>
  <si>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</si>
  <si>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</si>
  <si>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</si>
  <si>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</si>
  <si>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</si>
  <si>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</si>
  <si>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</si>
  <si>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</si>
  <si>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</si>
  <si>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</si>
  <si>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</si>
  <si>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</si>
  <si>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</si>
  <si>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</si>
  <si>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</si>
  <si>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</si>
  <si>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</si>
  <si>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</si>
  <si>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</si>
  <si>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</si>
  <si>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</si>
  <si>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</si>
  <si>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</si>
  <si>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</si>
  <si>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</si>
  <si>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</si>
  <si>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</si>
  <si>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</si>
  <si>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</si>
  <si>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</si>
  <si>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</si>
  <si>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</si>
  <si>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</si>
  <si>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</si>
  <si>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</si>
  <si>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</si>
  <si>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</si>
  <si>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</si>
  <si>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</si>
  <si>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</si>
  <si>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</si>
  <si>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</si>
  <si>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</si>
  <si>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</si>
  <si>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</si>
  <si>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</si>
  <si>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</si>
  <si>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</si>
  <si>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</si>
  <si>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</si>
  <si>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</si>
  <si>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</si>
  <si>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</si>
  <si>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</si>
  <si>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</si>
  <si>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</si>
  <si>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</si>
  <si>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</si>
  <si>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</si>
  <si>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</si>
  <si>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</si>
  <si>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</si>
  <si>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</si>
  <si>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</si>
  <si>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</si>
  <si>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</si>
  <si>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</si>
  <si>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</si>
  <si>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</si>
  <si>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</si>
  <si>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</si>
  <si>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</si>
  <si>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</si>
  <si>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</si>
  <si>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</si>
  <si>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</si>
  <si>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</si>
  <si>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</si>
  <si>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</si>
  <si>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</si>
  <si>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</si>
  <si>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</si>
  <si>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</si>
  <si>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</si>
  <si>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</si>
  <si>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</si>
  <si>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</si>
  <si>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</si>
  <si>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</si>
  <si>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</si>
  <si>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</si>
  <si>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</si>
  <si>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</si>
  <si>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</si>
  <si>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</si>
  <si>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</si>
  <si>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</si>
  <si>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</si>
  <si>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</si>
  <si>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</si>
  <si>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</si>
  <si>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</si>
  <si>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</si>
  <si>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</si>
  <si>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</si>
  <si>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</si>
  <si>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</si>
  <si>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</si>
  <si>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</si>
  <si>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</si>
  <si>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</si>
  <si>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</si>
  <si>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</si>
  <si>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</si>
  <si>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</si>
  <si>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</si>
  <si>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</si>
  <si>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</si>
  <si>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</si>
  <si>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</si>
  <si>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</si>
  <si>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</si>
  <si>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</si>
  <si>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</si>
  <si>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</si>
  <si>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</si>
  <si>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</si>
  <si>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</si>
  <si>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</si>
  <si>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</si>
  <si>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</si>
  <si>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</si>
  <si>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</si>
  <si>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</si>
  <si>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</si>
  <si>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</si>
  <si>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</si>
  <si>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</si>
  <si>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</si>
  <si>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</si>
  <si>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</si>
  <si>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</si>
  <si>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</si>
  <si>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</si>
  <si>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</si>
  <si>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</si>
  <si>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</si>
  <si>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</si>
  <si>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</si>
  <si>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</si>
  <si>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</si>
  <si>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</si>
  <si>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</si>
  <si>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</si>
  <si>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</si>
  <si>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</si>
  <si>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</si>
  <si>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</si>
  <si>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</si>
  <si>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</si>
  <si>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</si>
  <si>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</si>
  <si>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</si>
  <si>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</si>
  <si>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</si>
  <si>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</si>
  <si>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</si>
  <si>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</si>
  <si>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</si>
  <si>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</si>
  <si>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</si>
  <si>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</si>
  <si>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</si>
  <si>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</si>
  <si>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</si>
  <si>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</si>
  <si>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</si>
  <si>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</si>
  <si>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</si>
  <si>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</si>
  <si>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</si>
  <si>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</si>
  <si>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</si>
  <si>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</si>
  <si>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</si>
  <si>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</si>
  <si>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</si>
  <si>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</si>
  <si>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</si>
  <si>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</si>
  <si>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</si>
  <si>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</si>
  <si>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</si>
  <si>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</si>
  <si>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</si>
  <si>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</si>
  <si>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</si>
  <si>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</si>
  <si>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</si>
  <si>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</si>
  <si>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</si>
  <si>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</si>
  <si>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</si>
  <si>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</si>
  <si>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</si>
  <si>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</si>
  <si>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</si>
  <si>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</si>
  <si>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</si>
  <si>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</si>
  <si>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</si>
  <si>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</si>
  <si>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</si>
  <si>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</si>
  <si>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</si>
  <si>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</si>
  <si>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</si>
  <si>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</si>
  <si>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</si>
  <si>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</si>
  <si>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</si>
  <si>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</si>
  <si>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</si>
  <si>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</si>
  <si>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</si>
  <si>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</si>
  <si>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</si>
  <si>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</si>
  <si>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</si>
  <si>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</si>
  <si>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</si>
  <si>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</si>
  <si>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</si>
  <si>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</si>
  <si>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</si>
  <si>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</si>
  <si>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</si>
  <si>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</si>
  <si>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</si>
  <si>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</si>
  <si>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</si>
  <si>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</si>
  <si>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</si>
  <si>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</si>
  <si>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</si>
  <si>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</si>
  <si>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</si>
  <si>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</si>
  <si>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</si>
  <si>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</si>
  <si>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</si>
  <si>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</si>
  <si>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</si>
  <si>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</si>
  <si>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</si>
  <si>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</si>
  <si>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</si>
  <si>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</si>
  <si>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</si>
  <si>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</si>
  <si>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</si>
  <si>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</si>
  <si>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</si>
  <si>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</si>
  <si>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</si>
  <si>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</si>
  <si>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</si>
  <si>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</si>
  <si>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</si>
  <si>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</si>
  <si>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</si>
  <si>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</si>
  <si>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</si>
  <si>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</si>
  <si>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</si>
  <si>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</si>
  <si>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</si>
  <si>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</si>
  <si>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</si>
  <si>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</si>
  <si>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</si>
  <si>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</si>
  <si>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</si>
  <si>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</si>
  <si>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</si>
  <si>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</si>
  <si>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</si>
  <si>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</si>
  <si>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</si>
  <si>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</si>
  <si>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</si>
  <si>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</si>
  <si>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</si>
  <si>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</si>
  <si>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</si>
  <si>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</si>
  <si>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</si>
  <si>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</si>
  <si>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</si>
  <si>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</si>
  <si>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</si>
  <si>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</si>
  <si>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</si>
  <si>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</si>
  <si>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</si>
  <si>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</si>
  <si>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</si>
  <si>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</si>
  <si>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</si>
  <si>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</si>
  <si>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</si>
  <si>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</si>
  <si>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</si>
  <si>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</si>
  <si>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</si>
  <si>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</si>
  <si>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</si>
  <si>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</si>
  <si>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</si>
  <si>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</si>
  <si>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</si>
  <si>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</si>
  <si>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</si>
  <si>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</si>
  <si>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</si>
  <si>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</si>
  <si>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</si>
  <si>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</si>
  <si>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</si>
  <si>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</si>
  <si>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</si>
  <si>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</si>
  <si>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</si>
  <si>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</si>
  <si>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</si>
  <si>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</si>
  <si>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</si>
  <si>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</si>
  <si>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</si>
  <si>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</si>
  <si>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</si>
  <si>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</si>
  <si>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</si>
  <si>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</si>
  <si>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</si>
  <si>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</si>
  <si>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</si>
  <si>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</si>
  <si>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</si>
  <si>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</si>
  <si>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</si>
  <si>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</si>
  <si>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</si>
  <si>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</si>
  <si>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</si>
  <si>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</si>
  <si>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</si>
  <si>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</si>
  <si>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</si>
  <si>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</si>
  <si>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</si>
  <si>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</si>
  <si>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</si>
  <si>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</si>
  <si>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</si>
  <si>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</si>
  <si>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</si>
  <si>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</si>
  <si>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</si>
  <si>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</si>
  <si>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</si>
  <si>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</si>
  <si>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</si>
  <si>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</si>
  <si>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</si>
  <si>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</si>
  <si>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</si>
  <si>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</si>
  <si>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</si>
  <si>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</si>
  <si>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</si>
  <si>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</si>
  <si>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</si>
  <si>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</si>
  <si>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</si>
  <si>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</si>
  <si>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</si>
  <si>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</si>
  <si>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</si>
  <si>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</si>
  <si>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</si>
  <si>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</si>
  <si>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</si>
  <si>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</si>
  <si>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</si>
  <si>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</si>
  <si>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</si>
  <si>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</si>
  <si>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</si>
  <si>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</si>
  <si>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</si>
  <si>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</si>
  <si>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</si>
  <si>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</si>
  <si>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</si>
  <si>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</si>
  <si>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</si>
  <si>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</si>
  <si>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</si>
  <si>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</si>
  <si>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</si>
  <si>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</si>
  <si>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</si>
  <si>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</si>
  <si>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</si>
  <si>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</si>
  <si>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</si>
  <si>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</si>
  <si>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</si>
  <si>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</si>
  <si>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</si>
  <si>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</si>
  <si>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</si>
  <si>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</si>
  <si>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</si>
  <si>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</si>
  <si>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</si>
  <si>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</si>
  <si>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</si>
  <si>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</si>
  <si>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</si>
  <si>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</si>
  <si>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</si>
  <si>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</si>
  <si>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</si>
  <si>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</si>
  <si>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</si>
  <si>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</si>
  <si>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</si>
  <si>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</si>
  <si>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</si>
  <si>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</si>
  <si>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</si>
  <si>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</si>
  <si>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</si>
  <si>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</si>
  <si>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</si>
  <si>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</si>
  <si>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</si>
  <si>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</si>
  <si>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</si>
  <si>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</si>
  <si>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</si>
  <si>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</si>
  <si>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</si>
  <si>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</si>
  <si>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</si>
  <si>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</si>
  <si>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</si>
  <si>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</si>
  <si>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</si>
  <si>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</si>
  <si>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</si>
  <si>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</si>
  <si>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</si>
  <si>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</si>
  <si>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</si>
  <si>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</si>
  <si>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</si>
  <si>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</si>
  <si>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</si>
  <si>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</si>
  <si>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</si>
  <si>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</si>
  <si>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</si>
  <si>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</si>
  <si>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</si>
  <si>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</si>
  <si>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</si>
  <si>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</si>
  <si>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</si>
  <si>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</si>
  <si>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</si>
  <si>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</si>
  <si>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</si>
  <si>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</si>
  <si>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</si>
  <si>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</si>
  <si>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</si>
  <si>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</si>
  <si>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</si>
  <si>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</si>
  <si>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</si>
  <si>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</si>
  <si>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</si>
  <si>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</si>
  <si>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</si>
  <si>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</si>
  <si>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</si>
  <si>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</si>
  <si>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</si>
  <si>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</si>
  <si>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</si>
  <si>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</si>
  <si>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</si>
  <si>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</si>
  <si>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</si>
  <si>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</si>
  <si>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</si>
  <si>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</si>
  <si>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</si>
  <si>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</si>
  <si>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</si>
  <si>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</si>
  <si>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</si>
  <si>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</si>
  <si>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</si>
  <si>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</si>
  <si>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</si>
  <si>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</si>
  <si>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</si>
  <si>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</si>
  <si>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</si>
  <si>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</si>
  <si>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</si>
  <si>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</si>
  <si>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</si>
  <si>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</si>
  <si>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</si>
  <si>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</si>
  <si>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</si>
  <si>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</si>
  <si>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</si>
  <si>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</si>
  <si>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</si>
  <si>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</si>
  <si>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</si>
  <si>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</si>
  <si>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</si>
  <si>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</si>
  <si>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</si>
  <si>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</si>
  <si>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</si>
  <si>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</si>
  <si>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</si>
  <si>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</si>
  <si>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</si>
  <si>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</si>
  <si>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</si>
  <si>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</si>
  <si>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</si>
  <si>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</si>
  <si>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</si>
  <si>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</si>
  <si>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</si>
  <si>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</si>
  <si>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</si>
  <si>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</si>
  <si>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</si>
  <si>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</si>
  <si>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</si>
  <si>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</si>
  <si>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</si>
  <si>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</si>
  <si>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</si>
  <si>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</si>
  <si>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</si>
  <si>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</si>
  <si>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</si>
  <si>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</si>
  <si>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</si>
  <si>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</si>
  <si>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</si>
  <si>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</si>
  <si>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</si>
  <si>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</si>
  <si>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</si>
  <si>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</si>
  <si>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</si>
  <si>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</si>
  <si>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</si>
  <si>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</si>
  <si>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</si>
  <si>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</si>
  <si>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</si>
  <si>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</si>
  <si>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</si>
  <si>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</si>
  <si>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</si>
  <si>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</si>
  <si>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</si>
  <si>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</si>
  <si>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</si>
  <si>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</si>
  <si>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</si>
  <si>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</si>
  <si>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</si>
  <si>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</si>
  <si>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</si>
  <si>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</si>
  <si>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</si>
  <si>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</si>
  <si>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</si>
  <si>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</si>
  <si>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</si>
  <si>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</si>
  <si>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</si>
  <si>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</si>
  <si>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</si>
  <si>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</si>
  <si>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</si>
  <si>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</si>
  <si>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</si>
  <si>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</si>
  <si>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</si>
  <si>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</si>
  <si>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</si>
  <si>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</si>
  <si>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</si>
  <si>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</si>
  <si>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</si>
  <si>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</si>
  <si>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</si>
  <si>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</si>
  <si>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</si>
  <si>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</si>
  <si>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</si>
  <si>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</si>
  <si>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</si>
  <si>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</si>
  <si>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</si>
  <si>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</si>
  <si>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</si>
  <si>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</si>
  <si>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</si>
  <si>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</si>
  <si>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</si>
  <si>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</si>
  <si>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</si>
  <si>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</si>
  <si>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</si>
  <si>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</si>
  <si>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</si>
  <si>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</si>
  <si>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</si>
  <si>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</si>
  <si>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</si>
  <si>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</si>
  <si>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</si>
  <si>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</si>
  <si>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</si>
  <si>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</si>
  <si>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</si>
  <si>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</si>
  <si>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</si>
  <si>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</si>
  <si>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</si>
  <si>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</si>
  <si>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</si>
  <si>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</si>
  <si>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</si>
  <si>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</si>
  <si>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</si>
  <si>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</si>
  <si>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</si>
  <si>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</si>
  <si>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</si>
  <si>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</si>
  <si>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</si>
  <si>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</si>
  <si>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</si>
  <si>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</si>
  <si>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</si>
  <si>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</si>
  <si>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</si>
  <si>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</si>
  <si>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</si>
  <si>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</si>
  <si>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</si>
  <si>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</si>
  <si>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</si>
  <si>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</si>
  <si>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</si>
  <si>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</si>
  <si>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</si>
  <si>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</si>
  <si>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</si>
  <si>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</si>
  <si>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</si>
  <si>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</si>
  <si>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</si>
  <si>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</si>
  <si>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</si>
  <si>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</si>
  <si>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</si>
  <si>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</si>
  <si>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</si>
  <si>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</si>
  <si>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</si>
  <si>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</si>
  <si>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</si>
  <si>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</si>
  <si>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</si>
  <si>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</si>
  <si>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</si>
  <si>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</si>
  <si>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</si>
  <si>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</si>
  <si>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</si>
  <si>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</si>
  <si>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</si>
  <si>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</si>
  <si>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</si>
  <si>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</si>
  <si>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</si>
  <si>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</si>
  <si>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</si>
  <si>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</si>
  <si>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</si>
  <si>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</si>
  <si>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</si>
  <si>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</si>
  <si>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</si>
  <si>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</si>
  <si>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</si>
  <si>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</si>
  <si>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</si>
  <si>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</si>
  <si>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</si>
  <si>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</si>
  <si>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</si>
  <si>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</si>
  <si>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</si>
  <si>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</si>
  <si>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</si>
  <si>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</si>
  <si>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</si>
  <si>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</si>
  <si>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</si>
  <si>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</si>
  <si>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</si>
  <si>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</si>
  <si>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</si>
  <si>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</si>
  <si>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</si>
  <si>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</si>
  <si>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</si>
  <si>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</si>
  <si>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</si>
  <si>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</si>
  <si>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</si>
  <si>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</si>
  <si>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</si>
  <si>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</si>
  <si>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</si>
  <si>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</si>
  <si>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</si>
  <si>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</si>
  <si>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</si>
  <si>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</si>
  <si>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</si>
  <si>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</si>
  <si>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</si>
  <si>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</si>
  <si>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</si>
  <si>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</si>
  <si>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</si>
  <si>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</si>
  <si>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</si>
  <si>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</si>
  <si>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</si>
  <si>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</si>
  <si>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</si>
  <si>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</si>
  <si>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</si>
  <si>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</si>
  <si>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</si>
  <si>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</si>
  <si>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</si>
  <si>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</si>
  <si>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</si>
  <si>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</si>
  <si>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</si>
  <si>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</si>
  <si>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</si>
  <si>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</si>
  <si>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</si>
  <si>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</si>
  <si>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</si>
  <si>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</si>
  <si>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</si>
  <si>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</si>
  <si>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</si>
  <si>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</si>
  <si>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</si>
  <si>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</si>
  <si>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</si>
  <si>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</si>
  <si>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</si>
  <si>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</si>
  <si>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</si>
  <si>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</si>
  <si>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</si>
  <si>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</si>
  <si>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</si>
  <si>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</si>
  <si>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</si>
  <si>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</si>
  <si>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</si>
  <si>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</si>
  <si>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</si>
  <si>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</si>
  <si>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</si>
  <si>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</si>
  <si>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</si>
  <si>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</si>
  <si>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</si>
  <si>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</si>
  <si>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</si>
  <si>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</si>
  <si>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</si>
  <si>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</si>
  <si>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</si>
  <si>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</si>
  <si>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</si>
  <si>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</si>
  <si>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</si>
  <si>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</si>
  <si>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</si>
  <si>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</si>
  <si>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</si>
  <si>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</si>
  <si>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</si>
  <si>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</si>
  <si>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</si>
  <si>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</si>
  <si>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</si>
  <si>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</si>
  <si>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</si>
  <si>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</si>
  <si>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</si>
  <si>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</si>
  <si>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</si>
  <si>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</si>
  <si>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</si>
  <si>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</si>
  <si>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</si>
  <si>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</si>
  <si>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</si>
  <si>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</si>
  <si>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</si>
  <si>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</si>
  <si>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</si>
  <si>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</si>
  <si>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</si>
  <si>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</si>
  <si>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</si>
  <si>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</si>
  <si>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</si>
  <si>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</si>
  <si>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</si>
  <si>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</si>
  <si>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</si>
  <si>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</si>
  <si>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</si>
  <si>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</si>
  <si>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</si>
  <si>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</si>
  <si>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</si>
  <si>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</si>
  <si>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</si>
  <si>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</si>
  <si>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</si>
  <si>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</si>
  <si>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</si>
  <si>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</si>
  <si>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</si>
  <si>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</si>
  <si>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</si>
  <si>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</si>
  <si>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</si>
  <si>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</si>
  <si>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</si>
  <si>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</si>
  <si>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</si>
  <si>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</si>
  <si>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</si>
  <si>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</si>
  <si>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</si>
  <si>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</si>
  <si>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</si>
  <si>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</si>
  <si>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</si>
  <si>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</si>
  <si>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</si>
  <si>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</si>
  <si>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</si>
  <si>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</si>
  <si>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</si>
  <si>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</si>
  <si>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</si>
  <si>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</si>
  <si>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</si>
  <si>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</si>
  <si>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</si>
  <si>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</si>
  <si>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</si>
  <si>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</si>
  <si>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</si>
  <si>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</si>
  <si>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</si>
  <si>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</si>
  <si>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</si>
  <si>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</si>
  <si>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</si>
  <si>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</si>
  <si>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</si>
  <si>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</si>
  <si>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</si>
  <si>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</si>
  <si>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</si>
  <si>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</si>
  <si>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</si>
  <si>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</si>
  <si>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</si>
  <si>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</si>
  <si>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</si>
  <si>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</si>
  <si>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</si>
  <si>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</si>
  <si>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</si>
  <si>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</si>
  <si>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</si>
  <si>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</si>
  <si>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</si>
  <si>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</si>
  <si>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</si>
  <si>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</si>
  <si>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</si>
  <si>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</si>
  <si>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</si>
  <si>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</si>
  <si>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</si>
  <si>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</si>
  <si>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</si>
  <si>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</si>
  <si>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</si>
  <si>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</si>
  <si>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</si>
  <si>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</si>
  <si>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</si>
  <si>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</si>
  <si>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</si>
  <si>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</si>
  <si>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</si>
  <si>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</si>
  <si>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</si>
  <si>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</si>
  <si>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</si>
  <si>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</si>
  <si>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</si>
  <si>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</si>
  <si>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</si>
  <si>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</si>
  <si>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</si>
  <si>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</si>
  <si>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</si>
  <si>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</si>
  <si>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</si>
  <si>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</si>
  <si>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</si>
  <si>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</si>
  <si>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</si>
  <si>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</si>
  <si>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</si>
  <si>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</si>
  <si>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</si>
  <si>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</si>
  <si>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</si>
  <si>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</si>
  <si>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</si>
  <si>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</si>
  <si>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</si>
  <si>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</si>
  <si>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</si>
  <si>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</si>
  <si>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</si>
  <si>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</si>
  <si>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</si>
  <si>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</si>
  <si>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</si>
  <si>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</si>
  <si>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</si>
  <si>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</si>
  <si>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</si>
  <si>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</si>
  <si>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</si>
  <si>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</si>
  <si>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</si>
  <si>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</si>
  <si>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</si>
  <si>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</si>
  <si>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</si>
  <si>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</si>
  <si>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</si>
  <si>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</si>
  <si>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</si>
  <si>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</si>
  <si>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</si>
  <si>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</si>
  <si>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</si>
  <si>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</si>
  <si>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</si>
  <si>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</si>
  <si>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</si>
  <si>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</si>
  <si>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</si>
  <si>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</si>
  <si>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</si>
  <si>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</si>
  <si>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</si>
  <si>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</si>
  <si>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</si>
  <si>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</si>
  <si>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</si>
  <si>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</si>
  <si>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</si>
  <si>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</si>
  <si>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</si>
  <si>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</si>
  <si>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</si>
  <si>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</si>
  <si>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</si>
  <si>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</si>
  <si>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</si>
  <si>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</si>
  <si>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</si>
  <si>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</si>
  <si>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</si>
  <si>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</si>
  <si>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</si>
  <si>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</si>
  <si>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</si>
  <si>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</si>
  <si>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</si>
  <si>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</si>
  <si>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</si>
  <si>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</si>
  <si>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</si>
  <si>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</si>
  <si>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</si>
  <si>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</si>
  <si>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</si>
  <si>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</si>
  <si>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</si>
  <si>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</si>
  <si>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</si>
  <si>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</si>
  <si>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</si>
  <si>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</si>
  <si>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</si>
  <si>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</si>
  <si>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</si>
  <si>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</si>
  <si>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</si>
  <si>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</si>
  <si>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</si>
  <si>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</si>
  <si>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</si>
  <si>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</si>
  <si>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</si>
  <si>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</si>
  <si>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</si>
  <si>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</si>
  <si>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</si>
  <si>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</si>
  <si>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</si>
  <si>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</si>
  <si>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</si>
  <si>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</si>
  <si>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</si>
  <si>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</si>
  <si>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</si>
  <si>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</si>
  <si>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</si>
  <si>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</si>
  <si>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</si>
  <si>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</si>
  <si>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</si>
  <si>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</si>
  <si>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</si>
  <si>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</si>
  <si>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</si>
  <si>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</si>
  <si>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</si>
  <si>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</si>
  <si>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</si>
  <si>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</si>
  <si>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</si>
  <si>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</si>
  <si>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</si>
  <si>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</si>
  <si>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</si>
  <si>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</si>
  <si>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</si>
  <si>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</si>
  <si>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</si>
  <si>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</si>
  <si>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</si>
  <si>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</si>
  <si>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</si>
  <si>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</si>
  <si>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</si>
  <si>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</si>
  <si>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</si>
  <si>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</si>
  <si>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</si>
  <si>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</si>
  <si>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</si>
  <si>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</si>
  <si>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</si>
  <si>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</si>
  <si>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</si>
  <si>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</si>
  <si>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</si>
  <si>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</si>
  <si>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</si>
  <si>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</si>
  <si>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</si>
  <si>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</si>
  <si>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</si>
  <si>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</si>
  <si>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</si>
  <si>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</si>
  <si>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</si>
  <si>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</si>
  <si>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</si>
  <si>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</si>
  <si>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</si>
  <si>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</si>
  <si>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</si>
  <si>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</si>
  <si>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</si>
  <si>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</si>
  <si>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</si>
  <si>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</si>
  <si>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</si>
  <si>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</si>
  <si>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</si>
  <si>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</si>
  <si>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</si>
  <si>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</si>
  <si>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</si>
  <si>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</si>
  <si>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</si>
  <si>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</si>
  <si>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</si>
  <si>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</si>
  <si>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</si>
  <si>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</si>
  <si>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</si>
  <si>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</si>
  <si>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</si>
  <si>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</si>
  <si>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</si>
  <si>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</si>
  <si>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</si>
  <si>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</si>
  <si>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</si>
  <si>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</si>
  <si>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</si>
  <si>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</si>
  <si>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</si>
  <si>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</si>
  <si>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</si>
  <si>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</si>
  <si>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</si>
  <si>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</si>
  <si>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</si>
  <si>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</si>
  <si>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</si>
  <si>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</si>
  <si>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</si>
  <si>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</si>
  <si>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</si>
  <si>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</si>
  <si>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</si>
  <si>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</si>
  <si>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</si>
  <si>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</si>
  <si>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</si>
  <si>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</si>
  <si>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</si>
  <si>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</si>
  <si>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</si>
  <si>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</si>
  <si>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</si>
  <si>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</si>
  <si>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</si>
  <si>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</si>
  <si>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</si>
  <si>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</si>
  <si>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</si>
  <si>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</si>
  <si>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</si>
  <si>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</si>
  <si>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</si>
  <si>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</si>
  <si>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</si>
  <si>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</si>
  <si>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</si>
  <si>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</si>
  <si>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</si>
  <si>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</si>
  <si>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</si>
  <si>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</si>
  <si>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</si>
  <si>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</si>
  <si>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</si>
  <si>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</si>
  <si>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</si>
  <si>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</si>
  <si>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</si>
  <si>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</si>
  <si>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</si>
  <si>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</si>
  <si>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</si>
  <si>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</si>
  <si>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</si>
  <si>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</si>
  <si>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</si>
  <si>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</si>
  <si>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</si>
  <si>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</si>
  <si>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</si>
  <si>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</si>
  <si>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</si>
  <si>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</si>
  <si>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</si>
  <si>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</si>
  <si>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</si>
  <si>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</si>
  <si>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</si>
  <si>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</si>
  <si>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</si>
  <si>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</si>
  <si>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</si>
  <si>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</si>
  <si>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</si>
  <si>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</si>
  <si>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</si>
  <si>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</si>
  <si>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</si>
  <si>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</si>
  <si>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</si>
  <si>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</si>
  <si>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</si>
  <si>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</si>
  <si>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</si>
  <si>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</si>
  <si>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</si>
  <si>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</si>
  <si>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</si>
  <si>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</si>
  <si>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</si>
  <si>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</si>
  <si>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</si>
  <si>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</si>
  <si>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</si>
  <si>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</si>
  <si>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</si>
  <si>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</si>
  <si>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</si>
  <si>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</si>
  <si>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</si>
  <si>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</si>
  <si>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</si>
  <si>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</si>
  <si>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</si>
  <si>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</si>
  <si>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</si>
  <si>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</si>
  <si>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</si>
  <si>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</si>
  <si>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</si>
  <si>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</si>
  <si>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</si>
  <si>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</si>
  <si>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</si>
  <si>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</si>
  <si>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</si>
  <si>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</si>
  <si>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</si>
  <si>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</si>
  <si>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</si>
  <si>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</si>
  <si>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</si>
  <si>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</si>
  <si>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</si>
  <si>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</si>
  <si>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</si>
  <si>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</si>
  <si>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</si>
  <si>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</si>
  <si>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</si>
  <si>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</si>
  <si>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</si>
  <si>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</si>
  <si>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</si>
  <si>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</si>
  <si>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</si>
  <si>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</si>
  <si>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</si>
  <si>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</si>
  <si>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</si>
  <si>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</si>
  <si>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</si>
  <si>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</si>
  <si>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</si>
  <si>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</si>
  <si>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</si>
  <si>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</si>
  <si>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</si>
  <si>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</si>
  <si>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</si>
  <si>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</si>
  <si>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</si>
  <si>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</si>
  <si>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</si>
  <si>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</si>
  <si>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</si>
  <si>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</si>
  <si>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</si>
  <si>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</si>
  <si>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</si>
  <si>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</si>
  <si>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</si>
  <si>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</si>
  <si>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</si>
  <si>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</si>
  <si>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</si>
  <si>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</si>
  <si>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</si>
  <si>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</si>
  <si>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</si>
  <si>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</si>
  <si>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</si>
  <si>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</si>
  <si>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</si>
  <si>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</si>
  <si>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</si>
  <si>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</si>
  <si>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</si>
  <si>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</si>
  <si>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</si>
  <si>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</si>
  <si>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</si>
  <si>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</si>
  <si>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</si>
  <si>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</si>
  <si>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</si>
  <si>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</si>
  <si>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</si>
  <si>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</si>
  <si>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</si>
  <si>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</si>
  <si>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</si>
  <si>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</si>
  <si>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</si>
  <si>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</si>
  <si>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</si>
  <si>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</si>
  <si>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</si>
  <si>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</si>
  <si>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</si>
  <si>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</si>
  <si>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</si>
  <si>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</si>
  <si>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</si>
  <si>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</si>
  <si>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</si>
  <si>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</si>
  <si>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</si>
  <si>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</si>
  <si>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</si>
  <si>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</si>
  <si>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</si>
  <si>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</si>
  <si>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</si>
  <si>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</si>
  <si>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</si>
  <si>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</si>
  <si>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</si>
  <si>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</si>
  <si>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</si>
  <si>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</si>
  <si>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</si>
  <si>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</si>
  <si>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</si>
  <si>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</si>
  <si>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</si>
  <si>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</si>
  <si>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</si>
  <si>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</si>
  <si>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</si>
  <si>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</si>
  <si>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</si>
  <si>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</si>
  <si>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</si>
  <si>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</si>
  <si>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</si>
  <si>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</si>
  <si>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</si>
  <si>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</si>
  <si>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</si>
  <si>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</si>
  <si>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</si>
  <si>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</si>
  <si>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</si>
  <si>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</si>
  <si>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</si>
  <si>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</si>
  <si>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</si>
  <si>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</si>
  <si>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</si>
  <si>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</si>
  <si>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</si>
  <si>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</si>
  <si>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</si>
  <si>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</si>
  <si>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</si>
  <si>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</si>
  <si>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</si>
  <si>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</si>
  <si>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</si>
  <si>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</si>
  <si>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</si>
  <si>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</si>
  <si>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</si>
  <si>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</si>
  <si>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</si>
  <si>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</si>
  <si>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</si>
  <si>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</si>
  <si>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</si>
  <si>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</si>
  <si>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</si>
  <si>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</si>
  <si>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</si>
  <si>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</si>
  <si>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</si>
  <si>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</si>
  <si>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</si>
  <si>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</si>
  <si>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</si>
  <si>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</si>
  <si>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</si>
  <si>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</si>
  <si>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</si>
  <si>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</si>
  <si>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</si>
  <si>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</si>
  <si>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</si>
  <si>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</si>
  <si>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</si>
  <si>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</si>
  <si>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</si>
  <si>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</si>
  <si>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</si>
  <si>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</si>
  <si>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</si>
  <si>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</si>
  <si>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</si>
  <si>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</si>
  <si>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</si>
  <si>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</si>
  <si>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</si>
  <si>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</si>
  <si>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</si>
  <si>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</si>
  <si>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</si>
  <si>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</si>
  <si>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</si>
  <si>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</si>
  <si>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</si>
  <si>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</si>
  <si>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</si>
  <si>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</si>
  <si>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</si>
  <si>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</si>
  <si>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</si>
  <si>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</si>
  <si>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</si>
  <si>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</si>
  <si>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</si>
  <si>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</si>
  <si>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</si>
  <si>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</si>
  <si>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</si>
  <si>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</si>
  <si>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</si>
  <si>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</si>
  <si>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</si>
  <si>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</si>
  <si>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</si>
  <si>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</si>
  <si>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</si>
  <si>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</si>
  <si>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</si>
  <si>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</si>
  <si>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</si>
  <si>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</si>
  <si>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</si>
  <si>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</si>
  <si>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</si>
  <si>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</si>
  <si>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</si>
  <si>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</si>
  <si>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</si>
  <si>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</si>
  <si>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</si>
  <si>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</si>
  <si>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</si>
  <si>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</si>
  <si>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</si>
  <si>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</si>
  <si>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</si>
  <si>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</si>
  <si>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</si>
  <si>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</si>
  <si>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</si>
  <si>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</si>
  <si>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</si>
  <si>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</si>
  <si>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</si>
  <si>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</si>
  <si>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</si>
  <si>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</si>
  <si>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</si>
  <si>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</si>
  <si>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</si>
  <si>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</si>
  <si>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</si>
  <si>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</si>
  <si>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</si>
  <si>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</si>
  <si>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</si>
  <si>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</si>
  <si>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</si>
  <si>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</si>
  <si>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</si>
  <si>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</si>
  <si>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</si>
  <si>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</si>
  <si>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</si>
  <si>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</si>
  <si>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</si>
  <si>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</si>
  <si>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</si>
  <si>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</si>
  <si>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</si>
  <si>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</si>
  <si>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</si>
  <si>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</si>
  <si>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</si>
  <si>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</si>
  <si>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</si>
  <si>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</si>
  <si>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</si>
  <si>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</si>
  <si>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</si>
  <si>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</si>
  <si>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</si>
  <si>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</si>
  <si>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</si>
  <si>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</si>
  <si>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</si>
  <si>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</si>
  <si>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</si>
  <si>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</si>
  <si>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</si>
  <si>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</si>
  <si>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</si>
  <si>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</si>
  <si>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</si>
  <si>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</si>
  <si>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</si>
  <si>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</si>
  <si>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</si>
  <si>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</si>
  <si>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</si>
  <si>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</si>
  <si>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</si>
  <si>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</si>
  <si>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</si>
  <si>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</si>
  <si>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</si>
  <si>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</si>
  <si>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</si>
  <si>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</si>
  <si>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</si>
  <si>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</si>
  <si>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</si>
  <si>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</si>
  <si>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</si>
  <si>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</si>
  <si>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</si>
  <si>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</si>
  <si>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</si>
  <si>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</si>
  <si>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</si>
  <si>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</si>
  <si>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</si>
  <si>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</si>
  <si>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</si>
  <si>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</si>
  <si>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</si>
  <si>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</si>
  <si>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</si>
  <si>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</si>
  <si>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</si>
  <si>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</si>
  <si>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</si>
  <si>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</si>
  <si>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</si>
  <si>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</si>
  <si>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</si>
  <si>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</si>
  <si>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</si>
  <si>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</si>
  <si>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</si>
  <si>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</si>
  <si>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</si>
  <si>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</si>
  <si>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</si>
  <si>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</si>
  <si>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</si>
  <si>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</si>
  <si>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</si>
  <si>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</si>
  <si>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</si>
  <si>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</si>
  <si>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</si>
  <si>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</si>
  <si>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</si>
  <si>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</si>
  <si>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</si>
  <si>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</si>
  <si>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</si>
  <si>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</si>
  <si>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</si>
  <si>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</si>
  <si>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</si>
  <si>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</si>
  <si>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</si>
  <si>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</si>
  <si>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</si>
  <si>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</si>
  <si>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</si>
  <si>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</si>
  <si>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</si>
  <si>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</si>
  <si>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</si>
  <si>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</si>
  <si>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</si>
  <si>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</si>
  <si>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</si>
  <si>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</si>
  <si>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</si>
  <si>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</si>
  <si>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</si>
  <si>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</si>
  <si>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</si>
  <si>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</si>
  <si>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</si>
  <si>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</si>
  <si>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</si>
  <si>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</si>
  <si>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</si>
  <si>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</si>
  <si>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</si>
  <si>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</si>
  <si>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</si>
  <si>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</si>
  <si>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</si>
  <si>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</si>
  <si>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</si>
  <si>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</si>
  <si>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</si>
  <si>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</si>
  <si>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</si>
  <si>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</si>
  <si>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</si>
  <si>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</si>
  <si>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</si>
  <si>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</si>
  <si>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</si>
  <si>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</si>
  <si>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</si>
  <si>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</si>
  <si>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</si>
  <si>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</si>
  <si>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</si>
  <si>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</si>
  <si>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</si>
  <si>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</si>
  <si>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</si>
  <si>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</si>
  <si>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</si>
  <si>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</si>
  <si>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</si>
  <si>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</si>
  <si>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</si>
  <si>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</si>
  <si>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</si>
  <si>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</si>
  <si>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</si>
  <si>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</si>
  <si>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</si>
  <si>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</si>
  <si>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</si>
  <si>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</si>
  <si>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</si>
  <si>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</si>
  <si>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</si>
  <si>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</si>
  <si>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</si>
  <si>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</si>
  <si>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</si>
  <si>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</si>
  <si>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</si>
  <si>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</si>
  <si>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</si>
  <si>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</si>
  <si>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</si>
  <si>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</si>
  <si>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</si>
  <si>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</si>
  <si>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</si>
  <si>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</si>
  <si>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</si>
  <si>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</si>
  <si>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</si>
  <si>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</si>
  <si>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</si>
  <si>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</si>
  <si>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</si>
  <si>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</si>
  <si>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</si>
  <si>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</si>
  <si>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</si>
  <si>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</si>
  <si>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</si>
  <si>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</si>
  <si>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</si>
  <si>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</si>
  <si>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</si>
  <si>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</si>
  <si>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</si>
  <si>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</si>
  <si>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</si>
  <si>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</si>
  <si>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</si>
  <si>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</si>
  <si>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</si>
  <si>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</si>
  <si>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</si>
  <si>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</si>
  <si>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</si>
  <si>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</si>
  <si>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</si>
  <si>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</si>
  <si>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</si>
  <si>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</si>
  <si>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</si>
  <si>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</si>
  <si>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</si>
  <si>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</si>
  <si>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</si>
  <si>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</si>
  <si>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</si>
  <si>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</si>
  <si>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</si>
  <si>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</si>
  <si>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</si>
  <si>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</si>
  <si>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</si>
  <si>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</si>
  <si>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</si>
  <si>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</si>
  <si>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</si>
  <si>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</si>
  <si>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</si>
  <si>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</si>
  <si>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</si>
  <si>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</si>
  <si>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</si>
  <si>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</si>
  <si>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</si>
  <si>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</si>
  <si>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</si>
  <si>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</si>
  <si>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</si>
  <si>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</si>
  <si>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</si>
  <si>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</si>
  <si>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</si>
  <si>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</si>
  <si>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</si>
  <si>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</si>
  <si>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</si>
  <si>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</si>
  <si>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</si>
  <si>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</si>
  <si>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</si>
  <si>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</si>
  <si>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</si>
  <si>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</si>
  <si>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</si>
  <si>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</si>
  <si>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</si>
  <si>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</si>
  <si>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</si>
  <si>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</si>
  <si>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</si>
  <si>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</si>
  <si>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</si>
  <si>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</si>
  <si>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</si>
  <si>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</si>
  <si>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</si>
  <si>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</si>
  <si>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</si>
  <si>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</si>
  <si>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</si>
  <si>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</si>
  <si>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</si>
  <si>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</si>
  <si>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</si>
  <si>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</si>
  <si>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</si>
  <si>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</si>
  <si>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</si>
  <si>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</si>
  <si>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</si>
  <si>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</si>
  <si>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</si>
  <si>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</si>
  <si>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</si>
  <si>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</si>
  <si>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</si>
  <si>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</si>
  <si>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</si>
  <si>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</si>
  <si>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</si>
  <si>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</si>
  <si>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</si>
  <si>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</si>
  <si>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</si>
  <si>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</si>
  <si>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</si>
  <si>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</si>
  <si>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</si>
  <si>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</si>
  <si>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</si>
  <si>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</si>
  <si>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</si>
  <si>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</si>
  <si>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</si>
  <si>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</si>
  <si>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</si>
  <si>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</si>
  <si>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</si>
  <si>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</si>
  <si>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</si>
  <si>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</si>
  <si>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</si>
  <si>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</si>
  <si>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</si>
  <si>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</si>
  <si>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</si>
  <si>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</si>
  <si>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</si>
  <si>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</si>
  <si>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</si>
  <si>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</si>
  <si>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</si>
  <si>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</si>
  <si>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</si>
  <si>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</si>
  <si>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</si>
  <si>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</si>
  <si>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</si>
  <si>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</si>
  <si>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</si>
  <si>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</si>
  <si>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</si>
  <si>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</si>
  <si>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</si>
  <si>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</si>
  <si>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</si>
  <si>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</si>
  <si>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</si>
  <si>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</si>
  <si>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</si>
  <si>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</si>
  <si>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</si>
  <si>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</si>
  <si>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</si>
  <si>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</si>
  <si>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</si>
  <si>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</si>
  <si>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</si>
  <si>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</si>
  <si>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</si>
  <si>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</si>
  <si>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</si>
  <si>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</si>
  <si>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</si>
  <si>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</si>
  <si>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</si>
  <si>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</si>
  <si>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</si>
  <si>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</si>
  <si>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</si>
  <si>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</si>
  <si>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</si>
  <si>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</si>
  <si>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</si>
  <si>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</si>
  <si>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</si>
  <si>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</si>
  <si>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</si>
  <si>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</si>
  <si>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</si>
  <si>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</si>
  <si>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</si>
  <si>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</si>
  <si>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</si>
  <si>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</si>
  <si>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</si>
  <si>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</si>
  <si>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</si>
  <si>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</si>
  <si>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</si>
  <si>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</si>
  <si>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</si>
  <si>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</si>
  <si>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</si>
  <si>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</si>
  <si>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</si>
  <si>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</si>
  <si>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</si>
  <si>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</si>
  <si>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</si>
  <si>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</si>
  <si>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</si>
  <si>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</si>
  <si>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</si>
  <si>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</si>
  <si>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</si>
  <si>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</si>
  <si>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</si>
  <si>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</si>
  <si>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</si>
  <si>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</si>
  <si>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</si>
  <si>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</si>
  <si>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</si>
  <si>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</si>
  <si>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</si>
  <si>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</si>
  <si>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</si>
  <si>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</si>
  <si>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</si>
  <si>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</si>
  <si>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</si>
  <si>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</si>
  <si>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</si>
  <si>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</si>
  <si>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</si>
  <si>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</si>
  <si>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</si>
  <si>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</si>
  <si>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</si>
  <si>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</si>
  <si>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</si>
  <si>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</si>
  <si>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</si>
  <si>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</si>
  <si>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</si>
  <si>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</si>
  <si>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</si>
  <si>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</si>
  <si>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</si>
  <si>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</si>
  <si>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</si>
  <si>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</si>
  <si>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</si>
  <si>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</si>
  <si>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</si>
  <si>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</si>
  <si>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</si>
  <si>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</si>
  <si>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</si>
  <si>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</si>
  <si>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</si>
  <si>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</si>
  <si>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</si>
  <si>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</si>
  <si>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</si>
  <si>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</si>
  <si>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</si>
  <si>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</si>
  <si>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</si>
  <si>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</si>
  <si>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</si>
  <si>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</si>
  <si>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</si>
  <si>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</si>
  <si>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</si>
  <si>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</si>
  <si>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</si>
  <si>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</si>
  <si>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</si>
  <si>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</si>
  <si>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</si>
  <si>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</si>
  <si>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</si>
  <si>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</si>
  <si>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</si>
  <si>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</si>
  <si>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</si>
  <si>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</si>
  <si>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</si>
  <si>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</si>
  <si>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</si>
  <si>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</si>
  <si>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</si>
  <si>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</si>
  <si>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</si>
  <si>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</si>
  <si>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</si>
  <si>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</si>
  <si>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</si>
  <si>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</si>
  <si>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</si>
  <si>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</si>
  <si>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</si>
  <si>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</si>
  <si>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</si>
  <si>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</si>
  <si>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</si>
  <si>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</si>
  <si>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</si>
  <si>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</si>
  <si>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</si>
  <si>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</si>
  <si>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</si>
  <si>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</si>
  <si>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</si>
  <si>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</si>
  <si>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</si>
  <si>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</si>
  <si>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</si>
  <si>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</si>
  <si>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</si>
  <si>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</si>
  <si>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</si>
  <si>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</si>
  <si>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</si>
  <si>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</si>
  <si>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</si>
  <si>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</si>
  <si>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</si>
  <si>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</si>
  <si>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</si>
  <si>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</si>
  <si>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</si>
  <si>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</si>
  <si>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</si>
  <si>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</si>
  <si>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</si>
  <si>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</si>
  <si>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</si>
  <si>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</si>
  <si>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</si>
  <si>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</si>
  <si>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</si>
  <si>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</si>
  <si>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</si>
  <si>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</si>
  <si>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</si>
  <si>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</si>
  <si>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</si>
  <si>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</si>
  <si>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</si>
  <si>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</si>
  <si>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</si>
  <si>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</si>
  <si>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</si>
  <si>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</si>
  <si>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</si>
  <si>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</si>
  <si>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</si>
  <si>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</si>
  <si>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</si>
  <si>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</si>
  <si>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</si>
  <si>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</si>
  <si>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</si>
  <si>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</si>
  <si>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</si>
  <si>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</si>
  <si>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</si>
  <si>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</si>
  <si>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</si>
  <si>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</si>
  <si>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</si>
  <si>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</si>
  <si>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</si>
  <si>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</si>
  <si>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</si>
  <si>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</si>
  <si>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</si>
  <si>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</si>
  <si>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</si>
  <si>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</si>
  <si>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</si>
  <si>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</si>
  <si>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</si>
  <si>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</si>
  <si>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</si>
  <si>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</si>
  <si>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</si>
  <si>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</si>
  <si>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</si>
  <si>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</si>
  <si>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</si>
  <si>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</si>
  <si>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</si>
  <si>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</si>
  <si>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</si>
  <si>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</si>
  <si>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</si>
  <si>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</si>
  <si>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</si>
  <si>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</si>
  <si>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</si>
  <si>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</si>
  <si>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</si>
  <si>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</si>
  <si>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</si>
  <si>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</si>
  <si>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</si>
  <si>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</si>
  <si>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</si>
  <si>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</si>
  <si>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</si>
  <si>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</si>
  <si>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</si>
  <si>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</si>
  <si>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</si>
  <si>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</si>
  <si>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</si>
  <si>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</si>
  <si>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</si>
  <si>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</si>
  <si>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</si>
  <si>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</si>
  <si>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</si>
  <si>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</si>
  <si>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</si>
  <si>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</si>
  <si>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</si>
  <si>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</si>
  <si>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</si>
  <si>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</si>
  <si>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</si>
  <si>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</si>
  <si>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</si>
  <si>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</si>
  <si>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</si>
  <si>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</si>
  <si>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</si>
  <si>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</si>
  <si>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</si>
  <si>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</si>
  <si>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</si>
  <si>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</si>
  <si>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</si>
  <si>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</si>
  <si>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</si>
  <si>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</si>
  <si>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</si>
  <si>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</si>
  <si>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</si>
  <si>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</si>
  <si>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</si>
  <si>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</si>
  <si>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</si>
  <si>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</si>
  <si>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</si>
  <si>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</si>
  <si>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</si>
  <si>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</si>
  <si>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</si>
  <si>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</si>
  <si>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</si>
  <si>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</si>
  <si>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</si>
  <si>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</si>
  <si>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</si>
  <si>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</si>
  <si>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</si>
  <si>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</si>
  <si>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</si>
  <si>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</si>
  <si>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</si>
  <si>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</si>
  <si>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</si>
  <si>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</si>
  <si>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</si>
  <si>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</si>
  <si>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</si>
  <si>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</si>
  <si>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</si>
  <si>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</si>
  <si>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</si>
  <si>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</si>
  <si>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</si>
  <si>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</si>
  <si>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</si>
  <si>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</si>
  <si>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</si>
  <si>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</si>
  <si>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</si>
  <si>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</si>
  <si>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</si>
  <si>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</si>
  <si>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</si>
  <si>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</si>
  <si>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</si>
  <si>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</si>
  <si>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</si>
  <si>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</si>
  <si>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</si>
  <si>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</si>
  <si>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</si>
  <si>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</si>
  <si>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</si>
  <si>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</si>
  <si>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</si>
  <si>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</si>
  <si>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</si>
  <si>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</si>
  <si>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</si>
  <si>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</si>
  <si>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</si>
  <si>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</si>
  <si>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</si>
  <si>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</si>
  <si>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</si>
  <si>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</si>
  <si>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</si>
  <si>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</si>
  <si>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</si>
  <si>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</si>
  <si>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</si>
  <si>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</si>
  <si>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</si>
  <si>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</si>
  <si>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</si>
  <si>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</si>
  <si>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</si>
  <si>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</si>
  <si>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</si>
  <si>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</si>
  <si>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</si>
  <si>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</si>
  <si>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</si>
  <si>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</si>
  <si>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</si>
  <si>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</si>
  <si>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</si>
  <si>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</si>
  <si>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</si>
  <si>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</si>
  <si>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</si>
  <si>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</si>
  <si>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</si>
  <si>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</si>
  <si>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</si>
  <si>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</si>
  <si>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</si>
  <si>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</si>
  <si>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</si>
  <si>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</si>
  <si>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</si>
  <si>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</si>
  <si>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</si>
  <si>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</si>
  <si>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</si>
  <si>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</si>
  <si>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</si>
  <si>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</si>
  <si>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</si>
  <si>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</si>
  <si>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</si>
  <si>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</si>
  <si>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</si>
  <si>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</si>
  <si>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</si>
  <si>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</si>
  <si>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</si>
  <si>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</si>
  <si>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</si>
  <si>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</si>
  <si>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</si>
  <si>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</si>
  <si>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</si>
  <si>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</si>
  <si>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</si>
  <si>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</si>
  <si>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</si>
  <si>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</si>
  <si>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</si>
  <si>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</si>
  <si>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</si>
  <si>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</si>
  <si>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</si>
  <si>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</si>
  <si>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</si>
  <si>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</si>
  <si>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</si>
  <si>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</si>
  <si>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</si>
  <si>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</si>
  <si>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</si>
  <si>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</si>
  <si>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</si>
  <si>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</si>
  <si>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</si>
  <si>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</si>
  <si>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</si>
  <si>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</si>
  <si>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</si>
  <si>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</si>
  <si>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</si>
  <si>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</si>
  <si>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</si>
  <si>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</si>
  <si>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</si>
  <si>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</si>
  <si>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</si>
  <si>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</si>
  <si>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</si>
  <si>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</si>
  <si>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</si>
  <si>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</si>
  <si>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</si>
  <si>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</si>
  <si>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</si>
  <si>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</si>
  <si>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</si>
  <si>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</si>
  <si>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</si>
  <si>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</si>
  <si>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</si>
  <si>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</si>
  <si>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</si>
  <si>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</si>
  <si>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</si>
  <si>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</si>
  <si>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</si>
  <si>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</si>
  <si>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</si>
  <si>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</si>
  <si>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</si>
  <si>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</si>
  <si>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</si>
  <si>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</si>
  <si>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</si>
  <si>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</si>
  <si>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</si>
  <si>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</si>
  <si>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</si>
  <si>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</si>
  <si>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</si>
  <si>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</si>
  <si>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</si>
  <si>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</si>
  <si>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</si>
  <si>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</si>
  <si>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</si>
  <si>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</si>
  <si>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</si>
  <si>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</si>
  <si>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</si>
  <si>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</si>
  <si>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</si>
  <si>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</si>
  <si>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</si>
  <si>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</si>
  <si>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</si>
  <si>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</si>
  <si>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</si>
  <si>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</si>
  <si>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</si>
  <si>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</si>
  <si>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</si>
  <si>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</si>
  <si>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</si>
  <si>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</si>
  <si>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</si>
  <si>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</si>
  <si>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</si>
  <si>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</si>
  <si>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</si>
  <si>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</si>
  <si>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</si>
  <si>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</si>
  <si>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</si>
  <si>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</si>
  <si>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</si>
  <si>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</si>
  <si>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</si>
  <si>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</si>
  <si>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</si>
  <si>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</si>
  <si>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</si>
  <si>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</si>
  <si>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</si>
  <si>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</si>
  <si>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</si>
  <si>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</si>
  <si>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</si>
  <si>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</si>
  <si>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</si>
  <si>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</si>
  <si>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</si>
  <si>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</si>
  <si>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</si>
  <si>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</si>
  <si>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</si>
  <si>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</si>
  <si>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</si>
  <si>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</si>
  <si>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</si>
  <si>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</si>
  <si>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</si>
  <si>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</si>
  <si>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</si>
  <si>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</si>
  <si>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</si>
  <si>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</si>
  <si>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</si>
  <si>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</si>
  <si>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</si>
  <si>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</si>
  <si>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</si>
  <si>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</si>
  <si>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</si>
  <si>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</si>
  <si>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</si>
  <si>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</si>
  <si>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</si>
  <si>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</si>
  <si>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</si>
  <si>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</si>
  <si>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</si>
  <si>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</si>
  <si>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</si>
  <si>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</si>
  <si>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</si>
  <si>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</si>
  <si>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</si>
  <si>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</si>
  <si>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</si>
  <si>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</si>
  <si>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</si>
  <si>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</si>
  <si>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</si>
  <si>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</si>
  <si>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</si>
  <si>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</si>
  <si>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</si>
  <si>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</si>
  <si>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</si>
  <si>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</si>
  <si>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</si>
  <si>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</si>
  <si>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</si>
  <si>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</si>
  <si>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</si>
  <si>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</si>
  <si>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</si>
  <si>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</si>
  <si>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</si>
  <si>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</si>
  <si>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</si>
  <si>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</si>
  <si>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</si>
  <si>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</si>
  <si>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</si>
  <si>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</si>
  <si>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</si>
  <si>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</si>
  <si>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</si>
  <si>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</si>
  <si>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</si>
  <si>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</si>
  <si>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</si>
  <si>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</si>
  <si>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</si>
  <si>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</si>
  <si>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</si>
  <si>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</si>
  <si>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</si>
  <si>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</si>
  <si>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</si>
  <si>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</si>
  <si>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</si>
  <si>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</si>
  <si>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</si>
  <si>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</si>
  <si>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</si>
  <si>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</si>
  <si>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</si>
  <si>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</si>
  <si>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</si>
  <si>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</si>
  <si>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</si>
  <si>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</si>
  <si>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</si>
  <si>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</si>
  <si>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</si>
  <si>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</si>
  <si>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</si>
  <si>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</si>
  <si>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</si>
  <si>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</si>
  <si>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</si>
  <si>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</si>
  <si>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</si>
  <si>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</si>
  <si>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</si>
  <si>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</si>
  <si>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</si>
  <si>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</si>
  <si>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</si>
  <si>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</si>
  <si>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</si>
  <si>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</si>
  <si>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</si>
  <si>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</si>
  <si>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</si>
  <si>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</si>
  <si>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</si>
  <si>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</si>
  <si>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</si>
  <si>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</si>
  <si>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</si>
  <si>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</si>
  <si>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</si>
  <si>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</si>
  <si>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</si>
  <si>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</si>
  <si>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</si>
  <si>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</si>
  <si>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</si>
  <si>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</si>
  <si>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</si>
  <si>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</si>
  <si>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</si>
  <si>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</si>
  <si>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</si>
  <si>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</si>
  <si>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</si>
  <si>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</si>
  <si>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</si>
  <si>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</si>
  <si>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</si>
  <si>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</si>
  <si>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</si>
  <si>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</si>
  <si>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</si>
  <si>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</si>
  <si>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</si>
  <si>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</si>
  <si>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</si>
  <si>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</si>
  <si>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</si>
  <si>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</si>
  <si>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</si>
  <si>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</si>
  <si>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</si>
  <si>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</si>
  <si>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</si>
  <si>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</si>
  <si>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</si>
  <si>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</si>
  <si>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</si>
  <si>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</si>
  <si>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</si>
  <si>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</si>
  <si>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</si>
  <si>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</si>
  <si>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</si>
  <si>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</si>
  <si>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</si>
  <si>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</si>
  <si>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</si>
  <si>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</si>
  <si>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</si>
  <si>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</si>
  <si>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</si>
  <si>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</si>
  <si>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</si>
  <si>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</si>
  <si>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</si>
  <si>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</si>
  <si>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</si>
  <si>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</si>
  <si>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</si>
  <si>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</si>
  <si>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</si>
  <si>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</si>
  <si>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</si>
  <si>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</si>
  <si>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</si>
  <si>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</si>
  <si>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</si>
  <si>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</si>
  <si>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</si>
  <si>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</si>
  <si>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</si>
  <si>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</si>
  <si>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</si>
  <si>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</si>
  <si>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</si>
  <si>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</si>
  <si>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</si>
  <si>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</si>
  <si>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</si>
  <si>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</si>
  <si>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</si>
  <si>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</si>
  <si>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</si>
  <si>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</si>
  <si>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</si>
  <si>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</si>
  <si>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</si>
  <si>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</si>
  <si>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</si>
  <si>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</si>
  <si>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</si>
  <si>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</si>
  <si>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</si>
  <si>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</si>
  <si>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</si>
  <si>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</si>
  <si>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</si>
  <si>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</si>
  <si>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</si>
  <si>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</si>
  <si>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</si>
  <si>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</si>
  <si>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</si>
  <si>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</si>
  <si>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</si>
  <si>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</si>
  <si>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</si>
  <si>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</si>
  <si>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</si>
  <si>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</si>
  <si>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</si>
  <si>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</si>
  <si>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</si>
  <si>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</si>
  <si>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</si>
  <si>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</si>
  <si>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</si>
  <si>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</si>
  <si>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</si>
  <si>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</si>
  <si>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</si>
  <si>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</si>
  <si>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</si>
  <si>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</si>
  <si>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</si>
  <si>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</si>
  <si>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</si>
  <si>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</si>
  <si>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</si>
  <si>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</si>
  <si>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</si>
  <si>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</si>
  <si>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</si>
  <si>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</si>
  <si>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</si>
  <si>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</si>
  <si>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</si>
  <si>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</si>
  <si>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</si>
  <si>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</si>
  <si>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</si>
  <si>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</si>
  <si>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</si>
  <si>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</si>
  <si>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</si>
  <si>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</si>
  <si>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</si>
  <si>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</si>
  <si>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</si>
  <si>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</si>
  <si>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</si>
  <si>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</si>
  <si>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</si>
  <si>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</si>
  <si>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</si>
  <si>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</si>
  <si>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</si>
  <si>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</si>
  <si>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</si>
  <si>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</si>
  <si>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</si>
  <si>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</si>
  <si>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</si>
  <si>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</si>
  <si>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</si>
  <si>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</si>
  <si>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</si>
  <si>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</si>
  <si>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</si>
  <si>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</si>
  <si>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</si>
  <si>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</si>
  <si>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</si>
  <si>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</si>
  <si>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</si>
  <si>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</si>
  <si>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</si>
  <si>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</si>
  <si>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</si>
  <si>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</si>
  <si>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</si>
  <si>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</si>
  <si>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</si>
  <si>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</si>
  <si>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</si>
  <si>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</si>
  <si>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</si>
  <si>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</si>
  <si>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</si>
  <si>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</si>
  <si>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</si>
  <si>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</si>
  <si>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</si>
  <si>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</si>
  <si>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</si>
  <si>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</si>
  <si>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</si>
  <si>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</si>
  <si>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</si>
  <si>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</si>
  <si>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</si>
  <si>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</si>
  <si>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</si>
  <si>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</si>
  <si>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</si>
  <si>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</si>
  <si>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</si>
  <si>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</si>
  <si>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</si>
  <si>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</si>
  <si>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</si>
  <si>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</si>
  <si>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</si>
  <si>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</si>
  <si>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</si>
  <si>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</si>
  <si>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</si>
  <si>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</si>
  <si>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</si>
  <si>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</si>
  <si>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</si>
  <si>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</si>
  <si>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</si>
  <si>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</si>
  <si>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</si>
  <si>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</si>
  <si>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</si>
  <si>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</si>
  <si>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</si>
  <si>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</si>
  <si>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</si>
  <si>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</si>
  <si>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</si>
  <si>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</si>
  <si>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</si>
  <si>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</si>
  <si>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</si>
  <si>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</si>
  <si>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</si>
  <si>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</si>
  <si>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</si>
  <si>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</si>
  <si>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</si>
  <si>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</si>
  <si>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</si>
  <si>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</si>
  <si>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</si>
  <si>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</si>
  <si>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</si>
  <si>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</si>
  <si>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</si>
  <si>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</si>
  <si>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</si>
  <si>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</si>
  <si>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</si>
  <si>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</si>
  <si>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</si>
  <si>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</si>
  <si>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</si>
  <si>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</si>
  <si>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</si>
  <si>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</si>
  <si>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</si>
  <si>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</si>
  <si>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</si>
  <si>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</si>
  <si>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</si>
  <si>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</si>
  <si>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</si>
  <si>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</si>
  <si>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</si>
  <si>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</si>
  <si>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</si>
  <si>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</si>
  <si>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</si>
  <si>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</si>
  <si>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</si>
  <si>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</si>
  <si>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</si>
  <si>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</si>
  <si>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</si>
  <si>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</si>
  <si>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</si>
  <si>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</si>
  <si>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</si>
  <si>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</si>
  <si>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</si>
  <si>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</si>
  <si>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</si>
  <si>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</si>
  <si>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</si>
  <si>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</si>
  <si>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</si>
  <si>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</si>
  <si>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</si>
  <si>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</si>
  <si>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</si>
  <si>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</si>
  <si>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</si>
  <si>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</si>
  <si>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</si>
  <si>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</si>
  <si>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</si>
  <si>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</si>
  <si>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</si>
  <si>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</si>
  <si>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</si>
  <si>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</si>
  <si>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</si>
  <si>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</si>
  <si>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</si>
  <si>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</si>
  <si>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</si>
  <si>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</si>
  <si>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</si>
  <si>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</si>
  <si>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</si>
  <si>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</si>
  <si>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</si>
  <si>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</si>
  <si>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</si>
  <si>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</si>
  <si>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</si>
  <si>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</si>
  <si>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</si>
  <si>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</si>
  <si>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</si>
  <si>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</si>
  <si>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</si>
  <si>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</si>
  <si>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</si>
  <si>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</si>
  <si>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</si>
  <si>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</si>
  <si>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</si>
  <si>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</si>
  <si>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</si>
  <si>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</si>
  <si>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</si>
  <si>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</si>
  <si>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</si>
  <si>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</si>
  <si>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</si>
  <si>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</si>
  <si>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</si>
  <si>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</si>
  <si>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</si>
  <si>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</si>
  <si>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</si>
  <si>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</si>
  <si>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</si>
  <si>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</si>
  <si>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</si>
  <si>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</si>
  <si>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</si>
  <si>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</si>
  <si>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</si>
  <si>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</si>
  <si>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</si>
  <si>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</si>
  <si>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</si>
  <si>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</si>
  <si>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</si>
  <si>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</si>
  <si>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</si>
  <si>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</si>
  <si>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</si>
  <si>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</si>
  <si>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</si>
  <si>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</si>
  <si>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</si>
  <si>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</si>
  <si>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</si>
  <si>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</si>
  <si>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</si>
  <si>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</si>
  <si>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</si>
  <si>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</si>
  <si>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</si>
  <si>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</si>
  <si>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</si>
  <si>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</si>
  <si>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</si>
  <si>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</si>
  <si>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</si>
  <si>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</si>
  <si>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</si>
  <si>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</si>
  <si>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</si>
  <si>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</si>
  <si>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</si>
  <si>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</si>
  <si>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</si>
  <si>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</si>
  <si>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</si>
  <si>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</si>
  <si>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</si>
  <si>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</si>
  <si>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</si>
  <si>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</si>
  <si>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</si>
  <si>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</si>
  <si>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</si>
  <si>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</si>
  <si>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</si>
  <si>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</si>
  <si>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</si>
  <si>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</si>
  <si>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</si>
  <si>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</si>
  <si>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</si>
  <si>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</si>
  <si>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</si>
  <si>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</si>
  <si>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</si>
  <si>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</si>
  <si>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</si>
  <si>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</si>
  <si>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</si>
  <si>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</si>
  <si>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</si>
  <si>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</si>
  <si>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</si>
  <si>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</si>
  <si>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</si>
  <si>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</si>
  <si>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</si>
  <si>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</si>
  <si>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</si>
  <si>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</si>
  <si>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</si>
  <si>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</si>
  <si>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</si>
  <si>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</si>
  <si>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</si>
  <si>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</si>
  <si>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</si>
  <si>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</si>
  <si>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</si>
  <si>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</si>
  <si>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</si>
  <si>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</si>
  <si>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</si>
  <si>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</si>
  <si>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</si>
  <si>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</si>
  <si>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</si>
  <si>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</si>
  <si>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</si>
  <si>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</si>
  <si>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</si>
  <si>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</si>
  <si>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</si>
  <si>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</si>
  <si>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</si>
  <si>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</si>
  <si>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</si>
  <si>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</si>
  <si>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</si>
  <si>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</si>
  <si>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</si>
  <si>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</si>
  <si>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</si>
  <si>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</si>
  <si>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</si>
  <si>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</si>
  <si>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</si>
  <si>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</si>
  <si>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</si>
  <si>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</si>
  <si>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</si>
  <si>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</si>
  <si>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</si>
  <si>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</si>
  <si>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</si>
  <si>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</si>
  <si>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</si>
  <si>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</si>
  <si>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</si>
  <si>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</si>
  <si>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</si>
  <si>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</si>
  <si>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</si>
  <si>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</si>
  <si>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</si>
  <si>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</si>
  <si>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</si>
  <si>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</si>
  <si>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</si>
  <si>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</si>
  <si>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</si>
  <si>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</si>
  <si>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</si>
  <si>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</si>
  <si>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</si>
  <si>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</si>
  <si>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</si>
  <si>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</si>
  <si>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</si>
  <si>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</si>
  <si>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</si>
  <si>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</si>
  <si>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</si>
  <si>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</si>
  <si>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</si>
  <si>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</si>
  <si>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</si>
  <si>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</si>
  <si>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</si>
  <si>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</si>
  <si>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</si>
  <si>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</si>
  <si>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</si>
  <si>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</si>
  <si>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</si>
  <si>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</si>
  <si>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</si>
  <si>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</si>
  <si>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</si>
  <si>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</si>
  <si>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</si>
  <si>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</si>
  <si>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</si>
  <si>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</si>
  <si>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</si>
  <si>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</si>
  <si>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</si>
  <si>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</si>
  <si>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</si>
  <si>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</si>
  <si>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</si>
  <si>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</si>
  <si>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</si>
  <si>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</si>
  <si>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</si>
  <si>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</si>
  <si>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</si>
  <si>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</si>
  <si>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</si>
  <si>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</si>
  <si>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</si>
  <si>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</si>
  <si>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</si>
  <si>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</si>
  <si>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</si>
  <si>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</si>
  <si>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</si>
  <si>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</si>
  <si>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</si>
  <si>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</si>
  <si>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</si>
  <si>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</si>
  <si>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</si>
  <si>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</si>
  <si>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</si>
  <si>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</si>
  <si>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</si>
  <si>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</si>
  <si>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</si>
  <si>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</si>
  <si>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</si>
  <si>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</si>
  <si>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</si>
  <si>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</si>
  <si>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</si>
  <si>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</si>
  <si>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</si>
  <si>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</si>
  <si>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</si>
  <si>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</si>
  <si>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</si>
  <si>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</si>
  <si>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</si>
  <si>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</si>
  <si>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</si>
  <si>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</si>
  <si>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</si>
  <si>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</si>
  <si>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</si>
  <si>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</si>
  <si>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</si>
  <si>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</si>
  <si>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</si>
  <si>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</si>
  <si>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</si>
  <si>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</si>
  <si>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</si>
  <si>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</si>
  <si>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</si>
  <si>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</si>
  <si>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</si>
  <si>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</si>
  <si>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</si>
  <si>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</si>
  <si>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</si>
  <si>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</si>
  <si>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</si>
  <si>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</si>
  <si>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</si>
  <si>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</si>
  <si>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</si>
  <si>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</si>
  <si>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</si>
  <si>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</si>
  <si>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</si>
  <si>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</si>
  <si>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</si>
  <si>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</si>
  <si>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</si>
  <si>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</si>
  <si>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</si>
  <si>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</si>
  <si>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</si>
  <si>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</si>
  <si>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</si>
  <si>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</si>
  <si>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</si>
  <si>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</si>
  <si>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</si>
  <si>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</si>
  <si>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</si>
  <si>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</si>
  <si>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</si>
  <si>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</si>
  <si>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</si>
  <si>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</si>
  <si>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</si>
  <si>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</si>
  <si>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</si>
  <si>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</si>
  <si>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</si>
  <si>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</si>
  <si>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</si>
  <si>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</si>
  <si>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</si>
  <si>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</si>
  <si>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</si>
  <si>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</si>
  <si>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</si>
  <si>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</si>
  <si>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</si>
  <si>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</si>
  <si>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</si>
  <si>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</si>
  <si>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</si>
  <si>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</si>
  <si>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</si>
  <si>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</si>
  <si>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</si>
  <si>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</si>
  <si>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</si>
  <si>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</si>
  <si>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</si>
  <si>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</si>
  <si>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</si>
  <si>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</si>
  <si>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</si>
  <si>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</si>
  <si>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</si>
  <si>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</si>
  <si>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</si>
  <si>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</si>
  <si>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</si>
  <si>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</si>
  <si>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</si>
  <si>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</si>
  <si>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</si>
  <si>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</si>
  <si>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</si>
  <si>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</si>
  <si>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</si>
  <si>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</si>
  <si>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</si>
  <si>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</si>
  <si>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</si>
  <si>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</si>
  <si>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</si>
  <si>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</si>
  <si>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</si>
  <si>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</si>
  <si>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</si>
  <si>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</si>
  <si>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</si>
  <si>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</si>
  <si>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</si>
  <si>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</si>
  <si>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</si>
  <si>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</si>
  <si>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</si>
  <si>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</si>
  <si>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</si>
  <si>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</si>
  <si>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</si>
  <si>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</si>
  <si>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</si>
  <si>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</si>
  <si>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</si>
  <si>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</si>
  <si>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</si>
  <si>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</si>
  <si>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</si>
  <si>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</si>
  <si>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</si>
  <si>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</si>
  <si>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</si>
  <si>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</si>
  <si>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</si>
  <si>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</si>
  <si>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</si>
  <si>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</si>
  <si>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</si>
  <si>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</si>
  <si>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</si>
  <si>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</si>
  <si>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</si>
  <si>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</si>
  <si>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</si>
  <si>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</si>
  <si>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</si>
  <si>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</si>
  <si>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</si>
  <si>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</si>
  <si>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</si>
  <si>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</si>
  <si>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</si>
  <si>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</si>
  <si>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</si>
  <si>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</si>
  <si>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</si>
  <si>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</si>
  <si>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</si>
  <si>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</si>
  <si>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</si>
  <si>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</si>
  <si>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</si>
  <si>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</si>
  <si>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</si>
  <si>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</si>
  <si>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</si>
  <si>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</si>
  <si>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</si>
  <si>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</si>
  <si>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</si>
  <si>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</si>
  <si>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</si>
  <si>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</si>
  <si>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</si>
  <si>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</si>
  <si>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</si>
  <si>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</si>
  <si>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</si>
  <si>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</si>
  <si>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</si>
  <si>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</si>
  <si>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</si>
  <si>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</si>
  <si>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</si>
  <si>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</si>
  <si>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</si>
  <si>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</si>
  <si>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</si>
  <si>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</si>
  <si>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</si>
  <si>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</si>
  <si>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</si>
  <si>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</si>
  <si>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</si>
  <si>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</si>
  <si>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</si>
  <si>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</si>
  <si>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</si>
  <si>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</si>
  <si>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</si>
  <si>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</si>
  <si>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</si>
  <si>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</si>
  <si>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</si>
  <si>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</si>
  <si>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</si>
  <si>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</si>
  <si>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</si>
  <si>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</si>
  <si>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</si>
  <si>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</si>
  <si>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</si>
  <si>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</si>
  <si>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</si>
  <si>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</si>
  <si>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</si>
  <si>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</si>
  <si>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</si>
  <si>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</si>
  <si>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</si>
  <si>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</si>
  <si>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</si>
  <si>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</si>
  <si>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</si>
  <si>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</si>
  <si>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</si>
  <si>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</si>
  <si>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</si>
  <si>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</si>
  <si>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</si>
  <si>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</si>
  <si>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</si>
  <si>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</si>
  <si>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</si>
  <si>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</si>
  <si>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</si>
  <si>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</si>
  <si>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</si>
  <si>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</si>
  <si>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</si>
  <si>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</si>
  <si>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</si>
  <si>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</si>
  <si>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</si>
  <si>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</si>
  <si>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</si>
  <si>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</si>
  <si>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</si>
  <si>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</si>
  <si>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</si>
  <si>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</si>
  <si>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</si>
  <si>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</si>
  <si>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</si>
  <si>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</si>
  <si>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</si>
  <si>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</si>
  <si>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</si>
  <si>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</si>
  <si>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</si>
  <si>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</si>
  <si>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</si>
  <si>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</si>
  <si>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</si>
  <si>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</si>
  <si>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</si>
  <si>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</si>
  <si>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</si>
  <si>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</si>
  <si>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</si>
  <si>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</si>
  <si>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</si>
  <si>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</si>
  <si>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</si>
  <si>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</si>
  <si>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</si>
  <si>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</si>
  <si>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</si>
  <si>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</si>
  <si>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</si>
  <si>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</si>
  <si>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</si>
  <si>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</si>
  <si>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</si>
  <si>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</si>
  <si>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</si>
  <si>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</si>
  <si>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</si>
  <si>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</si>
  <si>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</si>
  <si>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</si>
  <si>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</si>
  <si>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</si>
  <si>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</si>
  <si>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</si>
  <si>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</si>
  <si>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</si>
  <si>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</si>
  <si>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</si>
  <si>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</si>
  <si>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</si>
  <si>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</si>
  <si>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</si>
  <si>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</si>
  <si>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</si>
  <si>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</si>
  <si>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</si>
  <si>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</si>
  <si>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</si>
  <si>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</si>
  <si>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</si>
  <si>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</si>
  <si>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</si>
  <si>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</si>
  <si>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</si>
  <si>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</si>
  <si>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</si>
  <si>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</si>
  <si>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</si>
  <si>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</si>
  <si>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</si>
  <si>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</si>
  <si>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</si>
  <si>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</si>
  <si>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</si>
  <si>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</si>
  <si>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</si>
  <si>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</si>
  <si>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</si>
  <si>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</si>
  <si>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</si>
  <si>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</si>
  <si>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</si>
  <si>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</si>
  <si>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</si>
  <si>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</si>
  <si>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</si>
  <si>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</si>
  <si>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</si>
  <si>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</si>
  <si>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</si>
  <si>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</si>
  <si>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</si>
  <si>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</si>
  <si>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</si>
  <si>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</si>
  <si>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</si>
  <si>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</si>
  <si>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</si>
  <si>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</si>
  <si>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</si>
  <si>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</si>
  <si>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</si>
  <si>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</si>
  <si>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</si>
  <si>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</si>
  <si>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</si>
  <si>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</si>
  <si>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</si>
  <si>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</si>
  <si>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</si>
  <si>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</si>
  <si>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</si>
  <si>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</si>
  <si>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</si>
  <si>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</si>
  <si>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</si>
  <si>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</si>
  <si>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</si>
  <si>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</si>
  <si>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</si>
  <si>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</si>
  <si>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</si>
  <si>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</si>
  <si>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</si>
  <si>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</si>
  <si>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</si>
  <si>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</si>
  <si>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</si>
  <si>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</si>
  <si>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</si>
  <si>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</si>
  <si>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</si>
  <si>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</si>
  <si>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</si>
  <si>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</si>
  <si>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</si>
  <si>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</si>
  <si>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</si>
  <si>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</si>
  <si>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</si>
  <si>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</si>
  <si>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</si>
  <si>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</si>
  <si>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</si>
  <si>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</si>
  <si>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</si>
  <si>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</si>
  <si>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</si>
  <si>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</si>
  <si>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</si>
  <si>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</si>
  <si>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</si>
  <si>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</si>
  <si>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</si>
  <si>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</si>
  <si>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</si>
  <si>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</si>
  <si>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</si>
  <si>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</si>
  <si>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</si>
  <si>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</si>
  <si>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</si>
  <si>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</si>
  <si>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</si>
  <si>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</si>
  <si>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</si>
  <si>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</si>
  <si>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</si>
  <si>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</si>
  <si>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</si>
  <si>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</si>
  <si>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</si>
  <si>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</si>
  <si>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</si>
  <si>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</si>
  <si>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</si>
  <si>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</si>
  <si>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</si>
  <si>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</si>
  <si>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</si>
  <si>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</si>
  <si>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</si>
  <si>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</si>
  <si>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</si>
  <si>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</si>
  <si>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</si>
  <si>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</si>
  <si>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</si>
  <si>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</si>
  <si>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</si>
  <si>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</si>
  <si>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</si>
  <si>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</si>
  <si>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</si>
  <si>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</si>
  <si>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</si>
  <si>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</si>
  <si>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</si>
  <si>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</si>
  <si>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</si>
  <si>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</si>
  <si>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</si>
  <si>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</si>
  <si>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</si>
  <si>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</si>
  <si>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</si>
  <si>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</si>
  <si>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</si>
  <si>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</si>
  <si>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</si>
  <si>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</si>
  <si>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</si>
  <si>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</si>
  <si>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</si>
  <si>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</si>
  <si>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</si>
  <si>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</si>
  <si>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</si>
  <si>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</si>
  <si>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</si>
  <si>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</si>
  <si>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</si>
  <si>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</si>
  <si>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</si>
  <si>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</si>
  <si>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</si>
  <si>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</si>
  <si>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</si>
  <si>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</si>
  <si>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</si>
  <si>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</si>
  <si>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</si>
  <si>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</si>
  <si>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</si>
  <si>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</si>
  <si>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</si>
  <si>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</si>
  <si>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</si>
  <si>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</si>
  <si>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</si>
  <si>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</si>
  <si>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</si>
  <si>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</si>
  <si>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</si>
  <si>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</si>
  <si>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</si>
  <si>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</si>
  <si>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</si>
  <si>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</si>
  <si>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</si>
  <si>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</si>
  <si>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</si>
  <si>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</si>
  <si>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</si>
  <si>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</si>
  <si>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</si>
  <si>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</si>
  <si>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</si>
  <si>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</si>
  <si>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</si>
  <si>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</si>
  <si>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</si>
  <si>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</si>
  <si>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</si>
  <si>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</si>
  <si>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</si>
  <si>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</si>
  <si>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</si>
  <si>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</si>
  <si>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</si>
  <si>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</si>
  <si>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</si>
  <si>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</si>
  <si>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</si>
  <si>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</si>
  <si>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</si>
  <si>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</si>
  <si>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</si>
  <si>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</si>
  <si>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</si>
  <si>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</si>
  <si>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</si>
  <si>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</si>
  <si>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</si>
  <si>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</si>
  <si>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</si>
  <si>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</si>
  <si>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</si>
  <si>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</si>
  <si>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</si>
  <si>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</si>
  <si>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</si>
  <si>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</si>
  <si>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</si>
  <si>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</si>
  <si>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</si>
  <si>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</si>
  <si>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</si>
  <si>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</si>
  <si>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</si>
  <si>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</si>
  <si>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</si>
  <si>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</si>
  <si>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</si>
  <si>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</si>
  <si>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</si>
  <si>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</si>
  <si>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</si>
  <si>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</si>
  <si>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</si>
  <si>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</si>
  <si>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</si>
  <si>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</si>
  <si>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</si>
  <si>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</si>
  <si>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</si>
  <si>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</si>
  <si>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</si>
  <si>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</si>
  <si>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</si>
  <si>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</si>
  <si>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</si>
  <si>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</si>
  <si>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</si>
  <si>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</si>
  <si>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</si>
  <si>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</si>
  <si>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</si>
  <si>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</si>
  <si>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</si>
  <si>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</si>
  <si>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</si>
  <si>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</si>
  <si>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</si>
  <si>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</si>
  <si>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</si>
  <si>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</si>
  <si>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</si>
  <si>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</si>
  <si>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</si>
  <si>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</si>
  <si>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</si>
  <si>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</si>
  <si>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</si>
  <si>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</si>
  <si>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</si>
  <si>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</si>
  <si>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</si>
  <si>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</si>
  <si>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</si>
  <si>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</si>
  <si>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</si>
  <si>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</si>
  <si>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</si>
  <si>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</si>
  <si>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</si>
  <si>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</si>
  <si>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</si>
  <si>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</si>
  <si>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</si>
  <si>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</si>
  <si>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</si>
  <si>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</si>
  <si>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</si>
  <si>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</si>
  <si>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</si>
  <si>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</si>
  <si>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</si>
  <si>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</si>
  <si>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</si>
  <si>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</si>
  <si>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</si>
  <si>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</si>
  <si>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</si>
  <si>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</si>
  <si>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</si>
  <si>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</si>
  <si>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</si>
  <si>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</si>
  <si>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</si>
  <si>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</si>
  <si>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</si>
  <si>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</si>
  <si>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</si>
  <si>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</si>
  <si>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</si>
  <si>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</si>
  <si>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</si>
  <si>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</si>
  <si>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</si>
  <si>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</si>
  <si>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</si>
  <si>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</si>
  <si>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</si>
  <si>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</si>
  <si>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</si>
  <si>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</si>
  <si>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</si>
  <si>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</si>
  <si>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</si>
  <si>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</si>
  <si>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</si>
  <si>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</si>
  <si>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</si>
  <si>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</si>
  <si>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</si>
  <si>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</si>
  <si>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</si>
  <si>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</si>
  <si>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</si>
  <si>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</si>
  <si>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</si>
  <si>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</si>
  <si>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</si>
  <si>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</si>
  <si>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</si>
  <si>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</si>
  <si>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</si>
  <si>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</si>
  <si>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</si>
  <si>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</si>
  <si>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</si>
  <si>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</si>
  <si>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</si>
  <si>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</si>
  <si>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</si>
  <si>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</si>
  <si>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</si>
  <si>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</si>
  <si>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</si>
  <si>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</si>
  <si>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</si>
  <si>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</si>
  <si>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</si>
  <si>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</si>
  <si>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</si>
  <si>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</si>
  <si>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</si>
  <si>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</si>
  <si>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</si>
  <si>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</si>
  <si>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</si>
  <si>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</si>
  <si>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</si>
  <si>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</si>
  <si>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</si>
  <si>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</si>
  <si>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</si>
  <si>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</si>
  <si>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</si>
  <si>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</si>
  <si>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</si>
  <si>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</si>
  <si>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</si>
  <si>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</si>
  <si>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</si>
  <si>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</si>
  <si>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</si>
  <si>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</si>
  <si>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</si>
  <si>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</si>
  <si>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</si>
  <si>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</si>
  <si>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</si>
  <si>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</si>
  <si>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</si>
  <si>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</si>
  <si>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</si>
  <si>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</si>
  <si>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</si>
  <si>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</si>
  <si>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</si>
  <si>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</si>
  <si>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</si>
  <si>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</si>
  <si>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</si>
  <si>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</si>
  <si>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</si>
  <si>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</si>
  <si>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</si>
  <si>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</si>
  <si>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</si>
  <si>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</si>
  <si>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</si>
  <si>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</si>
  <si>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</si>
  <si>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</si>
  <si>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</si>
  <si>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</si>
  <si>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</si>
  <si>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</si>
  <si>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</si>
  <si>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</si>
  <si>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</si>
  <si>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</si>
  <si>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</si>
  <si>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</si>
  <si>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</si>
  <si>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</si>
  <si>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</si>
  <si>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</si>
  <si>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</si>
  <si>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</si>
  <si>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</si>
  <si>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</si>
  <si>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</si>
  <si>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</si>
  <si>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</si>
  <si>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</si>
  <si>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</si>
  <si>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</si>
  <si>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</si>
  <si>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</si>
  <si>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</si>
  <si>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</si>
  <si>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</si>
  <si>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</si>
  <si>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</si>
  <si>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</si>
  <si>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</si>
  <si>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</si>
  <si>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</si>
  <si>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</si>
  <si>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</si>
  <si>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</si>
  <si>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</si>
  <si>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</si>
  <si>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</si>
  <si>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</si>
  <si>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</si>
  <si>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</si>
  <si>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</si>
  <si>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</si>
  <si>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</si>
  <si>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</si>
  <si>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</si>
  <si>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</si>
  <si>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</si>
  <si>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</si>
  <si>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</si>
  <si>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</si>
  <si>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</si>
  <si>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</si>
  <si>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</si>
  <si>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</si>
  <si>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</si>
  <si>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</si>
  <si>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</si>
  <si>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</si>
  <si>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</si>
  <si>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</si>
  <si>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</si>
  <si>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</si>
  <si>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</si>
  <si>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</si>
  <si>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</si>
  <si>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</si>
  <si>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</si>
  <si>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</si>
  <si>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</si>
  <si>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</si>
  <si>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</si>
  <si>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</si>
  <si>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</si>
  <si>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</si>
  <si>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</si>
  <si>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</si>
  <si>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</si>
  <si>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</si>
  <si>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</si>
  <si>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</si>
  <si>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</si>
  <si>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</si>
  <si>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</si>
  <si>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</si>
  <si>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</si>
  <si>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</si>
  <si>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</si>
  <si>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</si>
  <si>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</si>
  <si>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</si>
  <si>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</si>
  <si>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</si>
  <si>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</si>
  <si>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</si>
  <si>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</si>
  <si>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</si>
  <si>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</si>
  <si>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</si>
  <si>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</si>
  <si>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</si>
  <si>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</si>
  <si>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</si>
  <si>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</si>
  <si>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</si>
  <si>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</si>
  <si>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</si>
  <si>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</si>
  <si>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</si>
  <si>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</si>
  <si>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</si>
  <si>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</si>
  <si>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</si>
  <si>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</si>
  <si>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</si>
  <si>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</si>
  <si>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</si>
  <si>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</si>
  <si>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</si>
  <si>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</si>
  <si>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</si>
  <si>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</si>
  <si>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</si>
  <si>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</si>
  <si>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</si>
  <si>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</si>
  <si>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</si>
  <si>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</si>
  <si>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</si>
  <si>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</si>
  <si>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</si>
  <si>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</si>
  <si>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</si>
  <si>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</si>
  <si>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</si>
  <si>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</si>
  <si>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</si>
  <si>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</si>
  <si>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</si>
  <si>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</si>
  <si>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</si>
  <si>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</si>
  <si>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</si>
  <si>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</si>
  <si>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</si>
  <si>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</si>
  <si>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</si>
  <si>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</si>
  <si>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</si>
  <si>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</si>
  <si>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</si>
  <si>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</si>
  <si>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</si>
  <si>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</si>
  <si>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</si>
  <si>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</si>
  <si>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</si>
  <si>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</si>
  <si>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</si>
  <si>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</si>
  <si>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</si>
  <si>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</si>
  <si>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</si>
  <si>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</si>
  <si>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</si>
  <si>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</si>
  <si>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</si>
  <si>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</si>
  <si>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</si>
  <si>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</si>
  <si>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</si>
  <si>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</si>
  <si>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</si>
  <si>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</si>
  <si>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</si>
  <si>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</si>
  <si>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</si>
  <si>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</si>
  <si>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</si>
  <si>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</si>
  <si>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</si>
  <si>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</si>
  <si>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</si>
  <si>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</si>
  <si>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</si>
  <si>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</si>
  <si>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</si>
  <si>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</si>
  <si>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</si>
  <si>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</si>
  <si>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</si>
  <si>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</si>
  <si>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</si>
  <si>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</si>
  <si>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</si>
  <si>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</si>
  <si>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</si>
  <si>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</si>
  <si>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</si>
  <si>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</si>
  <si>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</si>
  <si>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</si>
  <si>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</si>
  <si>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</si>
  <si>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</si>
  <si>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</si>
  <si>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</si>
  <si>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</si>
  <si>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</si>
  <si>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</si>
  <si>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</si>
  <si>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</si>
  <si>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</si>
  <si>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</si>
  <si>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</si>
  <si>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</si>
  <si>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</si>
  <si>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</si>
  <si>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</si>
  <si>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</si>
  <si>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</si>
  <si>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</si>
  <si>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</si>
  <si>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</si>
  <si>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</si>
  <si>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</si>
  <si>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</si>
  <si>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</si>
  <si>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</si>
  <si>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</si>
  <si>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</si>
  <si>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</si>
  <si>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</si>
  <si>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</si>
  <si>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</si>
  <si>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</si>
  <si>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</si>
  <si>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</si>
  <si>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</si>
  <si>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</si>
  <si>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</si>
  <si>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</si>
  <si>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</si>
  <si>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</si>
  <si>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</si>
  <si>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</si>
  <si>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</si>
  <si>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</si>
  <si>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</si>
  <si>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</si>
  <si>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</si>
  <si>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</si>
  <si>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</si>
  <si>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</si>
  <si>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</si>
  <si>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</si>
  <si>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</si>
  <si>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</si>
  <si>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</si>
  <si>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</si>
  <si>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</si>
  <si>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</si>
  <si>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</si>
  <si>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</si>
  <si>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</si>
  <si>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</si>
  <si>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</si>
  <si>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</si>
  <si>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</si>
  <si>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</si>
  <si>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</si>
  <si>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</si>
  <si>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</si>
  <si>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</si>
  <si>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</si>
  <si>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</si>
  <si>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</si>
  <si>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</si>
  <si>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</si>
  <si>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</si>
  <si>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</si>
  <si>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</si>
  <si>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</si>
  <si>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</si>
  <si>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</si>
  <si>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</si>
  <si>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</si>
  <si>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</si>
  <si>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</si>
  <si>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</si>
  <si>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</si>
  <si>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</si>
  <si>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</si>
  <si>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</si>
  <si>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</si>
  <si>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</si>
  <si>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</si>
  <si>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</si>
  <si>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</si>
  <si>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</si>
  <si>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</si>
  <si>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</si>
  <si>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</si>
  <si>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</si>
  <si>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</si>
  <si>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</si>
  <si>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</si>
  <si>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</si>
  <si>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</si>
  <si>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</si>
  <si>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</si>
  <si>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</si>
  <si>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</si>
  <si>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</si>
  <si>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</si>
  <si>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</si>
  <si>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</si>
  <si>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</si>
  <si>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</si>
  <si>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</si>
  <si>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</si>
  <si>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</si>
  <si>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</si>
  <si>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</si>
  <si>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</si>
  <si>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</si>
  <si>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</si>
  <si>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</si>
  <si>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</si>
  <si>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</si>
  <si>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</si>
  <si>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</si>
  <si>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</si>
  <si>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</si>
  <si>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</si>
  <si>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</si>
  <si>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</si>
  <si>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</si>
  <si>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</si>
  <si>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</si>
  <si>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</si>
  <si>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</si>
  <si>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</si>
  <si>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</si>
  <si>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</si>
  <si>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</si>
  <si>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</si>
  <si>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</si>
  <si>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</si>
  <si>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</si>
  <si>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</si>
  <si>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</si>
  <si>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</si>
  <si>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</si>
  <si>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</si>
  <si>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</si>
  <si>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</si>
  <si>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</si>
  <si>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</si>
  <si>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</si>
  <si>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</si>
  <si>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</si>
  <si>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</si>
  <si>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</si>
  <si>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</si>
  <si>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</si>
  <si>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</si>
  <si>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</si>
  <si>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</si>
  <si>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</si>
  <si>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</si>
  <si>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</si>
  <si>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</si>
  <si>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</si>
  <si>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</si>
  <si>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</si>
  <si>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</si>
  <si>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</si>
  <si>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</si>
  <si>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</si>
  <si>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</si>
  <si>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</si>
  <si>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</si>
  <si>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</si>
  <si>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</si>
  <si>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</si>
  <si>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</si>
  <si>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</si>
  <si>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</si>
  <si>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</si>
  <si>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</si>
  <si>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</si>
  <si>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</si>
  <si>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</si>
  <si>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</si>
  <si>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</si>
  <si>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</si>
  <si>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</si>
  <si>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</si>
  <si>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</si>
  <si>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</si>
  <si>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</si>
  <si>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</si>
  <si>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</si>
  <si>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</si>
  <si>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</si>
  <si>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</si>
  <si>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</si>
  <si>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</si>
  <si>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</si>
  <si>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</si>
  <si>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</si>
  <si>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</si>
  <si>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</si>
  <si>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</si>
  <si>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</si>
  <si>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</si>
  <si>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</si>
  <si>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</si>
  <si>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</si>
  <si>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</si>
  <si>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</si>
  <si>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</si>
  <si>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</si>
  <si>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</si>
  <si>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</si>
  <si>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</si>
  <si>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</si>
  <si>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</si>
  <si>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</si>
  <si>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</si>
  <si>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</si>
  <si>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</si>
  <si>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</si>
  <si>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</si>
  <si>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</si>
  <si>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</si>
  <si>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</si>
  <si>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</si>
  <si>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</si>
  <si>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</si>
  <si>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</si>
  <si>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</si>
  <si>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</si>
  <si>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</si>
  <si>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</si>
  <si>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</si>
  <si>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</si>
  <si>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</si>
  <si>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</si>
  <si>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</si>
  <si>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</si>
  <si>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</si>
  <si>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</si>
  <si>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</si>
  <si>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</si>
  <si>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</si>
  <si>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</si>
  <si>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</si>
  <si>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</si>
  <si>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</si>
  <si>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</si>
  <si>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</si>
  <si>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</si>
  <si>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</si>
  <si>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</si>
  <si>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</si>
  <si>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</si>
  <si>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</si>
  <si>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</si>
  <si>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</si>
  <si>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</si>
  <si>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</si>
  <si>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</si>
  <si>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</si>
  <si>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</si>
  <si>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</si>
  <si>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</si>
  <si>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</si>
  <si>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</si>
  <si>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</si>
  <si>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</si>
  <si>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</si>
  <si>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</si>
  <si>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</si>
  <si>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</si>
  <si>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</si>
  <si>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</si>
  <si>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</si>
  <si>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</si>
  <si>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</si>
  <si>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</si>
  <si>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</si>
  <si>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</si>
  <si>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</si>
  <si>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</si>
  <si>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</si>
  <si>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</si>
  <si>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</si>
  <si>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</si>
  <si>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</si>
  <si>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</si>
  <si>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</si>
  <si>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</si>
  <si>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</si>
  <si>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</si>
  <si>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</si>
  <si>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</si>
  <si>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</si>
  <si>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</si>
  <si>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</si>
  <si>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</si>
  <si>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</si>
  <si>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</si>
  <si>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</si>
  <si>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</si>
  <si>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</si>
  <si>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</si>
  <si>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</si>
  <si>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</si>
  <si>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</si>
  <si>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</si>
  <si>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</si>
  <si>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</si>
  <si>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</si>
  <si>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</si>
  <si>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</si>
  <si>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</si>
  <si>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</si>
  <si>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</si>
  <si>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</si>
  <si>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</si>
  <si>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</si>
  <si>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</si>
  <si>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</si>
  <si>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</si>
  <si>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</si>
  <si>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</si>
  <si>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</si>
  <si>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</si>
  <si>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</si>
  <si>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</si>
  <si>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</si>
  <si>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</si>
  <si>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</si>
  <si>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</si>
  <si>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</si>
  <si>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</si>
  <si>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</si>
  <si>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</si>
  <si>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</si>
  <si>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</si>
  <si>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</si>
  <si>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</si>
  <si>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</si>
  <si>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</si>
  <si>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</si>
  <si>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</si>
  <si>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</si>
  <si>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</si>
  <si>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</si>
  <si>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</si>
  <si>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</si>
  <si>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</si>
  <si>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</si>
  <si>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</si>
  <si>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</si>
  <si>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</si>
  <si>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</si>
  <si>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</si>
  <si>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</si>
  <si>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</si>
  <si>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</si>
  <si>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</si>
  <si>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</si>
  <si>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</si>
  <si>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</si>
  <si>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</si>
  <si>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</si>
  <si>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</si>
  <si>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</si>
  <si>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</si>
  <si>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</si>
  <si>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</si>
  <si>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</si>
  <si>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</si>
  <si>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</si>
  <si>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</si>
  <si>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</si>
  <si>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</si>
  <si>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</si>
  <si>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</si>
  <si>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</si>
  <si>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</si>
  <si>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</si>
  <si>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</si>
  <si>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</si>
  <si>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</si>
  <si>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</si>
  <si>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</si>
  <si>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</si>
  <si>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</si>
  <si>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</si>
  <si>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</si>
  <si>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</si>
  <si>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</si>
  <si>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</si>
  <si>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</si>
  <si>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</si>
  <si>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</si>
  <si>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</si>
  <si>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</si>
  <si>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</si>
  <si>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</si>
  <si>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</si>
  <si>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</si>
  <si>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</si>
  <si>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</si>
  <si>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</si>
  <si>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</si>
  <si>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</si>
  <si>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</si>
  <si>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</si>
  <si>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</si>
  <si>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</si>
  <si>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</si>
  <si>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</si>
  <si>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</si>
  <si>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</si>
  <si>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</si>
  <si>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</si>
  <si>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</si>
  <si>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</si>
  <si>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</si>
  <si>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</si>
  <si>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</si>
  <si>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</si>
  <si>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</si>
  <si>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</si>
  <si>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</si>
  <si>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</si>
  <si>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</si>
  <si>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</si>
  <si>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</si>
  <si>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</si>
  <si>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</si>
  <si>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</si>
  <si>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</si>
  <si>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</si>
  <si>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</si>
  <si>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</si>
  <si>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</si>
  <si>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</si>
  <si>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</si>
  <si>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</si>
  <si>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</si>
  <si>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</si>
  <si>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</si>
  <si>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</si>
  <si>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</si>
  <si>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</si>
  <si>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</si>
  <si>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</si>
  <si>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</si>
  <si>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</si>
  <si>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</si>
  <si>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</si>
  <si>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</si>
  <si>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</si>
  <si>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</si>
  <si>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</si>
  <si>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</si>
  <si>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</si>
  <si>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</si>
  <si>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</si>
  <si>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</si>
  <si>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</si>
  <si>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</si>
  <si>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</si>
  <si>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Grand Total</t>
  </si>
  <si>
    <t>(All)</t>
  </si>
  <si>
    <t>Count of outcomes</t>
  </si>
  <si>
    <t>Column Labels</t>
  </si>
  <si>
    <t>Row Labels</t>
  </si>
  <si>
    <t>Date Created Conversion</t>
  </si>
  <si>
    <t>Date Ended ConversioDate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</si>
  <si>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</si>
  <si>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</si>
  <si>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</si>
  <si>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</si>
  <si>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</si>
  <si>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</si>
  <si>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</si>
  <si>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</si>
  <si>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</si>
  <si>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</si>
  <si>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</si>
  <si>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</si>
  <si>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</si>
  <si>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</si>
  <si>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</si>
  <si>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</si>
  <si>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</si>
  <si>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Mean Goal</t>
  </si>
  <si>
    <t>Median Goal</t>
  </si>
  <si>
    <t>Median Pledged</t>
  </si>
  <si>
    <t>Mean Pledged</t>
  </si>
  <si>
    <t>Succesful</t>
  </si>
  <si>
    <t>Failed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</si>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</sst>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wrapText="1"/>
    </xf>
    <xf numFmtId="165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3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4-A644-82A1-F328299EC27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74-A644-82A1-F328299EC27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74-A644-82A1-F328299EC27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74-A644-82A1-F328299EC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8172111"/>
        <c:axId val="1438560639"/>
      </c:barChart>
      <c:catAx>
        <c:axId val="143817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60639"/>
        <c:crosses val="autoZero"/>
        <c:auto val="1"/>
        <c:lblAlgn val="ctr"/>
        <c:lblOffset val="100"/>
        <c:noMultiLvlLbl val="0"/>
      </c:catAx>
      <c:valAx>
        <c:axId val="143856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17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  <a:p>
            <a:pPr>
              <a:defRPr/>
            </a:pPr>
            <a:r>
              <a:rPr lang="en-US"/>
              <a:t>Parent Category</a:t>
            </a:r>
            <a:r>
              <a:rPr lang="en-US" baseline="0"/>
              <a:t> Outcomes 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8B-A841-A6D6-75EE7159E9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8B-A841-A6D6-75EE7159E9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8B-A841-A6D6-75EE7159E9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8B-A841-A6D6-75EE7159E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6369151"/>
        <c:axId val="1554547199"/>
      </c:barChart>
      <c:catAx>
        <c:axId val="152636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547199"/>
        <c:crosses val="autoZero"/>
        <c:auto val="1"/>
        <c:lblAlgn val="ctr"/>
        <c:lblOffset val="100"/>
        <c:noMultiLvlLbl val="0"/>
      </c:catAx>
      <c:valAx>
        <c:axId val="155454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36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E-AA4D-91B8-564F60BF5B4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6E-AA4D-91B8-564F60BF5B4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6E-AA4D-91B8-564F60BF5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5219519"/>
        <c:axId val="1335809535"/>
      </c:lineChart>
      <c:catAx>
        <c:axId val="130521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809535"/>
        <c:crosses val="autoZero"/>
        <c:auto val="1"/>
        <c:lblAlgn val="ctr"/>
        <c:lblOffset val="100"/>
        <c:noMultiLvlLbl val="0"/>
      </c:catAx>
      <c:valAx>
        <c:axId val="133580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1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C-2449-8172-4810EF3B66E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E-2146-A968-EEFF778B4585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8E-2146-A968-EEFF778B4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9804175"/>
        <c:axId val="1279805855"/>
      </c:lineChart>
      <c:catAx>
        <c:axId val="127980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805855"/>
        <c:crosses val="autoZero"/>
        <c:auto val="1"/>
        <c:lblAlgn val="ctr"/>
        <c:lblOffset val="100"/>
        <c:noMultiLvlLbl val="0"/>
      </c:catAx>
      <c:valAx>
        <c:axId val="127980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80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8C-624B-AD6E-B2046642C680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8C-624B-AD6E-B2046642C680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68C-624B-AD6E-B2046642C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947535"/>
        <c:axId val="1321995983"/>
      </c:lineChart>
      <c:catAx>
        <c:axId val="132194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995983"/>
        <c:crosses val="autoZero"/>
        <c:auto val="1"/>
        <c:lblAlgn val="ctr"/>
        <c:lblOffset val="100"/>
        <c:noMultiLvlLbl val="0"/>
      </c:catAx>
      <c:valAx>
        <c:axId val="132199598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94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8</xdr:row>
      <xdr:rowOff>114300</xdr:rowOff>
    </xdr:from>
    <xdr:to>
      <xdr:col>13</xdr:col>
      <xdr:colOff>673100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63971E-1093-174E-8A9D-B3425A13A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1</xdr:row>
      <xdr:rowOff>165100</xdr:rowOff>
    </xdr:from>
    <xdr:to>
      <xdr:col>14</xdr:col>
      <xdr:colOff>609600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C8A4E1-F7C6-CD4D-9D8F-7E091E212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4</xdr:row>
      <xdr:rowOff>12700</xdr:rowOff>
    </xdr:from>
    <xdr:to>
      <xdr:col>14</xdr:col>
      <xdr:colOff>723900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516F6-4554-6145-A188-8420B687F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127000</xdr:colOff>
      <xdr:row>20</xdr:row>
      <xdr:rowOff>114300</xdr:rowOff>
    </xdr:from>
    <xdr:to>
      <xdr:col>10</xdr:col>
      <xdr:colOff>673100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F9AB9-44A7-8D41-80A2-E54C8C4B5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16</xdr:row>
      <xdr:rowOff>12700</xdr:rowOff>
    </xdr:from>
    <xdr:to>
      <xdr:col>9</xdr:col>
      <xdr:colOff>215900</xdr:colOff>
      <xdr:row>40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A3A18-4909-8A43-A874-E22244F27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4.447305787035" createdVersion="6" refreshedVersion="6" minRefreshableVersion="3" recordCount="4114" xr:uid="{8D0A441A-BA74-694F-A70D-74C5D859613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4.460536226848" createdVersion="6" refreshedVersion="6" minRefreshableVersion="3" recordCount="4114" xr:uid="{0262AF23-6095-154D-9DC0-DD0898C8D35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5.923896875" createdVersion="6" refreshedVersion="6" minRefreshableVersion="3" recordCount="4114" xr:uid="{0BF59A37-1CAD-124A-9C48-61B12FDF1D3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6678B-CA46-2843-9F54-FF9B1C29FD5C}" name="PivotTable9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C806B-DB6D-7F42-A8FE-287528134ABB}" name="PivotTable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2F99B-8C39-754B-B0B4-E07EADFE2EBA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34996-6894-A242-B7C3-AFA5B4834DF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581F5-0DAA-9A48-AB09-5E65E3F53E31}">
  <dimension ref="A1:C6"/>
  <sheetViews>
    <sheetView workbookViewId="0">
      <selection activeCell="C7" sqref="C7"/>
    </sheetView>
  </sheetViews>
  <sheetFormatPr baseColWidth="10" defaultRowHeight="15" x14ac:dyDescent="0.2"/>
  <cols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8385</v>
      </c>
      <c r="B3" s="18" t="e">
        <f>MEDIAN(#REF!)</f>
        <v>#REF!</v>
      </c>
      <c r="C3" s="18" t="e">
        <f>MEDIAN(#REF!)</f>
        <v>#REF!</v>
      </c>
    </row>
    <row r="4" spans="1:3" x14ac:dyDescent="0.2">
      <c r="B4" s="18"/>
      <c r="C4" s="18"/>
    </row>
    <row r="5" spans="1:3" x14ac:dyDescent="0.2">
      <c r="A5" t="s">
        <v>8387</v>
      </c>
      <c r="B5" s="18" t="e">
        <f>AVERAGE(#REF!)</f>
        <v>#REF!</v>
      </c>
      <c r="C5" s="18" t="e">
        <f>AVERAGE(#REF!)</f>
        <v>#REF!</v>
      </c>
    </row>
    <row r="6" spans="1:3" x14ac:dyDescent="0.2">
      <c r="A6" t="s">
        <v>8386</v>
      </c>
      <c r="B6" s="18" t="e">
        <f>MEDIAN(#REF!)</f>
        <v>#REF!</v>
      </c>
      <c r="C6" s="18" t="e">
        <f>MEDIAN(#REF!)</f>
        <v>#REF!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EE69D-1368-1945-AC9B-9F7B62ADA278}">
  <dimension ref="A1:D6"/>
  <sheetViews>
    <sheetView workbookViewId="0">
      <selection activeCell="E4" sqref="E4"/>
    </sheetView>
  </sheetViews>
  <sheetFormatPr baseColWidth="10" defaultRowHeight="15" x14ac:dyDescent="0.2"/>
  <cols>
    <col min="1" max="1" width="28.6640625" bestFit="1" customWidth="1"/>
    <col min="2" max="2" width="33.5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ht="176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176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176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154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198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2C3E3-8DB4-1341-923A-04734791C581}">
  <dimension ref="A1:F43"/>
  <sheetViews>
    <sheetView workbookViewId="0">
      <selection activeCell="O25" sqref="O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8361</v>
      </c>
    </row>
    <row r="2" spans="1:6" x14ac:dyDescent="0.2">
      <c r="A2" s="13" t="s">
        <v>8222</v>
      </c>
      <c r="B2" t="s">
        <v>8224</v>
      </c>
    </row>
    <row r="4" spans="1:6" x14ac:dyDescent="0.2">
      <c r="A4" s="13" t="s">
        <v>8362</v>
      </c>
      <c r="B4" s="13" t="s">
        <v>8363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8314</v>
      </c>
      <c r="B6" s="14"/>
      <c r="C6" s="14">
        <v>14</v>
      </c>
      <c r="D6" s="14"/>
      <c r="E6" s="14"/>
      <c r="F6" s="14">
        <v>14</v>
      </c>
    </row>
    <row r="7" spans="1:6" x14ac:dyDescent="0.2">
      <c r="A7" s="12" t="s">
        <v>8342</v>
      </c>
      <c r="B7" s="14">
        <v>3</v>
      </c>
      <c r="C7" s="14"/>
      <c r="D7" s="14"/>
      <c r="E7" s="14"/>
      <c r="F7" s="14">
        <v>3</v>
      </c>
    </row>
    <row r="8" spans="1:6" x14ac:dyDescent="0.2">
      <c r="A8" s="12" t="s">
        <v>8356</v>
      </c>
      <c r="B8" s="14"/>
      <c r="C8" s="14">
        <v>2</v>
      </c>
      <c r="D8" s="14"/>
      <c r="E8" s="14"/>
      <c r="F8" s="14">
        <v>2</v>
      </c>
    </row>
    <row r="9" spans="1:6" x14ac:dyDescent="0.2">
      <c r="A9" s="12" t="s">
        <v>8352</v>
      </c>
      <c r="B9" s="14"/>
      <c r="C9" s="14"/>
      <c r="D9" s="14"/>
      <c r="E9" s="14">
        <v>5</v>
      </c>
      <c r="F9" s="14">
        <v>5</v>
      </c>
    </row>
    <row r="10" spans="1:6" x14ac:dyDescent="0.2">
      <c r="A10" s="12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">
      <c r="A11" s="12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">
      <c r="A12" s="12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">
      <c r="A13" s="12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">
      <c r="A14" s="12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">
      <c r="A15" s="12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">
      <c r="A16" s="12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">
      <c r="A17" s="12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">
      <c r="A18" s="12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">
      <c r="A19" s="12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">
      <c r="A20" s="12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">
      <c r="A21" s="12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">
      <c r="A22" s="12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">
      <c r="A23" s="12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">
      <c r="A24" s="12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">
      <c r="A25" s="12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">
      <c r="A26" s="12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">
      <c r="A27" s="12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">
      <c r="A28" s="12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">
      <c r="A29" s="12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">
      <c r="A30" s="12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">
      <c r="A31" s="12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">
      <c r="A32" s="12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">
      <c r="A33" s="12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">
      <c r="A34" s="12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">
      <c r="A35" s="12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">
      <c r="A36" s="12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">
      <c r="A37" s="12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">
      <c r="A38" s="12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">
      <c r="A39" s="12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">
      <c r="A40" s="12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">
      <c r="A41" s="12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">
      <c r="A42" s="12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">
      <c r="A43" s="12" t="s">
        <v>8360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6D296-CA7D-B84B-832C-E99D68BC35F6}">
  <dimension ref="A1:F14"/>
  <sheetViews>
    <sheetView workbookViewId="0">
      <selection activeCell="P23" sqref="P23"/>
    </sheetView>
  </sheetViews>
  <sheetFormatPr baseColWidth="10" defaultRowHeight="15" x14ac:dyDescent="0.2"/>
  <cols>
    <col min="1" max="1" width="15.6640625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</row>
    <row r="4" spans="1:6" x14ac:dyDescent="0.2"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2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2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2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2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2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2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2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2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2" t="s">
        <v>8360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9E4D4-8B22-3E45-8F11-6B20ECC5D98D}">
  <dimension ref="A2:E19"/>
  <sheetViews>
    <sheetView tabSelected="1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3" t="s">
        <v>8358</v>
      </c>
      <c r="B2" t="s">
        <v>8315</v>
      </c>
    </row>
    <row r="3" spans="1:5" x14ac:dyDescent="0.2">
      <c r="A3" s="13" t="s">
        <v>8379</v>
      </c>
      <c r="B3" t="s">
        <v>8361</v>
      </c>
    </row>
    <row r="5" spans="1:5" x14ac:dyDescent="0.2">
      <c r="A5" s="13" t="s">
        <v>8362</v>
      </c>
      <c r="B5" s="13" t="s">
        <v>8363</v>
      </c>
    </row>
    <row r="6" spans="1:5" x14ac:dyDescent="0.2">
      <c r="A6" s="13" t="s">
        <v>8364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2">
      <c r="A7" s="16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">
      <c r="A8" s="16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">
      <c r="A9" s="16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">
      <c r="A10" s="16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">
      <c r="A11" s="16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">
      <c r="A12" s="16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">
      <c r="A13" s="16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">
      <c r="A14" s="16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">
      <c r="A15" s="16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">
      <c r="A16" s="16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2">
      <c r="A17" s="16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">
      <c r="A18" s="16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">
      <c r="A19" s="16" t="s">
        <v>8360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R1" zoomScale="93" zoomScaleNormal="95" workbookViewId="0">
      <pane ySplit="521" topLeftCell="A2924" activePane="bottomLeft" state="frozen"/>
      <selection pane="bottomLeft" activeCell="U2924" sqref="U292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5.1640625" bestFit="1" customWidth="1"/>
    <col min="17" max="17" width="41.1640625" customWidth="1"/>
    <col min="18" max="18" width="15.6640625" bestFit="1" customWidth="1"/>
    <col min="19" max="19" width="20.83203125" bestFit="1" customWidth="1"/>
    <col min="20" max="20" width="37.332031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  <c r="U3649">
        <f>YEAR(S3649)</f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  <c r="U3754">
        <f>YEAR(S3754)</f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1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5">
        <f t="shared" si="240"/>
        <v>42546.862233796302</v>
      </c>
      <c r="T3784" s="15">
        <f t="shared" si="241"/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5">
        <f t="shared" si="240"/>
        <v>42548.63853009259</v>
      </c>
      <c r="T3787" s="15">
        <f t="shared" si="241"/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5">
        <f t="shared" si="240"/>
        <v>42138.798819444448</v>
      </c>
      <c r="T3791" s="15">
        <f t="shared" si="241"/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1" t="s">
        <v>8315</v>
      </c>
      <c r="R3842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1" t="s">
        <v>8315</v>
      </c>
      <c r="R3843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8315</v>
      </c>
      <c r="R3844" t="s">
        <v>8316</v>
      </c>
      <c r="S3844" s="15">
        <f t="shared" si="245"/>
        <v>41740.493657407409</v>
      </c>
      <c r="T3844" s="15">
        <f t="shared" si="246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8315</v>
      </c>
      <c r="R3845" t="s">
        <v>8316</v>
      </c>
      <c r="S3845" s="15">
        <f t="shared" si="245"/>
        <v>41766.072500000002</v>
      </c>
      <c r="T3845" s="15">
        <f t="shared" si="246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5">
        <f t="shared" si="245"/>
        <v>41766.617291666669</v>
      </c>
      <c r="T3846" s="15">
        <f t="shared" si="246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8315</v>
      </c>
      <c r="R3847" t="s">
        <v>8316</v>
      </c>
      <c r="S3847" s="15">
        <f t="shared" si="245"/>
        <v>42248.627013888887</v>
      </c>
      <c r="T3847" s="15">
        <f t="shared" si="246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8315</v>
      </c>
      <c r="R3848" t="s">
        <v>8316</v>
      </c>
      <c r="S3848" s="15">
        <f t="shared" si="245"/>
        <v>41885.221550925926</v>
      </c>
      <c r="T3848" s="15">
        <f t="shared" si="246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8315</v>
      </c>
      <c r="R3849" t="s">
        <v>8316</v>
      </c>
      <c r="S3849" s="15">
        <f t="shared" si="245"/>
        <v>42159.224432870367</v>
      </c>
      <c r="T3849" s="15">
        <f t="shared" si="246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8315</v>
      </c>
      <c r="R3850" t="s">
        <v>8316</v>
      </c>
      <c r="S3850" s="15">
        <f t="shared" si="245"/>
        <v>42265.817002314812</v>
      </c>
      <c r="T3850" s="15">
        <f t="shared" si="246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8315</v>
      </c>
      <c r="R3851" t="s">
        <v>8316</v>
      </c>
      <c r="S3851" s="15">
        <f t="shared" si="245"/>
        <v>42136.767175925925</v>
      </c>
      <c r="T3851" s="15">
        <f t="shared" si="246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5">
        <f t="shared" si="245"/>
        <v>41975.124340277776</v>
      </c>
      <c r="T3852" s="15">
        <f t="shared" si="246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5">
        <f t="shared" si="245"/>
        <v>42172.439571759256</v>
      </c>
      <c r="T3853" s="15">
        <f t="shared" si="246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5">
        <f t="shared" si="245"/>
        <v>42065.190694444449</v>
      </c>
      <c r="T3854" s="15">
        <f t="shared" si="246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5">
        <f t="shared" si="245"/>
        <v>41848.84002314815</v>
      </c>
      <c r="T3855" s="15">
        <f t="shared" si="246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5">
        <f t="shared" si="245"/>
        <v>42103.884930555556</v>
      </c>
      <c r="T3856" s="15">
        <f t="shared" si="246"/>
        <v>42133.884930555556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5">
        <f t="shared" si="245"/>
        <v>42059.970729166671</v>
      </c>
      <c r="T3857" s="15">
        <f t="shared" si="246"/>
        <v>42089.929062499999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5">
        <f t="shared" si="245"/>
        <v>42041.743090277778</v>
      </c>
      <c r="T3858" s="15">
        <f t="shared" si="246"/>
        <v>42071.701423611114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5">
        <f t="shared" si="245"/>
        <v>41829.73715277778</v>
      </c>
      <c r="T3859" s="15">
        <f t="shared" si="246"/>
        <v>41852.716666666667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5">
        <f t="shared" si="245"/>
        <v>42128.431064814817</v>
      </c>
      <c r="T3860" s="15">
        <f t="shared" si="246"/>
        <v>42146.875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5">
        <f t="shared" si="245"/>
        <v>41789.893599537041</v>
      </c>
      <c r="T3861" s="15">
        <f t="shared" si="246"/>
        <v>41815.875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8315</v>
      </c>
      <c r="R3862" t="s">
        <v>8316</v>
      </c>
      <c r="S3862" s="15">
        <f t="shared" si="245"/>
        <v>41833.660995370366</v>
      </c>
      <c r="T3862" s="15">
        <f t="shared" si="246"/>
        <v>41863.660995370366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5">
        <f t="shared" si="245"/>
        <v>41914.590011574073</v>
      </c>
      <c r="T3863" s="15">
        <f t="shared" si="246"/>
        <v>41955.907638888893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5">
        <f t="shared" si="245"/>
        <v>42611.261064814811</v>
      </c>
      <c r="T3864" s="15">
        <f t="shared" si="246"/>
        <v>42625.707638888889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5">
        <f t="shared" si="245"/>
        <v>42253.633159722223</v>
      </c>
      <c r="T3865" s="15">
        <f t="shared" si="246"/>
        <v>42313.674826388888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5">
        <f t="shared" si="245"/>
        <v>42295.891828703709</v>
      </c>
      <c r="T3866" s="15">
        <f t="shared" si="246"/>
        <v>42325.933495370366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8315</v>
      </c>
      <c r="R3867" t="s">
        <v>8316</v>
      </c>
      <c r="S3867" s="15">
        <f t="shared" si="245"/>
        <v>41841.651597222226</v>
      </c>
      <c r="T3867" s="15">
        <f t="shared" si="246"/>
        <v>41881.229166666664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5">
        <f t="shared" si="245"/>
        <v>42402.947002314817</v>
      </c>
      <c r="T3868" s="15">
        <f t="shared" si="246"/>
        <v>42452.145138888889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5">
        <f t="shared" si="245"/>
        <v>42509.814108796301</v>
      </c>
      <c r="T3869" s="15">
        <f t="shared" si="246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8315</v>
      </c>
      <c r="R3891" t="s">
        <v>8316</v>
      </c>
      <c r="S3891" s="15">
        <f t="shared" si="245"/>
        <v>41977.004976851851</v>
      </c>
      <c r="T3891" s="15">
        <f t="shared" si="246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5">
        <f t="shared" si="245"/>
        <v>42171.758611111116</v>
      </c>
      <c r="T3892" s="15">
        <f t="shared" si="246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8315</v>
      </c>
      <c r="R3893" t="s">
        <v>8316</v>
      </c>
      <c r="S3893" s="15">
        <f t="shared" si="245"/>
        <v>42056.1324537037</v>
      </c>
      <c r="T3893" s="15">
        <f t="shared" si="246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5">
        <f t="shared" si="245"/>
        <v>41867.652280092596</v>
      </c>
      <c r="T3894" s="15">
        <f t="shared" si="246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8315</v>
      </c>
      <c r="R3895" t="s">
        <v>8316</v>
      </c>
      <c r="S3895" s="15">
        <f t="shared" si="245"/>
        <v>41779.657870370371</v>
      </c>
      <c r="T3895" s="15">
        <f t="shared" si="246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8315</v>
      </c>
      <c r="R3896" t="s">
        <v>8316</v>
      </c>
      <c r="S3896" s="15">
        <f t="shared" si="245"/>
        <v>42679.958472222221</v>
      </c>
      <c r="T3896" s="15">
        <f t="shared" si="246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5">
        <f t="shared" si="245"/>
        <v>42032.250208333338</v>
      </c>
      <c r="T3897" s="15">
        <f t="shared" si="246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5">
        <f t="shared" si="245"/>
        <v>41793.191875000004</v>
      </c>
      <c r="T3898" s="15">
        <f t="shared" si="246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5">
        <f t="shared" si="245"/>
        <v>41843.775011574071</v>
      </c>
      <c r="T3901" s="15">
        <f t="shared" si="246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5">
        <f t="shared" si="245"/>
        <v>42136.092488425929</v>
      </c>
      <c r="T3902" s="15">
        <f t="shared" si="246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5">
        <f t="shared" si="245"/>
        <v>42317.826377314821</v>
      </c>
      <c r="T3903" s="15">
        <f t="shared" si="246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5">
        <f t="shared" si="245"/>
        <v>42186.01116898148</v>
      </c>
      <c r="T3905" s="15">
        <f t="shared" si="246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1" t="s">
        <v>8315</v>
      </c>
      <c r="R3906" t="s">
        <v>8316</v>
      </c>
      <c r="S3906" s="15">
        <f t="shared" si="245"/>
        <v>42095.229166666672</v>
      </c>
      <c r="T3906" s="15">
        <f t="shared" si="246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1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1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1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1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1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1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1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500F61FB-AB62-6245-B68E-A60A4DC16E7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3BF9B-6D5D-2040-A774-BCCF5CDAE648}">
  <dimension ref="A1:G18"/>
  <sheetViews>
    <sheetView workbookViewId="0">
      <selection activeCell="G11" sqref="G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7" x14ac:dyDescent="0.2">
      <c r="A1" s="13" t="s">
        <v>8358</v>
      </c>
      <c r="B1" t="s">
        <v>8315</v>
      </c>
    </row>
    <row r="2" spans="1:7" x14ac:dyDescent="0.2">
      <c r="A2" s="13" t="s">
        <v>8379</v>
      </c>
      <c r="B2" t="s">
        <v>8361</v>
      </c>
    </row>
    <row r="4" spans="1:7" x14ac:dyDescent="0.2">
      <c r="A4" s="13" t="s">
        <v>8362</v>
      </c>
      <c r="B4" s="13" t="s">
        <v>8363</v>
      </c>
    </row>
    <row r="5" spans="1:7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8360</v>
      </c>
    </row>
    <row r="6" spans="1:7" x14ac:dyDescent="0.2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7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7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7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7" x14ac:dyDescent="0.2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  <c r="G10">
        <f>111/52</f>
        <v>2.1346153846153846</v>
      </c>
    </row>
    <row r="11" spans="1:7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7" x14ac:dyDescent="0.2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7" x14ac:dyDescent="0.2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7" x14ac:dyDescent="0.2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7" x14ac:dyDescent="0.2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7" x14ac:dyDescent="0.2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12D7B-3677-0C40-9B39-40341488B5F9}">
  <dimension ref="A1:H13"/>
  <sheetViews>
    <sheetView workbookViewId="0">
      <selection activeCell="D2" sqref="D2"/>
    </sheetView>
  </sheetViews>
  <sheetFormatPr baseColWidth="10" defaultRowHeight="15" x14ac:dyDescent="0.2"/>
  <cols>
    <col min="1" max="1" width="13.5" bestFit="1" customWidth="1"/>
    <col min="5" max="5" width="11.5" bestFit="1" customWidth="1"/>
    <col min="6" max="6" width="17.6640625" bestFit="1" customWidth="1"/>
    <col min="8" max="8" width="16.83203125" bestFit="1" customWidth="1"/>
  </cols>
  <sheetData>
    <row r="1" spans="1:8" x14ac:dyDescent="0.2">
      <c r="A1" t="s">
        <v>8382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2">
      <c r="A2" t="s">
        <v>8397</v>
      </c>
      <c r="B2">
        <f>COUNTIFS(Kickstarter!$R:$R,"plays",Kickstarter!$D:$D,"&lt;=1000",Kickstarter!$F:$F,"successful")</f>
        <v>188</v>
      </c>
      <c r="C2">
        <f>COUNTIFS(Kickstarter!$R:$R,"plays",Kickstarter!$D:$D,"&lt;=1000",Kickstarter!$F:$F,"failed")</f>
        <v>63</v>
      </c>
      <c r="D2">
        <f>COUNTIFS(Kickstarter!$R:$R,"plays",Kickstarter!$D:$D,"&lt;=1000",Kickstarter!$F:$F,"canceled")</f>
        <v>0</v>
      </c>
      <c r="E2">
        <f>SUM(B2:D2)</f>
        <v>251</v>
      </c>
      <c r="F2" s="19">
        <f>B2/E2</f>
        <v>0.74900398406374502</v>
      </c>
      <c r="G2" s="19">
        <f>C2/E2</f>
        <v>0.25099601593625498</v>
      </c>
      <c r="H2" s="19">
        <f>D2/E2</f>
        <v>0</v>
      </c>
    </row>
    <row r="3" spans="1:8" x14ac:dyDescent="0.2">
      <c r="A3" t="s">
        <v>8398</v>
      </c>
      <c r="B3">
        <f>COUNTIFS(Kickstarter!$R:$R,"plays",Kickstarter!$D:$D,"&gt;=1000",Kickstarter!$D:$D,"&lt;=4999",Kickstarter!$F:$F,"successful")</f>
        <v>388</v>
      </c>
      <c r="C3">
        <f>COUNTIFS(Kickstarter!$R:$R,"plays",Kickstarter!$D:$D,"&gt;=1000",Kickstarter!$D:$D,"&lt;=4999",Kickstarter!$F:$F,"failed")</f>
        <v>146</v>
      </c>
      <c r="D3">
        <f>COUNTIFS(Kickstarter!$R:$R,"plays",Kickstarter!$D:$D,"&gt;=1000",Kickstarter!$D:$D,"&lt;=4999",Kickstarter!$F:$F,"canceled")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8399</v>
      </c>
      <c r="B4">
        <f>COUNTIFS(Kickstarter!$R:$R,"plays",Kickstarter!$D:$D,"&gt;=5000",Kickstarter!$D:$D,"&lt;=9999",Kickstarter!$F:$F,"successful")</f>
        <v>93</v>
      </c>
      <c r="C4">
        <f>COUNTIFS(Kickstarter!$R:$R,"plays",Kickstarter!$D:$D,"&gt;=5000",Kickstarter!$D:$D,"&lt;=9999",Kickstarter!$F:$F,"failed")</f>
        <v>76</v>
      </c>
      <c r="D4">
        <f>COUNTIFS(Kickstarter!$R:$R,"plays",Kickstarter!$D:$D,"&gt;=5000",Kickstarter!$D:$D,"&lt;=9999",Kickstarter!$F:$F,"canceled")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8400</v>
      </c>
      <c r="B5">
        <f>COUNTIFS(Kickstarter!$R:$R,"plays",Kickstarter!$D:$D,"&gt;=10000",Kickstarter!$D:$D,"&lt;=14999",Kickstarter!$F:$F,"successful")</f>
        <v>39</v>
      </c>
      <c r="C5">
        <f>COUNTIFS(Kickstarter!$R:$R,"plays",Kickstarter!$D:$D,"&gt;=10000",Kickstarter!$D:$D,"&lt;=14999",Kickstarter!$F:$F,"failed")</f>
        <v>33</v>
      </c>
      <c r="D5">
        <f>COUNTIFS(Kickstarter!$R:$R,"plays",Kickstarter!$D:$D,"&gt;=10000",Kickstarter!$D:$D,"&lt;=14999",Kickstarter!$F:$F,"canceled")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8401</v>
      </c>
      <c r="B6">
        <f>COUNTIFS(Kickstarter!$R:$R,"plays",Kickstarter!$D:$D,"&gt;=15000",Kickstarter!$D:$D,"&lt;=19999",Kickstarter!$F:$F,"successful")</f>
        <v>12</v>
      </c>
      <c r="C6">
        <f>COUNTIFS(Kickstarter!$R:$R,"plays",Kickstarter!$D:$D,"&gt;=15000",Kickstarter!$D:$D,"&lt;=19999",Kickstarter!$F:$F,"failed")</f>
        <v>12</v>
      </c>
      <c r="D6">
        <f>COUNTIFS(Kickstarter!$R:$R,"plays",Kickstarter!$D:$D,"&gt;=15000",Kickstarter!$D:$D,"&lt;=19999",Kickstarter!$F:$F,"canceled")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8402</v>
      </c>
      <c r="B7">
        <f>COUNTIFS(Kickstarter!$R:$R,"plays",Kickstarter!$D:$D,"&gt;=20000",Kickstarter!$D:$D,"&lt;=24999",Kickstarter!$F:$F,"successful")</f>
        <v>9</v>
      </c>
      <c r="C7">
        <f>COUNTIFS(Kickstarter!$R:$R,"plays",Kickstarter!$D:$D,"&gt;=20000",Kickstarter!$D:$D,"&lt;=24999",Kickstarter!$F:$F,"failed")</f>
        <v>11</v>
      </c>
      <c r="D7">
        <f>COUNTIFS(Kickstarter!$R:$R,"plays",Kickstarter!$D:$D,"&gt;=20000",Kickstarter!$D:$D,"&lt;=24999",Kickstarter!$F:$F,"canceled")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8403</v>
      </c>
      <c r="B8">
        <f>COUNTIFS(Kickstarter!$R:$R,"plays",Kickstarter!$D:$D,"&gt;=25000",Kickstarter!$D:$D,"&lt;=29999",Kickstarter!$F:$F,"successful")</f>
        <v>1</v>
      </c>
      <c r="C8">
        <f>COUNTIFS(Kickstarter!$R:$R,"plays",Kickstarter!$D:$D,"&gt;=25000",Kickstarter!$D:$D,"&lt;=29999",Kickstarter!$F:$F,"failed")</f>
        <v>4</v>
      </c>
      <c r="D8">
        <f>COUNTIFS(Kickstarter!$R:$R,"plays",Kickstarter!$D:$D,"&gt;=25000",Kickstarter!$D:$D,"&lt;=29999",Kickstarter!$F:$F,"canceled")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8404</v>
      </c>
      <c r="B9">
        <f>COUNTIFS(Kickstarter!$R:$R,"plays",Kickstarter!$D:$D,"&gt;=30000",Kickstarter!$D:$D,"&lt;=34999",Kickstarter!$F:$F,"successful")</f>
        <v>3</v>
      </c>
      <c r="C9">
        <f>COUNTIFS(Kickstarter!$R:$R,"plays",Kickstarter!$D:$D,"&gt;=30000",Kickstarter!$D:$D,"&lt;=34999",Kickstarter!$F:$F,"failed")</f>
        <v>8</v>
      </c>
      <c r="D9">
        <f>COUNTIFS(Kickstarter!$R:$R,"plays",Kickstarter!$D:$D,"&gt;=30000",Kickstarter!$D:$D,"&lt;=34999",Kickstarter!$F:$F,"canceled")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8405</v>
      </c>
      <c r="B10">
        <f>COUNTIFS(Kickstarter!$R:$R,"plays",Kickstarter!$D:$D,"&gt;=35000",Kickstarter!$D:$D,"&lt;=39999",Kickstarter!$F:$F,"successful")</f>
        <v>4</v>
      </c>
      <c r="C10">
        <f>COUNTIFS(Kickstarter!$R:$R,"plays",Kickstarter!$D:$D,"&gt;=35000",Kickstarter!$D:$D,"&lt;=39999",Kickstarter!$F:$F,"failed")</f>
        <v>2</v>
      </c>
      <c r="D10">
        <f>COUNTIFS(Kickstarter!$R:$R,"plays",Kickstarter!$D:$D,"&gt;=35000",Kickstarter!$D:$D,"&lt;=39999",Kickstarter!$F:$F,"canceled")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8406</v>
      </c>
      <c r="B11">
        <f>COUNTIFS(Kickstarter!$R:$R,"plays",Kickstarter!$D:$D,"&gt;=40000",Kickstarter!$D:$D,"&lt;=44999",Kickstarter!$F:$F,"successful")</f>
        <v>2</v>
      </c>
      <c r="C11">
        <f>COUNTIFS(Kickstarter!$R:$R,"plays",Kickstarter!$D:$D,"&gt;=40000",Kickstarter!$D:$D,"&lt;=44999",Kickstarter!$F:$F,"failed")</f>
        <v>1</v>
      </c>
      <c r="D11">
        <f>COUNTIFS(Kickstarter!$R:$R,"plays",Kickstarter!$D:$D,"&gt;=40000",Kickstarter!$D:$D,"&lt;=44999",Kickstarter!$F:$F,"canceled")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8407</v>
      </c>
      <c r="B12">
        <f>COUNTIFS(Kickstarter!$R:$R,"plays",Kickstarter!$D:$D,"&gt;=45000",Kickstarter!$D:$D,"&lt;=49999",Kickstarter!$F:$F,"successful")</f>
        <v>0</v>
      </c>
      <c r="C12">
        <f>COUNTIFS(Kickstarter!$R:$R,"plays",Kickstarter!$D:$D,"&gt;=45000",Kickstarter!$D:$D,"&lt;=49999",Kickstarter!$F:$F,"failed")</f>
        <v>1</v>
      </c>
      <c r="D12">
        <f>COUNTIFS(Kickstarter!$R:$R,"plays",Kickstarter!$D:$D,"&gt;=45000",Kickstarter!$D:$D,"&lt;=49999",Kickstarter!$F:$F,"canceled")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8408</v>
      </c>
      <c r="B13">
        <f>COUNTIFS(Kickstarter!$R:$R,"plays",Kickstarter!$D:$D,"&gt;=50000",Kickstarter!$F:$F,"successful")</f>
        <v>2</v>
      </c>
      <c r="C13">
        <f>COUNTIFS(Kickstarter!$R:$R,"plays",Kickstarter!$D:$D,"&gt;=50000",Kickstarter!$F:$F,"failed")</f>
        <v>14</v>
      </c>
      <c r="D13">
        <f>COUNTIFS(Kickstarter!$R:$R,"plays",Kickstarter!$D:$D,"&gt;=50000",Kickstarter!$F:$F,"canceled")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Descriptive Statistics</vt:lpstr>
      <vt:lpstr>Edimburg Research</vt:lpstr>
      <vt:lpstr>Subcategory Statistics</vt:lpstr>
      <vt:lpstr>Category Statistics</vt:lpstr>
      <vt:lpstr>Theater Outcomes by Launch Date</vt:lpstr>
      <vt:lpstr>Kickstarter</vt:lpstr>
      <vt:lpstr>Outcome Based on Launch Date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2022-02-17T04:20:03Z</dcterms:modified>
</cp:coreProperties>
</file>