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 Eric B\Desktop\MCL ANALYSIS\BRANCH\DISBURSEMENTS\"/>
    </mc:Choice>
  </mc:AlternateContent>
  <xr:revisionPtr revIDLastSave="0" documentId="13_ncr:1_{727A666F-A176-4853-8084-94B2B8942FC5}" xr6:coauthVersionLast="37" xr6:coauthVersionMax="47" xr10:uidLastSave="{00000000-0000-0000-0000-000000000000}"/>
  <bookViews>
    <workbookView xWindow="0" yWindow="0" windowWidth="28800" windowHeight="11925" firstSheet="1" activeTab="5" xr2:uid="{29AA0DF6-6EA6-4286-B60E-64FE6DB818A7}"/>
  </bookViews>
  <sheets>
    <sheet name="SUMMARRY" sheetId="9" state="hidden" r:id="rId1"/>
    <sheet name="COCMFOSABMS" sheetId="1" r:id="rId2"/>
    <sheet name="LOGBOOK  TEAM LEADERS" sheetId="2" r:id="rId3"/>
    <sheet name="CHECKOFF TEAM LEADERS " sheetId="3" r:id="rId4"/>
    <sheet name="CALL CENTER" sheetId="5" r:id="rId5"/>
    <sheet name="BRANCHES " sheetId="4" r:id="rId6"/>
    <sheet name="ABMS" sheetId="8" r:id="rId7"/>
    <sheet name="RECOVERY POS AND CHECKOFF TEAM" sheetId="7" r:id="rId8"/>
    <sheet name="PORTFROLIO OFFICERS" sheetId="12" state="hidden" r:id="rId9"/>
    <sheet name="CAR SALES RECOVERY" sheetId="10" state="hidden" r:id="rId10"/>
  </sheets>
  <definedNames>
    <definedName name="_xlnm._FilterDatabase" localSheetId="4" hidden="1">'CALL CENTER'!$A$1:$Z$25</definedName>
    <definedName name="_xlnm._FilterDatabase" localSheetId="3" hidden="1">'CHECKOFF TEAM LEADERS '!$A$1:$AA$32</definedName>
    <definedName name="_xlnm._FilterDatabase" localSheetId="1" hidden="1">COCMFOSABMS!$A$2:$Y$30</definedName>
    <definedName name="_xlnm._FilterDatabase" localSheetId="2" hidden="1">'LOGBOOK  TEAM LEADERS'!$A$1:$X$6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4" l="1"/>
  <c r="M23" i="4"/>
  <c r="M18" i="4"/>
  <c r="M21" i="4"/>
  <c r="M24" i="4"/>
  <c r="M25" i="4"/>
  <c r="M22" i="4"/>
  <c r="M19" i="4"/>
  <c r="M20" i="4"/>
  <c r="O15" i="4" l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Z2" i="5"/>
  <c r="W2" i="5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" i="2"/>
  <c r="U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7" i="1"/>
  <c r="V18" i="1"/>
  <c r="V19" i="1"/>
  <c r="V20" i="1"/>
  <c r="V21" i="1"/>
  <c r="V22" i="1"/>
  <c r="V23" i="1"/>
  <c r="V16" i="1"/>
  <c r="V24" i="1"/>
  <c r="V25" i="1"/>
  <c r="V26" i="1"/>
  <c r="V27" i="1"/>
  <c r="V28" i="1"/>
  <c r="V29" i="1"/>
  <c r="V30" i="1"/>
  <c r="V2" i="1"/>
  <c r="D13" i="4"/>
  <c r="F13" i="4"/>
  <c r="P13" i="4" s="1"/>
  <c r="F12" i="4"/>
  <c r="P12" i="4" s="1"/>
  <c r="T23" i="5"/>
  <c r="T27" i="5"/>
  <c r="D27" i="5"/>
  <c r="F27" i="5" s="1"/>
  <c r="W23" i="5"/>
  <c r="X23" i="5" s="1"/>
  <c r="U12" i="2"/>
  <c r="U5" i="2"/>
  <c r="U14" i="2"/>
  <c r="U7" i="2"/>
  <c r="U15" i="2"/>
  <c r="U16" i="2"/>
  <c r="U17" i="2"/>
  <c r="U18" i="2"/>
  <c r="U36" i="3"/>
  <c r="U32" i="3"/>
  <c r="U35" i="3"/>
  <c r="E41" i="3"/>
  <c r="G41" i="3" s="1"/>
  <c r="Q41" i="3" s="1"/>
  <c r="R41" i="3" s="1"/>
  <c r="E34" i="3"/>
  <c r="G34" i="3" s="1"/>
  <c r="Q34" i="3" s="1"/>
  <c r="R34" i="3" s="1"/>
  <c r="E27" i="3"/>
  <c r="G27" i="3" s="1"/>
  <c r="E32" i="3"/>
  <c r="G32" i="3" s="1"/>
  <c r="Q32" i="3" s="1"/>
  <c r="R32" i="3" s="1"/>
  <c r="E22" i="3"/>
  <c r="G22" i="3" s="1"/>
  <c r="Q22" i="3" s="1"/>
  <c r="R22" i="3" s="1"/>
  <c r="E35" i="3"/>
  <c r="G35" i="3" s="1"/>
  <c r="Z41" i="3"/>
  <c r="Z22" i="3"/>
  <c r="Z34" i="3"/>
  <c r="Z27" i="3"/>
  <c r="Z36" i="3"/>
  <c r="Z42" i="3"/>
  <c r="Z32" i="3"/>
  <c r="Z43" i="3"/>
  <c r="Z44" i="3"/>
  <c r="Z35" i="3"/>
  <c r="E36" i="3"/>
  <c r="G36" i="3" s="1"/>
  <c r="Q36" i="3" s="1"/>
  <c r="R36" i="3" s="1"/>
  <c r="E42" i="3"/>
  <c r="G42" i="3" s="1"/>
  <c r="E43" i="3"/>
  <c r="G43" i="3"/>
  <c r="Q43" i="3" s="1"/>
  <c r="R43" i="3" s="1"/>
  <c r="E44" i="3"/>
  <c r="G44" i="3" s="1"/>
  <c r="Q44" i="3" s="1"/>
  <c r="R44" i="3" s="1"/>
  <c r="Z23" i="3"/>
  <c r="Z10" i="3"/>
  <c r="Z7" i="3"/>
  <c r="Z21" i="3"/>
  <c r="Z19" i="3"/>
  <c r="Z16" i="3"/>
  <c r="Z6" i="3"/>
  <c r="Z5" i="3"/>
  <c r="Z17" i="3"/>
  <c r="Z13" i="3"/>
  <c r="Z18" i="3"/>
  <c r="Z37" i="3"/>
  <c r="Z8" i="3"/>
  <c r="Z20" i="3"/>
  <c r="Z28" i="3"/>
  <c r="Z30" i="3"/>
  <c r="Z14" i="3"/>
  <c r="Z9" i="3"/>
  <c r="Z4" i="3"/>
  <c r="Z25" i="3"/>
  <c r="Z24" i="3"/>
  <c r="Z38" i="3"/>
  <c r="Z29" i="3"/>
  <c r="Z11" i="3"/>
  <c r="Z39" i="3"/>
  <c r="Z2" i="3"/>
  <c r="Z12" i="3"/>
  <c r="Z33" i="3"/>
  <c r="Z31" i="3"/>
  <c r="Z15" i="3"/>
  <c r="Z26" i="3"/>
  <c r="Z40" i="3"/>
  <c r="Z3" i="3"/>
  <c r="U13" i="2"/>
  <c r="E13" i="2"/>
  <c r="G13" i="2" s="1"/>
  <c r="E7" i="2"/>
  <c r="G7" i="2" s="1"/>
  <c r="E16" i="2"/>
  <c r="G16" i="2" s="1"/>
  <c r="E12" i="2"/>
  <c r="G12" i="2" s="1"/>
  <c r="E5" i="2"/>
  <c r="G5" i="2" s="1"/>
  <c r="E15" i="2"/>
  <c r="G15" i="2" s="1"/>
  <c r="E17" i="2"/>
  <c r="G17" i="2" s="1"/>
  <c r="AA42" i="3" l="1"/>
  <c r="R5" i="2"/>
  <c r="R16" i="2"/>
  <c r="R15" i="2"/>
  <c r="R17" i="2"/>
  <c r="Q27" i="5"/>
  <c r="Z23" i="5"/>
  <c r="W27" i="5"/>
  <c r="X27" i="5" s="1"/>
  <c r="Z27" i="5" s="1"/>
  <c r="D23" i="5"/>
  <c r="F23" i="5" s="1"/>
  <c r="U43" i="3"/>
  <c r="U42" i="3"/>
  <c r="U41" i="3"/>
  <c r="U22" i="3"/>
  <c r="U44" i="3"/>
  <c r="U34" i="3"/>
  <c r="U27" i="3"/>
  <c r="AA36" i="3"/>
  <c r="AA34" i="3"/>
  <c r="AA35" i="3"/>
  <c r="Q35" i="3"/>
  <c r="R35" i="3" s="1"/>
  <c r="Q27" i="3"/>
  <c r="R27" i="3" s="1"/>
  <c r="AA27" i="3"/>
  <c r="AA43" i="3"/>
  <c r="AA22" i="3"/>
  <c r="AA32" i="3"/>
  <c r="AA44" i="3"/>
  <c r="AA41" i="3"/>
  <c r="Q42" i="3"/>
  <c r="R42" i="3" s="1"/>
  <c r="R7" i="2"/>
  <c r="R12" i="2"/>
  <c r="R13" i="2"/>
  <c r="E18" i="2"/>
  <c r="G18" i="2" s="1"/>
  <c r="E14" i="2"/>
  <c r="G14" i="2" s="1"/>
  <c r="Q23" i="5" l="1"/>
  <c r="R18" i="2"/>
  <c r="R14" i="2"/>
  <c r="F3" i="4" l="1"/>
  <c r="P3" i="4" s="1"/>
  <c r="F4" i="4"/>
  <c r="P4" i="4" s="1"/>
  <c r="F5" i="4"/>
  <c r="P5" i="4" s="1"/>
  <c r="F6" i="4"/>
  <c r="P6" i="4" s="1"/>
  <c r="F7" i="4"/>
  <c r="P7" i="4" s="1"/>
  <c r="F8" i="4"/>
  <c r="P8" i="4" s="1"/>
  <c r="F9" i="4"/>
  <c r="P9" i="4" s="1"/>
  <c r="F10" i="4"/>
  <c r="P10" i="4" s="1"/>
  <c r="F11" i="4"/>
  <c r="P11" i="4" s="1"/>
  <c r="F14" i="4"/>
  <c r="P14" i="4" s="1"/>
  <c r="F2" i="4"/>
  <c r="P2" i="4" s="1"/>
  <c r="F26" i="4" l="1"/>
  <c r="M26" i="4" s="1"/>
  <c r="U12" i="3" l="1"/>
  <c r="U31" i="3"/>
  <c r="U40" i="3"/>
  <c r="U8" i="2" l="1"/>
  <c r="U9" i="2"/>
  <c r="U10" i="2"/>
  <c r="U11" i="2"/>
  <c r="I26" i="4" l="1"/>
  <c r="H26" i="4"/>
  <c r="J26" i="4" l="1"/>
  <c r="N15" i="4"/>
  <c r="E40" i="3"/>
  <c r="G40" i="3" s="1"/>
  <c r="Q40" i="3" s="1"/>
  <c r="E12" i="3"/>
  <c r="G12" i="3" s="1"/>
  <c r="Q12" i="3" s="1"/>
  <c r="E31" i="3"/>
  <c r="G31" i="3" s="1"/>
  <c r="Q31" i="3" s="1"/>
  <c r="F25" i="1"/>
  <c r="H25" i="1" s="1"/>
  <c r="R25" i="1" s="1"/>
  <c r="Y25" i="1" s="1"/>
  <c r="F28" i="1"/>
  <c r="H28" i="1" s="1"/>
  <c r="R28" i="1" s="1"/>
  <c r="Y28" i="1" s="1"/>
  <c r="F22" i="1"/>
  <c r="H22" i="1" s="1"/>
  <c r="R22" i="1" s="1"/>
  <c r="Y22" i="1" s="1"/>
  <c r="F29" i="1"/>
  <c r="H29" i="1" s="1"/>
  <c r="R29" i="1" s="1"/>
  <c r="Y29" i="1" s="1"/>
  <c r="F30" i="1"/>
  <c r="H30" i="1" s="1"/>
  <c r="R30" i="1" s="1"/>
  <c r="Y30" i="1" s="1"/>
  <c r="E8" i="2"/>
  <c r="G8" i="2" s="1"/>
  <c r="E9" i="2"/>
  <c r="G9" i="2" s="1"/>
  <c r="E10" i="2"/>
  <c r="G10" i="2" s="1"/>
  <c r="E11" i="2"/>
  <c r="G11" i="2" s="1"/>
  <c r="R10" i="2" l="1"/>
  <c r="R9" i="2"/>
  <c r="R11" i="2"/>
  <c r="R8" i="2"/>
  <c r="AA12" i="3"/>
  <c r="R12" i="3"/>
  <c r="R31" i="3"/>
  <c r="AA31" i="3"/>
  <c r="AA40" i="3"/>
  <c r="R40" i="3"/>
  <c r="S29" i="1" l="1"/>
  <c r="S22" i="1"/>
  <c r="S30" i="1"/>
  <c r="S25" i="1" l="1"/>
  <c r="S28" i="1" l="1"/>
  <c r="F11" i="1" l="1"/>
  <c r="E2" i="12"/>
  <c r="F2" i="12" s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F6" i="1"/>
  <c r="H6" i="1" s="1"/>
  <c r="R6" i="1" s="1"/>
  <c r="Y6" i="1" s="1"/>
  <c r="S6" i="1" l="1"/>
  <c r="W8" i="5" l="1"/>
  <c r="G26" i="4" l="1"/>
  <c r="D26" i="4"/>
  <c r="D19" i="4"/>
  <c r="D20" i="4"/>
  <c r="D21" i="4"/>
  <c r="D22" i="4"/>
  <c r="D23" i="4"/>
  <c r="D24" i="4"/>
  <c r="D25" i="4"/>
  <c r="D18" i="4"/>
  <c r="M15" i="4" l="1"/>
  <c r="D3" i="4" l="1"/>
  <c r="D2" i="4"/>
  <c r="D4" i="4"/>
  <c r="D5" i="4"/>
  <c r="D6" i="4"/>
  <c r="D7" i="4"/>
  <c r="D8" i="4"/>
  <c r="D9" i="4"/>
  <c r="D10" i="4"/>
  <c r="D11" i="4"/>
  <c r="D12" i="4"/>
  <c r="D14" i="4"/>
  <c r="D15" i="4" l="1"/>
  <c r="B29" i="4" l="1"/>
  <c r="D13" i="5"/>
  <c r="D16" i="5"/>
  <c r="D2" i="5"/>
  <c r="D4" i="5"/>
  <c r="D17" i="5"/>
  <c r="D3" i="5"/>
  <c r="D7" i="5"/>
  <c r="D11" i="5"/>
  <c r="D26" i="5"/>
  <c r="D12" i="5"/>
  <c r="D14" i="5"/>
  <c r="D6" i="5"/>
  <c r="D10" i="5"/>
  <c r="D15" i="5"/>
  <c r="D21" i="5"/>
  <c r="D24" i="5"/>
  <c r="D20" i="5"/>
  <c r="D5" i="5"/>
  <c r="D22" i="5"/>
  <c r="D18" i="5"/>
  <c r="D25" i="5"/>
  <c r="D19" i="5"/>
  <c r="D9" i="5"/>
  <c r="D8" i="5"/>
  <c r="F8" i="5" s="1"/>
  <c r="E28" i="3"/>
  <c r="E30" i="3"/>
  <c r="E4" i="3"/>
  <c r="E14" i="3"/>
  <c r="E6" i="3"/>
  <c r="E8" i="3"/>
  <c r="E3" i="3"/>
  <c r="E37" i="3"/>
  <c r="E20" i="3"/>
  <c r="E5" i="3"/>
  <c r="E21" i="3"/>
  <c r="E7" i="3"/>
  <c r="E11" i="3"/>
  <c r="E2" i="3"/>
  <c r="E33" i="3"/>
  <c r="E26" i="3"/>
  <c r="E24" i="3"/>
  <c r="E23" i="3"/>
  <c r="E19" i="3"/>
  <c r="E16" i="3"/>
  <c r="E9" i="3"/>
  <c r="E38" i="3"/>
  <c r="E15" i="3"/>
  <c r="E29" i="3"/>
  <c r="E17" i="3"/>
  <c r="E10" i="3"/>
  <c r="E25" i="3"/>
  <c r="E39" i="3"/>
  <c r="E18" i="3"/>
  <c r="E13" i="3"/>
  <c r="E2" i="2"/>
  <c r="E3" i="2"/>
  <c r="E4" i="2"/>
  <c r="E6" i="2"/>
  <c r="Q8" i="5" l="1"/>
  <c r="F16" i="1"/>
  <c r="F13" i="1"/>
  <c r="F14" i="1"/>
  <c r="F19" i="1"/>
  <c r="F4" i="1"/>
  <c r="F2" i="1"/>
  <c r="H2" i="1" s="1"/>
  <c r="R2" i="1" s="1"/>
  <c r="Y2" i="1" s="1"/>
  <c r="F18" i="1"/>
  <c r="F21" i="1"/>
  <c r="F10" i="1"/>
  <c r="F5" i="1"/>
  <c r="F12" i="1"/>
  <c r="F23" i="1"/>
  <c r="F3" i="1"/>
  <c r="F7" i="1"/>
  <c r="F8" i="1"/>
  <c r="F26" i="1"/>
  <c r="F9" i="1"/>
  <c r="F24" i="1"/>
  <c r="F17" i="1"/>
  <c r="F15" i="1"/>
  <c r="F20" i="1"/>
  <c r="F27" i="1"/>
  <c r="W3" i="5"/>
  <c r="W7" i="5"/>
  <c r="W11" i="5"/>
  <c r="X11" i="5" s="1"/>
  <c r="W26" i="5"/>
  <c r="X26" i="5" s="1"/>
  <c r="W12" i="5"/>
  <c r="X12" i="5" s="1"/>
  <c r="W6" i="5"/>
  <c r="X6" i="5" s="1"/>
  <c r="W22" i="5"/>
  <c r="X22" i="5" s="1"/>
  <c r="W18" i="5"/>
  <c r="X18" i="5" s="1"/>
  <c r="W19" i="5"/>
  <c r="X19" i="5" s="1"/>
  <c r="W9" i="5"/>
  <c r="X9" i="5" s="1"/>
  <c r="X8" i="5"/>
  <c r="W20" i="5"/>
  <c r="W5" i="5"/>
  <c r="W21" i="5"/>
  <c r="W24" i="5"/>
  <c r="W13" i="5"/>
  <c r="X13" i="5" s="1"/>
  <c r="W16" i="5"/>
  <c r="X16" i="5" s="1"/>
  <c r="X2" i="5"/>
  <c r="W4" i="5"/>
  <c r="X4" i="5" s="1"/>
  <c r="W14" i="5"/>
  <c r="X14" i="5" s="1"/>
  <c r="W10" i="5"/>
  <c r="X10" i="5" s="1"/>
  <c r="W25" i="5"/>
  <c r="D29" i="4" l="1"/>
  <c r="J29" i="4" s="1"/>
  <c r="F13" i="5"/>
  <c r="F25" i="5"/>
  <c r="F6" i="5"/>
  <c r="F9" i="5"/>
  <c r="F21" i="5"/>
  <c r="F12" i="5"/>
  <c r="F16" i="5"/>
  <c r="F14" i="5"/>
  <c r="F19" i="5"/>
  <c r="F2" i="5"/>
  <c r="P2" i="5" s="1"/>
  <c r="F3" i="5"/>
  <c r="F20" i="5"/>
  <c r="F11" i="5"/>
  <c r="F18" i="5"/>
  <c r="F4" i="5"/>
  <c r="F10" i="5"/>
  <c r="F17" i="5"/>
  <c r="F15" i="5"/>
  <c r="F24" i="5"/>
  <c r="F7" i="5"/>
  <c r="F22" i="5"/>
  <c r="F5" i="5"/>
  <c r="F26" i="5"/>
  <c r="G13" i="3"/>
  <c r="Q13" i="3" s="1"/>
  <c r="G28" i="3"/>
  <c r="Q28" i="3" s="1"/>
  <c r="G37" i="3"/>
  <c r="Q37" i="3" s="1"/>
  <c r="G2" i="3"/>
  <c r="Q2" i="3" s="1"/>
  <c r="G9" i="3"/>
  <c r="Q9" i="3" s="1"/>
  <c r="G39" i="3"/>
  <c r="Q39" i="3" s="1"/>
  <c r="G26" i="3"/>
  <c r="Q26" i="3" s="1"/>
  <c r="G18" i="3"/>
  <c r="Q18" i="3" s="1"/>
  <c r="G14" i="3"/>
  <c r="Q14" i="3" s="1"/>
  <c r="G17" i="3"/>
  <c r="Q17" i="3" s="1"/>
  <c r="G23" i="3"/>
  <c r="Q23" i="3" s="1"/>
  <c r="G10" i="3"/>
  <c r="Q10" i="3" s="1"/>
  <c r="G30" i="3"/>
  <c r="Q30" i="3" s="1"/>
  <c r="G20" i="3"/>
  <c r="Q20" i="3" s="1"/>
  <c r="G33" i="3"/>
  <c r="Q33" i="3" s="1"/>
  <c r="G38" i="3"/>
  <c r="Q38" i="3" s="1"/>
  <c r="G7" i="3"/>
  <c r="Q7" i="3" s="1"/>
  <c r="G11" i="3"/>
  <c r="Q11" i="3" s="1"/>
  <c r="G4" i="3"/>
  <c r="Q4" i="3" s="1"/>
  <c r="G5" i="3"/>
  <c r="Q5" i="3" s="1"/>
  <c r="G15" i="3"/>
  <c r="Q15" i="3" s="1"/>
  <c r="G21" i="3"/>
  <c r="Q21" i="3" s="1"/>
  <c r="G29" i="3"/>
  <c r="Q29" i="3" s="1"/>
  <c r="G24" i="3"/>
  <c r="Q24" i="3" s="1"/>
  <c r="G6" i="3"/>
  <c r="Q6" i="3" s="1"/>
  <c r="G8" i="3"/>
  <c r="Q8" i="3" s="1"/>
  <c r="G3" i="3"/>
  <c r="Q3" i="3" s="1"/>
  <c r="G25" i="3"/>
  <c r="Q25" i="3" s="1"/>
  <c r="G19" i="3"/>
  <c r="Q19" i="3" s="1"/>
  <c r="G16" i="3"/>
  <c r="Q16" i="3" s="1"/>
  <c r="G4" i="2"/>
  <c r="G6" i="2"/>
  <c r="G2" i="2"/>
  <c r="G3" i="2"/>
  <c r="H16" i="1"/>
  <c r="R16" i="1" s="1"/>
  <c r="Y16" i="1" s="1"/>
  <c r="H21" i="1"/>
  <c r="R21" i="1" s="1"/>
  <c r="Y21" i="1" s="1"/>
  <c r="H24" i="1"/>
  <c r="R24" i="1" s="1"/>
  <c r="Y24" i="1" s="1"/>
  <c r="H5" i="1"/>
  <c r="R5" i="1" s="1"/>
  <c r="Y5" i="1" s="1"/>
  <c r="H12" i="1"/>
  <c r="R12" i="1" s="1"/>
  <c r="Y12" i="1" s="1"/>
  <c r="H14" i="1"/>
  <c r="R14" i="1" s="1"/>
  <c r="Y14" i="1" s="1"/>
  <c r="H3" i="1"/>
  <c r="R3" i="1" s="1"/>
  <c r="Y3" i="1" s="1"/>
  <c r="H10" i="1"/>
  <c r="R10" i="1" s="1"/>
  <c r="Y10" i="1" s="1"/>
  <c r="H15" i="1"/>
  <c r="R15" i="1" s="1"/>
  <c r="Y15" i="1" s="1"/>
  <c r="H20" i="1"/>
  <c r="R20" i="1" s="1"/>
  <c r="Y20" i="1" s="1"/>
  <c r="H9" i="1"/>
  <c r="R9" i="1" s="1"/>
  <c r="Y9" i="1" s="1"/>
  <c r="H11" i="1"/>
  <c r="R11" i="1" s="1"/>
  <c r="Y11" i="1" s="1"/>
  <c r="H17" i="1"/>
  <c r="R17" i="1" s="1"/>
  <c r="Y17" i="1" s="1"/>
  <c r="H13" i="1"/>
  <c r="R13" i="1" s="1"/>
  <c r="Y13" i="1" s="1"/>
  <c r="H23" i="1"/>
  <c r="R23" i="1" s="1"/>
  <c r="Y23" i="1" s="1"/>
  <c r="H19" i="1"/>
  <c r="R19" i="1" s="1"/>
  <c r="Y19" i="1" s="1"/>
  <c r="H26" i="1"/>
  <c r="R26" i="1" s="1"/>
  <c r="Y26" i="1" s="1"/>
  <c r="H18" i="1"/>
  <c r="R18" i="1" s="1"/>
  <c r="Y18" i="1" s="1"/>
  <c r="H4" i="1"/>
  <c r="R4" i="1" s="1"/>
  <c r="Y4" i="1" s="1"/>
  <c r="H7" i="1"/>
  <c r="R7" i="1" s="1"/>
  <c r="Y7" i="1" s="1"/>
  <c r="H27" i="1"/>
  <c r="R27" i="1" s="1"/>
  <c r="Y27" i="1" s="1"/>
  <c r="H8" i="1"/>
  <c r="R8" i="1" s="1"/>
  <c r="Y8" i="1" s="1"/>
  <c r="X20" i="5"/>
  <c r="X7" i="5"/>
  <c r="X24" i="5"/>
  <c r="X3" i="5"/>
  <c r="X5" i="5"/>
  <c r="X21" i="5"/>
  <c r="W15" i="5"/>
  <c r="X15" i="5" s="1"/>
  <c r="W17" i="5"/>
  <c r="X17" i="5" s="1"/>
  <c r="X25" i="5"/>
  <c r="K26" i="4"/>
  <c r="S2" i="1" l="1"/>
  <c r="Q20" i="5"/>
  <c r="Q13" i="5"/>
  <c r="Q11" i="5"/>
  <c r="Q5" i="5"/>
  <c r="Q3" i="5"/>
  <c r="Q26" i="5"/>
  <c r="Q2" i="5"/>
  <c r="Q18" i="5"/>
  <c r="Q22" i="5"/>
  <c r="Q19" i="5"/>
  <c r="Q7" i="5"/>
  <c r="Q14" i="5"/>
  <c r="Q24" i="5"/>
  <c r="Q16" i="5"/>
  <c r="Q25" i="5"/>
  <c r="Q15" i="5"/>
  <c r="Q12" i="5"/>
  <c r="Q17" i="5"/>
  <c r="Q21" i="5"/>
  <c r="Q10" i="5"/>
  <c r="Q9" i="5"/>
  <c r="Q4" i="5"/>
  <c r="Q6" i="5"/>
  <c r="R15" i="3"/>
  <c r="R3" i="3"/>
  <c r="R14" i="3"/>
  <c r="R39" i="3"/>
  <c r="R17" i="3"/>
  <c r="R19" i="3"/>
  <c r="R26" i="3"/>
  <c r="R38" i="3"/>
  <c r="R9" i="3"/>
  <c r="R16" i="3"/>
  <c r="R5" i="3"/>
  <c r="R18" i="3"/>
  <c r="R6" i="3"/>
  <c r="R33" i="3"/>
  <c r="R2" i="3"/>
  <c r="R11" i="3"/>
  <c r="R24" i="3"/>
  <c r="R20" i="3"/>
  <c r="R37" i="3"/>
  <c r="R21" i="3"/>
  <c r="R4" i="3"/>
  <c r="R8" i="3"/>
  <c r="R30" i="3"/>
  <c r="R28" i="3"/>
  <c r="R23" i="3"/>
  <c r="R25" i="3"/>
  <c r="R7" i="3"/>
  <c r="R29" i="3"/>
  <c r="R10" i="3"/>
  <c r="F15" i="4"/>
  <c r="P15" i="4" s="1"/>
  <c r="AA33" i="3"/>
  <c r="AA8" i="3"/>
  <c r="AA26" i="3"/>
  <c r="AA11" i="3"/>
  <c r="AA39" i="3"/>
  <c r="AA6" i="3"/>
  <c r="AA24" i="3"/>
  <c r="AA38" i="3"/>
  <c r="AA5" i="3"/>
  <c r="AA4" i="3"/>
  <c r="AA20" i="3"/>
  <c r="AA16" i="3"/>
  <c r="AA30" i="3"/>
  <c r="AA9" i="3"/>
  <c r="AA2" i="3"/>
  <c r="AA37" i="3"/>
  <c r="AA7" i="3"/>
  <c r="AA10" i="3"/>
  <c r="AA28" i="3"/>
  <c r="AA14" i="3"/>
  <c r="AA25" i="3"/>
  <c r="AA3" i="3"/>
  <c r="AA18" i="3"/>
  <c r="AA29" i="3"/>
  <c r="AA23" i="3"/>
  <c r="AA21" i="3"/>
  <c r="AA17" i="3"/>
  <c r="AA19" i="3"/>
  <c r="AA15" i="3"/>
  <c r="T25" i="5" l="1"/>
  <c r="T19" i="5"/>
  <c r="T9" i="5"/>
  <c r="Z25" i="5" l="1"/>
  <c r="Z19" i="5"/>
  <c r="Z9" i="5"/>
  <c r="U39" i="3"/>
  <c r="X39" i="3" s="1"/>
  <c r="U18" i="3"/>
  <c r="X18" i="3" s="1"/>
  <c r="T22" i="5" l="1"/>
  <c r="T18" i="5"/>
  <c r="Z18" i="5" l="1"/>
  <c r="Z22" i="5"/>
  <c r="L15" i="4" l="1"/>
  <c r="T13" i="5" l="1"/>
  <c r="T16" i="5"/>
  <c r="T2" i="5"/>
  <c r="T4" i="5"/>
  <c r="Z4" i="5" s="1"/>
  <c r="T17" i="5"/>
  <c r="T3" i="5"/>
  <c r="T7" i="5"/>
  <c r="T11" i="5"/>
  <c r="T26" i="5"/>
  <c r="T12" i="5"/>
  <c r="T14" i="5"/>
  <c r="T6" i="5"/>
  <c r="T10" i="5"/>
  <c r="T15" i="5"/>
  <c r="T21" i="5"/>
  <c r="T24" i="5"/>
  <c r="Z24" i="5" s="1"/>
  <c r="T20" i="5"/>
  <c r="T5" i="5"/>
  <c r="T8" i="5"/>
  <c r="Z8" i="5" s="1"/>
  <c r="Z26" i="5" l="1"/>
  <c r="Z11" i="5"/>
  <c r="Z5" i="5"/>
  <c r="Z7" i="5"/>
  <c r="Z10" i="5"/>
  <c r="Z12" i="5"/>
  <c r="Z20" i="5"/>
  <c r="Z3" i="5"/>
  <c r="Z21" i="5"/>
  <c r="Z15" i="5"/>
  <c r="Z17" i="5"/>
  <c r="Z6" i="5"/>
  <c r="Z14" i="5"/>
  <c r="Z16" i="5"/>
  <c r="Z13" i="5"/>
  <c r="U24" i="3"/>
  <c r="X24" i="3" s="1"/>
  <c r="U6" i="3"/>
  <c r="X6" i="3" s="1"/>
  <c r="U6" i="2"/>
  <c r="U38" i="3"/>
  <c r="X38" i="3" s="1"/>
  <c r="U3" i="3"/>
  <c r="X3" i="3" s="1"/>
  <c r="U10" i="3"/>
  <c r="X10" i="3" s="1"/>
  <c r="U26" i="3"/>
  <c r="X26" i="3" s="1"/>
  <c r="U15" i="3"/>
  <c r="X15" i="3" s="1"/>
  <c r="U21" i="3"/>
  <c r="X21" i="3" s="1"/>
  <c r="U5" i="3"/>
  <c r="X5" i="3" s="1"/>
  <c r="U29" i="3"/>
  <c r="X29" i="3" s="1"/>
  <c r="U14" i="3"/>
  <c r="X14" i="3" s="1"/>
  <c r="U17" i="3"/>
  <c r="X17" i="3" s="1"/>
  <c r="U23" i="3"/>
  <c r="X23" i="3" s="1"/>
  <c r="U7" i="3"/>
  <c r="X7" i="3" s="1"/>
  <c r="U3" i="2"/>
  <c r="U9" i="3"/>
  <c r="X9" i="3" s="1"/>
  <c r="U33" i="3"/>
  <c r="X33" i="3" s="1"/>
  <c r="U20" i="3"/>
  <c r="X20" i="3" s="1"/>
  <c r="U4" i="3"/>
  <c r="X4" i="3" s="1"/>
  <c r="U8" i="3"/>
  <c r="X8" i="3" s="1"/>
  <c r="U13" i="3"/>
  <c r="X13" i="3" s="1"/>
  <c r="U16" i="3"/>
  <c r="X16" i="3" s="1"/>
  <c r="U2" i="3"/>
  <c r="X2" i="3" s="1"/>
  <c r="U37" i="3"/>
  <c r="X37" i="3" s="1"/>
  <c r="U30" i="3"/>
  <c r="X30" i="3" s="1"/>
  <c r="U19" i="3"/>
  <c r="X19" i="3" s="1"/>
  <c r="U11" i="3"/>
  <c r="X11" i="3" s="1"/>
  <c r="U25" i="3"/>
  <c r="X25" i="3" s="1"/>
  <c r="U28" i="3"/>
  <c r="X28" i="3" s="1"/>
  <c r="U4" i="2"/>
  <c r="H15" i="4" l="1"/>
  <c r="I15" i="4"/>
  <c r="J15" i="4"/>
  <c r="G15" i="4"/>
  <c r="K15" i="4" l="1"/>
  <c r="AA13" i="3" l="1"/>
  <c r="R13" i="3"/>
  <c r="S20" i="1" l="1"/>
  <c r="S10" i="1" l="1"/>
  <c r="S8" i="1"/>
  <c r="S5" i="1"/>
  <c r="S17" i="1"/>
  <c r="S4" i="1"/>
  <c r="S26" i="1"/>
  <c r="S3" i="1"/>
  <c r="S9" i="1"/>
  <c r="S7" i="1"/>
  <c r="S15" i="1"/>
  <c r="S23" i="1"/>
  <c r="S16" i="1"/>
  <c r="S13" i="1"/>
  <c r="S19" i="1"/>
  <c r="S12" i="1"/>
  <c r="S14" i="1"/>
  <c r="S18" i="1"/>
  <c r="S24" i="1"/>
  <c r="S11" i="1"/>
  <c r="S21" i="1"/>
  <c r="S27" i="1"/>
  <c r="R4" i="2" l="1"/>
  <c r="R3" i="2"/>
  <c r="R6" i="2"/>
  <c r="R2" i="2"/>
</calcChain>
</file>

<file path=xl/sharedStrings.xml><?xml version="1.0" encoding="utf-8"?>
<sst xmlns="http://schemas.openxmlformats.org/spreadsheetml/2006/main" count="1373" uniqueCount="780">
  <si>
    <t xml:space="preserve">NAME </t>
  </si>
  <si>
    <t>BRANCH</t>
  </si>
  <si>
    <t xml:space="preserve">ROLE </t>
  </si>
  <si>
    <t>CAROLINE GITAU</t>
  </si>
  <si>
    <t>ECOBANK</t>
  </si>
  <si>
    <t>SCO</t>
  </si>
  <si>
    <t>ANNASTANCIA MUE</t>
  </si>
  <si>
    <t>CO</t>
  </si>
  <si>
    <t>ESTHER WANJIKU KIORIA</t>
  </si>
  <si>
    <t>ELDORET</t>
  </si>
  <si>
    <t>FO</t>
  </si>
  <si>
    <t>HELLEN MIGOYE</t>
  </si>
  <si>
    <t>HOMABAY</t>
  </si>
  <si>
    <t>KISUMU</t>
  </si>
  <si>
    <t>JOSEPHINE BEATRICE NYAMWAYA</t>
  </si>
  <si>
    <t>WINNIE AYUMA OYUGI</t>
  </si>
  <si>
    <t>JANE KARIAINTO</t>
  </si>
  <si>
    <t>KITENGELA</t>
  </si>
  <si>
    <t>CHARITY MWENDWA</t>
  </si>
  <si>
    <t>KITUI</t>
  </si>
  <si>
    <t>MOMBASA</t>
  </si>
  <si>
    <t>MITCHEL SALOME</t>
  </si>
  <si>
    <t>DAMARIS WAKIO</t>
  </si>
  <si>
    <t>DAISY KIBET</t>
  </si>
  <si>
    <t>NAKURU</t>
  </si>
  <si>
    <t>JACKLINE KATHURE MURIITHI</t>
  </si>
  <si>
    <t>PENSION</t>
  </si>
  <si>
    <t>MODESTY LIMO</t>
  </si>
  <si>
    <t>WEMA MAUREEN</t>
  </si>
  <si>
    <t>SUSAN WANJOHI</t>
  </si>
  <si>
    <t>THIKA</t>
  </si>
  <si>
    <t>JANE KARIMI</t>
  </si>
  <si>
    <t>ABM</t>
  </si>
  <si>
    <t>YVONNE MWIKALI</t>
  </si>
  <si>
    <t>PERIS MACHARIA</t>
  </si>
  <si>
    <t>TRADE CENTER</t>
  </si>
  <si>
    <t>RITAH MUTHONI</t>
  </si>
  <si>
    <t>NORAH ANGOTE</t>
  </si>
  <si>
    <t>FELISTUS MUTHEU</t>
  </si>
  <si>
    <t>VOI</t>
  </si>
  <si>
    <t>TL</t>
  </si>
  <si>
    <t>LILIAN CHAO</t>
  </si>
  <si>
    <t xml:space="preserve">JANUARY </t>
  </si>
  <si>
    <t xml:space="preserve"> QUARTER FOUR TARGET</t>
  </si>
  <si>
    <t>DECEMBER</t>
  </si>
  <si>
    <t>NOVEMBER</t>
  </si>
  <si>
    <t>OCTOBER</t>
  </si>
  <si>
    <t>EVERLINE ATIENO</t>
  </si>
  <si>
    <t>PATRICIA MWENDE</t>
  </si>
  <si>
    <t>EPHRAIM NGATIA</t>
  </si>
  <si>
    <t>ROSELINE WANGU</t>
  </si>
  <si>
    <t>RACHAEL MBITHE</t>
  </si>
  <si>
    <t>EMMILLY NYAWERA</t>
  </si>
  <si>
    <t>ALICE LOMO</t>
  </si>
  <si>
    <t>FRANSISCA JERUTICH</t>
  </si>
  <si>
    <t>ROBERT GABRIEL</t>
  </si>
  <si>
    <t>STEVE HABWE</t>
  </si>
  <si>
    <t>RICHARD KABINGA SINGOMBE</t>
  </si>
  <si>
    <t>STEPHENE NYAUMA</t>
  </si>
  <si>
    <t>OLIVER ODONGO</t>
  </si>
  <si>
    <t>FRIDAH MWONDO</t>
  </si>
  <si>
    <t>GLADYS PAUL</t>
  </si>
  <si>
    <t>IRENE MUSYOKI</t>
  </si>
  <si>
    <t>JANICE KAWIRA</t>
  </si>
  <si>
    <t>STEVE ODONGO</t>
  </si>
  <si>
    <t>LUKAS MANAMAWE</t>
  </si>
  <si>
    <t>GLADYS WAKESHO</t>
  </si>
  <si>
    <t>SELINA NALIAKA</t>
  </si>
  <si>
    <t>NELSON MANDELA</t>
  </si>
  <si>
    <t>BENARD OGELLO</t>
  </si>
  <si>
    <t>CAROLINE MUTILE</t>
  </si>
  <si>
    <t>SAMWEL MUTINDA</t>
  </si>
  <si>
    <t>WINFRED MAKENA</t>
  </si>
  <si>
    <t>SALOME MWANDIRI</t>
  </si>
  <si>
    <t>ELIJAH NGILA</t>
  </si>
  <si>
    <t>DANIEL MUGUNA</t>
  </si>
  <si>
    <t>CLAIRE WANGECHI</t>
  </si>
  <si>
    <t>JEREMIAH KAMULA</t>
  </si>
  <si>
    <t>MILLICENT KIRUKI</t>
  </si>
  <si>
    <t>MONTHLY TOTAL</t>
  </si>
  <si>
    <t>TOTAL</t>
  </si>
  <si>
    <t>CALL CENTER AGENT</t>
  </si>
  <si>
    <t>FAITH NJERI</t>
  </si>
  <si>
    <t>CECILIA WANDERI</t>
  </si>
  <si>
    <t>CORAZON CHECKOFF</t>
  </si>
  <si>
    <t>MACLINE GATI</t>
  </si>
  <si>
    <t>CHRISTINE OIRA</t>
  </si>
  <si>
    <t>GILBERT OBURA NYANGAU</t>
  </si>
  <si>
    <t>EVELYN ANGAYWA</t>
  </si>
  <si>
    <t>JOHN PAUL</t>
  </si>
  <si>
    <t>MONICAH CHEPCHIRCHIR</t>
  </si>
  <si>
    <t>SHARLEEN VULIFA</t>
  </si>
  <si>
    <t>BRIAN ODUOR</t>
  </si>
  <si>
    <t>ALPHA AGUKO</t>
  </si>
  <si>
    <t>JOSEPH KAMAU</t>
  </si>
  <si>
    <t>THOMAS ONYIKWA</t>
  </si>
  <si>
    <t>FAITH KAHARE</t>
  </si>
  <si>
    <t>WILLIAM ODIANGA</t>
  </si>
  <si>
    <t>MARGARET ABIGAEL</t>
  </si>
  <si>
    <t>SARAH WAIRIMU</t>
  </si>
  <si>
    <t>MCL NO</t>
  </si>
  <si>
    <t>MCL037</t>
  </si>
  <si>
    <t>MCL110</t>
  </si>
  <si>
    <t>MCL154</t>
  </si>
  <si>
    <t>MCL188</t>
  </si>
  <si>
    <t>MCL189</t>
  </si>
  <si>
    <t>MCL208</t>
  </si>
  <si>
    <t>MCL258</t>
  </si>
  <si>
    <t>MCL259</t>
  </si>
  <si>
    <t>MCL263</t>
  </si>
  <si>
    <t>MCL268</t>
  </si>
  <si>
    <t>MCL309</t>
  </si>
  <si>
    <t>MCL399</t>
  </si>
  <si>
    <t>MCL443</t>
  </si>
  <si>
    <t>MCL450</t>
  </si>
  <si>
    <t>MCL454</t>
  </si>
  <si>
    <t>MCL526</t>
  </si>
  <si>
    <t>MCL572</t>
  </si>
  <si>
    <t>MCL590</t>
  </si>
  <si>
    <t>MCL600</t>
  </si>
  <si>
    <t>MCL604</t>
  </si>
  <si>
    <t>MCL660</t>
  </si>
  <si>
    <t>MCL677</t>
  </si>
  <si>
    <t>MCL697</t>
  </si>
  <si>
    <t>MCL706</t>
  </si>
  <si>
    <t>MCL718</t>
  </si>
  <si>
    <t>MCL721</t>
  </si>
  <si>
    <t>MCL751</t>
  </si>
  <si>
    <t>MCL763</t>
  </si>
  <si>
    <t>MCL766</t>
  </si>
  <si>
    <t>MCL776</t>
  </si>
  <si>
    <t>MCL777</t>
  </si>
  <si>
    <t>MCL801</t>
  </si>
  <si>
    <t>MCL816</t>
  </si>
  <si>
    <t>MCL850</t>
  </si>
  <si>
    <t>MCL869</t>
  </si>
  <si>
    <t>MCL889</t>
  </si>
  <si>
    <t>MCL900</t>
  </si>
  <si>
    <t>MCL940</t>
  </si>
  <si>
    <t>MCL943</t>
  </si>
  <si>
    <t>MCL945</t>
  </si>
  <si>
    <t>MCL946</t>
  </si>
  <si>
    <t>MCL950</t>
  </si>
  <si>
    <t>MCL956</t>
  </si>
  <si>
    <t>MCL958</t>
  </si>
  <si>
    <t>MCL991</t>
  </si>
  <si>
    <t>MCL992</t>
  </si>
  <si>
    <t>MCL993</t>
  </si>
  <si>
    <t>MCL1001</t>
  </si>
  <si>
    <t>MCL1002</t>
  </si>
  <si>
    <t>SALES CODE</t>
  </si>
  <si>
    <t>S01271</t>
  </si>
  <si>
    <t>S00736</t>
  </si>
  <si>
    <t>S020091</t>
  </si>
  <si>
    <t>S00242</t>
  </si>
  <si>
    <t>S00383</t>
  </si>
  <si>
    <t>S01016</t>
  </si>
  <si>
    <t>S01349</t>
  </si>
  <si>
    <t>S01511</t>
  </si>
  <si>
    <t>S01513</t>
  </si>
  <si>
    <t>S01654</t>
  </si>
  <si>
    <t>S01722</t>
  </si>
  <si>
    <t>S01723</t>
  </si>
  <si>
    <t>S020129</t>
  </si>
  <si>
    <t>S020130</t>
  </si>
  <si>
    <t>S020132</t>
  </si>
  <si>
    <t>S020133</t>
  </si>
  <si>
    <t>S01595</t>
  </si>
  <si>
    <t>SALES CODES</t>
  </si>
  <si>
    <t>TL0009</t>
  </si>
  <si>
    <t>TL0114</t>
  </si>
  <si>
    <t>TL0041</t>
  </si>
  <si>
    <t>TL0152</t>
  </si>
  <si>
    <t>S00404</t>
  </si>
  <si>
    <t>TL0002</t>
  </si>
  <si>
    <t>TL0196</t>
  </si>
  <si>
    <t>S00061</t>
  </si>
  <si>
    <t>S01233</t>
  </si>
  <si>
    <t>TL12346</t>
  </si>
  <si>
    <t>TL0178</t>
  </si>
  <si>
    <t>TL0202</t>
  </si>
  <si>
    <t>TL0203</t>
  </si>
  <si>
    <t>TL0207</t>
  </si>
  <si>
    <t>TL0138</t>
  </si>
  <si>
    <t>TL0180</t>
  </si>
  <si>
    <t>S01223</t>
  </si>
  <si>
    <t>TL0195</t>
  </si>
  <si>
    <t>TL0198</t>
  </si>
  <si>
    <t>TL0101</t>
  </si>
  <si>
    <t>S02043</t>
  </si>
  <si>
    <t>TL0062</t>
  </si>
  <si>
    <t>S01821</t>
  </si>
  <si>
    <t>S00597</t>
  </si>
  <si>
    <t>S01697</t>
  </si>
  <si>
    <t>S01750</t>
  </si>
  <si>
    <t>S00218</t>
  </si>
  <si>
    <t>S00207</t>
  </si>
  <si>
    <t>S01782</t>
  </si>
  <si>
    <t>S01267</t>
  </si>
  <si>
    <t>S01809</t>
  </si>
  <si>
    <t>S01177</t>
  </si>
  <si>
    <t>S00466</t>
  </si>
  <si>
    <t>S00185</t>
  </si>
  <si>
    <t>S00382</t>
  </si>
  <si>
    <t>S01784</t>
  </si>
  <si>
    <t>S01914</t>
  </si>
  <si>
    <t>S01175</t>
  </si>
  <si>
    <t>S01300</t>
  </si>
  <si>
    <t>S01848</t>
  </si>
  <si>
    <t>TOTAL PORTORLIO</t>
  </si>
  <si>
    <t xml:space="preserve">ARREAS </t>
  </si>
  <si>
    <t>PRINCIPAL</t>
  </si>
  <si>
    <t>PAR</t>
  </si>
  <si>
    <t>S00050</t>
  </si>
  <si>
    <t>S00027</t>
  </si>
  <si>
    <t>TL3008</t>
  </si>
  <si>
    <t>COMMISION</t>
  </si>
  <si>
    <t>S00142</t>
  </si>
  <si>
    <t>S00512</t>
  </si>
  <si>
    <t>TL0147</t>
  </si>
  <si>
    <t>TL0057</t>
  </si>
  <si>
    <t>S00233</t>
  </si>
  <si>
    <t>COMMISSION</t>
  </si>
  <si>
    <t>%ACHIEVED</t>
  </si>
  <si>
    <t>TARGET</t>
  </si>
  <si>
    <t>FEBRUARY</t>
  </si>
  <si>
    <t>NELLY IMBUSI</t>
  </si>
  <si>
    <t>SALOME GICHUHO</t>
  </si>
  <si>
    <t>S020135</t>
  </si>
  <si>
    <t>S020138</t>
  </si>
  <si>
    <t>VALUATION</t>
  </si>
  <si>
    <t>S00567</t>
  </si>
  <si>
    <t>S00074</t>
  </si>
  <si>
    <t xml:space="preserve">PENDING FULL BOOKINGS </t>
  </si>
  <si>
    <t>MAURICE CERULLO</t>
  </si>
  <si>
    <t>New</t>
  </si>
  <si>
    <t>CYRUS MUTHEMBA</t>
  </si>
  <si>
    <t>LO</t>
  </si>
  <si>
    <t xml:space="preserve">MIRRIAM AHMED </t>
  </si>
  <si>
    <t>S00538</t>
  </si>
  <si>
    <t xml:space="preserve">MONTHLY TARGET </t>
  </si>
  <si>
    <t>MCL461</t>
  </si>
  <si>
    <t>MCL286</t>
  </si>
  <si>
    <t>MORRIS MUGALO</t>
  </si>
  <si>
    <t>MCL1007</t>
  </si>
  <si>
    <t>HAAVIAH ODONGO</t>
  </si>
  <si>
    <t>MCL476</t>
  </si>
  <si>
    <t>MCL453</t>
  </si>
  <si>
    <t>TL0243</t>
  </si>
  <si>
    <t>TL0067</t>
  </si>
  <si>
    <t>TL0205</t>
  </si>
  <si>
    <t>IVY ATIENO</t>
  </si>
  <si>
    <t>IRENE AWUOR</t>
  </si>
  <si>
    <t>MICHELLE WAMALWA</t>
  </si>
  <si>
    <t>MCL978</t>
  </si>
  <si>
    <t>MCL981</t>
  </si>
  <si>
    <t>S02117</t>
  </si>
  <si>
    <t>MTD TARGET</t>
  </si>
  <si>
    <t xml:space="preserve">MANAGER </t>
  </si>
  <si>
    <t>BENSON AGUNDA</t>
  </si>
  <si>
    <t>COLLINS AMBIRA</t>
  </si>
  <si>
    <t>MIRRIAM WAMBUI</t>
  </si>
  <si>
    <t>BENEDICT NYALO</t>
  </si>
  <si>
    <t>DAVID OJWANG</t>
  </si>
  <si>
    <t>JOSEPHAT KIPNGENO</t>
  </si>
  <si>
    <t>ABEDNEGO MUNYAO</t>
  </si>
  <si>
    <t xml:space="preserve">RSM NAME </t>
  </si>
  <si>
    <t>BUYOFFS</t>
  </si>
  <si>
    <t>NYANZA REGION</t>
  </si>
  <si>
    <t>NAIROBI REGION</t>
  </si>
  <si>
    <t>RIFT VALLEY REGION</t>
  </si>
  <si>
    <t>LOWER EASTERN</t>
  </si>
  <si>
    <t>COASTAL  REGION</t>
  </si>
  <si>
    <t>MOUNT KENYA REGION</t>
  </si>
  <si>
    <t>EASTERN REGION</t>
  </si>
  <si>
    <t>WESTERN REGION</t>
  </si>
  <si>
    <t>STEPHINE MULWA</t>
  </si>
  <si>
    <t>MCL CHECKOFF</t>
  </si>
  <si>
    <t>RSM</t>
  </si>
  <si>
    <t>NA</t>
  </si>
  <si>
    <t>KEVIN HAGIN</t>
  </si>
  <si>
    <t>SHADRACK KUYEBI</t>
  </si>
  <si>
    <t>CHEPTOO SHARON</t>
  </si>
  <si>
    <t>OGADA JOSEPHAT</t>
  </si>
  <si>
    <t>CATHERINE KISAMWA</t>
  </si>
  <si>
    <t>MCL835</t>
  </si>
  <si>
    <t>MCL899</t>
  </si>
  <si>
    <t>MCL961</t>
  </si>
  <si>
    <t>MCL406</t>
  </si>
  <si>
    <t>MCL827</t>
  </si>
  <si>
    <t>MCL846</t>
  </si>
  <si>
    <t>MCL925</t>
  </si>
  <si>
    <t>MCL642</t>
  </si>
  <si>
    <t>MCL425</t>
  </si>
  <si>
    <t>MCL965</t>
  </si>
  <si>
    <t>MCL911</t>
  </si>
  <si>
    <t xml:space="preserve">ARREARS </t>
  </si>
  <si>
    <t>CHANGES</t>
  </si>
  <si>
    <t>MWANANCHI CREDIT LIMITED</t>
  </si>
  <si>
    <t>MCL861</t>
  </si>
  <si>
    <t>MCL156</t>
  </si>
  <si>
    <t>MCL308</t>
  </si>
  <si>
    <t/>
  </si>
  <si>
    <t>SAMUEL  CHELOTI  WAMBULWA</t>
  </si>
  <si>
    <t>ABEL MOTANYA OKEMWA</t>
  </si>
  <si>
    <t>JANE KANGAI KARIMI</t>
  </si>
  <si>
    <t>IRENE  VAATI MUSYOKA</t>
  </si>
  <si>
    <t xml:space="preserve">PRINCIPAL OUTSTANDING </t>
  </si>
  <si>
    <t>NEW SALES ABOVE TARGET</t>
  </si>
  <si>
    <t>%ACHIEVED ON TOTAL SALES</t>
  </si>
  <si>
    <t>LOAN TYPE</t>
  </si>
  <si>
    <t>WEEKEND</t>
  </si>
  <si>
    <t>UNSECURED</t>
  </si>
  <si>
    <t>TITLE DEED</t>
  </si>
  <si>
    <t>CHECKOFF</t>
  </si>
  <si>
    <t>TRADE FINANCE</t>
  </si>
  <si>
    <t>LOGBOOK</t>
  </si>
  <si>
    <t>LPO FINANCING</t>
  </si>
  <si>
    <t>ASSET FINANCE</t>
  </si>
  <si>
    <t>IMPORT FINANCE</t>
  </si>
  <si>
    <t>STAFF LOAN</t>
  </si>
  <si>
    <t>BODA BODA</t>
  </si>
  <si>
    <t>CHEQUE DISCOUNTING</t>
  </si>
  <si>
    <t>INSURANCE</t>
  </si>
  <si>
    <t>DATE</t>
  </si>
  <si>
    <t>NEW NORMAL SALES</t>
  </si>
  <si>
    <t>MARCH</t>
  </si>
  <si>
    <t>DAILY</t>
  </si>
  <si>
    <t>START DATE</t>
  </si>
  <si>
    <t>TODAY</t>
  </si>
  <si>
    <t>MARCH NEW BUSINES</t>
  </si>
  <si>
    <t>TOTAL SALES  PLUS FULL BOKING</t>
  </si>
  <si>
    <t>CALL CENTER</t>
  </si>
  <si>
    <t>NELSON GITAU</t>
  </si>
  <si>
    <t>SAMUEL MULINGE</t>
  </si>
  <si>
    <t>JANUARY</t>
  </si>
  <si>
    <t>CAR SALE</t>
  </si>
  <si>
    <t>CAR REG</t>
  </si>
  <si>
    <t>MODEL</t>
  </si>
  <si>
    <t>NAME</t>
  </si>
  <si>
    <t>AMOUNT</t>
  </si>
  <si>
    <t>NISSAN MURANO</t>
  </si>
  <si>
    <t>ELIZABETH MUSYOKI</t>
  </si>
  <si>
    <t>KCF 898G</t>
  </si>
  <si>
    <t>EICHER TRUCK</t>
  </si>
  <si>
    <t>THOMAS KIPTUM KOECH</t>
  </si>
  <si>
    <t>KCW 379R</t>
  </si>
  <si>
    <t>NISSAN MARCH</t>
  </si>
  <si>
    <t>RUTH KATHAMBI MBINGA</t>
  </si>
  <si>
    <t>KAZ 976E</t>
  </si>
  <si>
    <t>TOYOTA HIACE</t>
  </si>
  <si>
    <t>KCU 398P</t>
  </si>
  <si>
    <t>NISSAN JUKE</t>
  </si>
  <si>
    <t>KHMA 743E</t>
  </si>
  <si>
    <t>EXCAVATOR KOMATSU</t>
  </si>
  <si>
    <t>MARTIN WAITHAKA MUEMA</t>
  </si>
  <si>
    <t>                                                      5/3/2024</t>
  </si>
  <si>
    <t>LAWRENCE GACHUA MACHARIA</t>
  </si>
  <si>
    <t>KCU 949G</t>
  </si>
  <si>
    <t>TOYOTA NOAH</t>
  </si>
  <si>
    <t xml:space="preserve">TEAM MEMBERS </t>
  </si>
  <si>
    <t>LAURYNE MUKULU</t>
  </si>
  <si>
    <t>DUNCAN OJIAMBO</t>
  </si>
  <si>
    <t>RELEASE</t>
  </si>
  <si>
    <t>AMOUNT PAID</t>
  </si>
  <si>
    <t>KCM 215K</t>
  </si>
  <si>
    <t>TOYOTA PREMIO</t>
  </si>
  <si>
    <t>JAMES NUGU NGUNG'U</t>
  </si>
  <si>
    <t>Simon Karongo Kamau</t>
  </si>
  <si>
    <t>KBV 925Y</t>
  </si>
  <si>
    <t>NISSAN PRESAGE</t>
  </si>
  <si>
    <t>WILLYS ODHIAMBO OKWARO</t>
  </si>
  <si>
    <t>KDM 933E</t>
  </si>
  <si>
    <t>TOYOTA COASTER BUS</t>
  </si>
  <si>
    <t>ANTHONY MTEKE MDACHI</t>
  </si>
  <si>
    <t>MOMBSA</t>
  </si>
  <si>
    <t>KDJ 540J</t>
  </si>
  <si>
    <t>DEFENDER</t>
  </si>
  <si>
    <t>BONIFACE WAMBUGU WANYIRI</t>
  </si>
  <si>
    <t xml:space="preserve">KCJ 361X </t>
  </si>
  <si>
    <t>FAW TRUCK</t>
  </si>
  <si>
    <t>WILLIAM MWITA ABED MAROA</t>
  </si>
  <si>
    <t>KCE 139T</t>
  </si>
  <si>
    <t>AUDI A4</t>
  </si>
  <si>
    <t>JACOB KAZUNGU</t>
  </si>
  <si>
    <t>KDM 309J</t>
  </si>
  <si>
    <t>MAZDA ATENZA</t>
  </si>
  <si>
    <t>Edmond musali mwendwa</t>
  </si>
  <si>
    <t>KCJ 550U</t>
  </si>
  <si>
    <t>LANDCRUISER V8</t>
  </si>
  <si>
    <t>FRANCIS MUHIKA</t>
  </si>
  <si>
    <t>KDB 530W</t>
  </si>
  <si>
    <t>Toyota Axio</t>
  </si>
  <si>
    <t>RACHAEL NYARANGI SIMEKA</t>
  </si>
  <si>
    <t>KCX 357U</t>
  </si>
  <si>
    <t>MITSUBISHI RVR</t>
  </si>
  <si>
    <t>MARY WANJIRU NJORAA</t>
  </si>
  <si>
    <t>S02125</t>
  </si>
  <si>
    <t>MTD</t>
  </si>
  <si>
    <t>%CHANGES</t>
  </si>
  <si>
    <t>DAILY TARGET</t>
  </si>
  <si>
    <t xml:space="preserve">VALUE COLLECTED </t>
  </si>
  <si>
    <t>VOLUME COLLECTED</t>
  </si>
  <si>
    <t>PARTIALLY PAID</t>
  </si>
  <si>
    <t>FULLY PAID</t>
  </si>
  <si>
    <t>OVER PAID</t>
  </si>
  <si>
    <t>TOTAL COLLECTIONS</t>
  </si>
  <si>
    <t>PRODUCT</t>
  </si>
  <si>
    <t>USER NAME</t>
  </si>
  <si>
    <t>JOHN NJORO</t>
  </si>
  <si>
    <t>JOSEPH KAREKO</t>
  </si>
  <si>
    <t>ESTHER NYAMBURA</t>
  </si>
  <si>
    <t>WYCLIFFE KITHEKA</t>
  </si>
  <si>
    <t>ENOCK JUMA</t>
  </si>
  <si>
    <t>ANTHONY MUNG'ARA</t>
  </si>
  <si>
    <t>JAPHET MOSBEI</t>
  </si>
  <si>
    <t xml:space="preserve">TOTAL COLLECTIONS </t>
  </si>
  <si>
    <t>TOTAL ACCOUNTS</t>
  </si>
  <si>
    <t>% ACHIEVED</t>
  </si>
  <si>
    <t xml:space="preserve">KCX 263N </t>
  </si>
  <si>
    <t xml:space="preserve">ENOS NJELI KUYA </t>
  </si>
  <si>
    <t>ELSA AKINYI  OLWANDA</t>
  </si>
  <si>
    <t>KBZ 776F</t>
  </si>
  <si>
    <t> HINO BUS</t>
  </si>
  <si>
    <t> KITENGELA</t>
  </si>
  <si>
    <t>MILTON ENGOSI KAMALIK</t>
  </si>
  <si>
    <t>KDL 402T</t>
  </si>
  <si>
    <t>TOYOTA RACTIS</t>
  </si>
  <si>
    <t>TERESIA MUMBI KAMAU</t>
  </si>
  <si>
    <t>KCC 512Q</t>
  </si>
  <si>
    <t>DISCO 3</t>
  </si>
  <si>
    <t>LEAH MUTHONI NDUNGU</t>
  </si>
  <si>
    <t>KBW 597T</t>
  </si>
  <si>
    <t>TOYOTA VOXY</t>
  </si>
  <si>
    <t>JOHN OTIENO OYOO</t>
  </si>
  <si>
    <t>KDC 427C</t>
  </si>
  <si>
    <t>NISSAN NOTE</t>
  </si>
  <si>
    <t>LUCY MUGURE MOGIRE</t>
  </si>
  <si>
    <t>KBT 440C</t>
  </si>
  <si>
    <t>TOYOTA ITS</t>
  </si>
  <si>
    <t>DOMNIC SONKOI LEMEIN</t>
  </si>
  <si>
    <t>KCA  626C</t>
  </si>
  <si>
    <t>TOYOTA LANDCRUISER</t>
  </si>
  <si>
    <t>FRANCIS NYAMU KAGWIMA</t>
  </si>
  <si>
    <t>CAR SALE NON CASH</t>
  </si>
  <si>
    <t>KDN 601Z</t>
  </si>
  <si>
    <t>NISSAN XTRAIL</t>
  </si>
  <si>
    <t>Ruth Nduta Mwangi</t>
  </si>
  <si>
    <t>KDG 482T</t>
  </si>
  <si>
    <t>SUZUKI JIMNY</t>
  </si>
  <si>
    <t>MILDRED KIRIT SIMIYU</t>
  </si>
  <si>
    <t>KCL 603U</t>
  </si>
  <si>
    <t>VANGUARD</t>
  </si>
  <si>
    <t>John Suter</t>
  </si>
  <si>
    <t>KCH 397K</t>
  </si>
  <si>
    <t>PAJERO</t>
  </si>
  <si>
    <t>KENNETH KANIU</t>
  </si>
  <si>
    <t>KCJ 500U</t>
  </si>
  <si>
    <t>KCM 793E</t>
  </si>
  <si>
    <t>TOYOTA HILUX</t>
  </si>
  <si>
    <t>MAKAU KIMEU</t>
  </si>
  <si>
    <t>KDK 500Z</t>
  </si>
  <si>
    <t>PRADO VXL</t>
  </si>
  <si>
    <t>Mohamed Soud Machele</t>
  </si>
  <si>
    <t>KDD 393A</t>
  </si>
  <si>
    <t>SUBARU FORESTER</t>
  </si>
  <si>
    <t>TONNY MAKALE</t>
  </si>
  <si>
    <t>KBZ 912K</t>
  </si>
  <si>
    <t>Magaigwa Daniel Mwita</t>
  </si>
  <si>
    <t>KDK 889K</t>
  </si>
  <si>
    <t>TOYOTA AXIO</t>
  </si>
  <si>
    <t>PEGGY AYAKO KWENDO</t>
  </si>
  <si>
    <t>KCJ 426J</t>
  </si>
  <si>
    <t>MARK X</t>
  </si>
  <si>
    <t>JAMES KARANJA NJOROGE</t>
  </si>
  <si>
    <t>UNITS AT YARD</t>
  </si>
  <si>
    <t>CURRENT</t>
  </si>
  <si>
    <t>START OF THE MONTH OF MARCH</t>
  </si>
  <si>
    <t>VEHICLES AT YARD</t>
  </si>
  <si>
    <t>LEGAL CASES</t>
  </si>
  <si>
    <t>MOTORBIKES AT YARD</t>
  </si>
  <si>
    <t>VEHICLES ON SALE</t>
  </si>
  <si>
    <t>VEHICLES AT GARAGE PROCK KENYA</t>
  </si>
  <si>
    <t>NOT ADVERTISED</t>
  </si>
  <si>
    <t>PAID FEE NOTES</t>
  </si>
  <si>
    <t>AUCTIONEER</t>
  </si>
  <si>
    <t>UNIT REG</t>
  </si>
  <si>
    <t>DATE REPOSSESSED</t>
  </si>
  <si>
    <t>YARD BOOKED</t>
  </si>
  <si>
    <t>CLIENTS' NAME</t>
  </si>
  <si>
    <t>LOAN ID</t>
  </si>
  <si>
    <t>SIRME</t>
  </si>
  <si>
    <t>KCM 851E</t>
  </si>
  <si>
    <t>23/2/2024</t>
  </si>
  <si>
    <t>LEGACY YARD</t>
  </si>
  <si>
    <t xml:space="preserve">KIMOSOP CHERUIYOT KIBOSIA  </t>
  </si>
  <si>
    <t>L34615</t>
  </si>
  <si>
    <t>STARTRUCK YARD</t>
  </si>
  <si>
    <t>L25181</t>
  </si>
  <si>
    <t>KCW 745H</t>
  </si>
  <si>
    <t>26/2/2024</t>
  </si>
  <si>
    <t>JEREMIAH  GITHINJI  MURAYA</t>
  </si>
  <si>
    <t>L32126</t>
  </si>
  <si>
    <t>KCT 891S</t>
  </si>
  <si>
    <t>JUMBA HORRICE AND WILSON MOSETI OMOSO</t>
  </si>
  <si>
    <t>L32068</t>
  </si>
  <si>
    <t>KDA 379U</t>
  </si>
  <si>
    <t>L32069</t>
  </si>
  <si>
    <t>KBZ 492S</t>
  </si>
  <si>
    <t>ELDORET SUPERMAX</t>
  </si>
  <si>
    <t>ROSALINE JEPTANUI CHOGE</t>
  </si>
  <si>
    <t>L30189</t>
  </si>
  <si>
    <t>FAMOUS GEORGE</t>
  </si>
  <si>
    <t xml:space="preserve">TONNY MAKALE </t>
  </si>
  <si>
    <t>L32107</t>
  </si>
  <si>
    <t>FOR YEARS</t>
  </si>
  <si>
    <t>FRANCIS  KINUTHIA MUHIKA</t>
  </si>
  <si>
    <t>L22712</t>
  </si>
  <si>
    <t>KCF367N</t>
  </si>
  <si>
    <t>NYALUOYO YARD</t>
  </si>
  <si>
    <t>GEORGE  OCHIENG ONDAGO</t>
  </si>
  <si>
    <t>L31537</t>
  </si>
  <si>
    <t>MAGAIGWA DANIEL MWITA</t>
  </si>
  <si>
    <t>L31807</t>
  </si>
  <si>
    <t>KCF 352X</t>
  </si>
  <si>
    <t>STANLEY WAKIAGA ROBERT</t>
  </si>
  <si>
    <t>L30886</t>
  </si>
  <si>
    <t>KCR 310E</t>
  </si>
  <si>
    <t>ANTHONY OMONDI OGANGO</t>
  </si>
  <si>
    <t>L33260</t>
  </si>
  <si>
    <t>KDK 708X</t>
  </si>
  <si>
    <t>PAUL KANGETHE NDUNGU</t>
  </si>
  <si>
    <t>L33268</t>
  </si>
  <si>
    <t>SPECTRUM</t>
  </si>
  <si>
    <t>L31694</t>
  </si>
  <si>
    <t>KDA 303X</t>
  </si>
  <si>
    <t>ELIZABETH ARWA ORONDO</t>
  </si>
  <si>
    <t>CCIN002022-1000-005</t>
  </si>
  <si>
    <t>MIKAEL</t>
  </si>
  <si>
    <t>KCP 936A</t>
  </si>
  <si>
    <t>MOCO YARD</t>
  </si>
  <si>
    <t>JOHN ONGWAE MOSONGO</t>
  </si>
  <si>
    <t>L32699</t>
  </si>
  <si>
    <t>LAAR</t>
  </si>
  <si>
    <t>KCB 908B</t>
  </si>
  <si>
    <t>HENRY MUIRURI KURIA</t>
  </si>
  <si>
    <t>L30876</t>
  </si>
  <si>
    <t>PENDING APPROVAL AND PAYMENTS</t>
  </si>
  <si>
    <t>INTERCOUNTY</t>
  </si>
  <si>
    <t>KBZ 216S</t>
  </si>
  <si>
    <t>KEVIN ODHIAMBO JOMO</t>
  </si>
  <si>
    <t>L24822</t>
  </si>
  <si>
    <t>RACHEAL NYARANGI SIMEKA</t>
  </si>
  <si>
    <t>L32312</t>
  </si>
  <si>
    <t>KDD 443F</t>
  </si>
  <si>
    <t>MICAH KAPURUA TAANI</t>
  </si>
  <si>
    <t>L29766</t>
  </si>
  <si>
    <t>L30420</t>
  </si>
  <si>
    <t>KCF 926F</t>
  </si>
  <si>
    <t>NZEMBI - MUTHOKA</t>
  </si>
  <si>
    <t>L33917</t>
  </si>
  <si>
    <t>KCJ 737E</t>
  </si>
  <si>
    <t>LUKA WASAMBO WERE</t>
  </si>
  <si>
    <t>L27345</t>
  </si>
  <si>
    <t>MOVED TO LEGAL TO RECOVER BALANCES</t>
  </si>
  <si>
    <t>LOAN NO.</t>
  </si>
  <si>
    <t>CCIN000247-1000-005</t>
  </si>
  <si>
    <t>Ferdinard Ndungu Waititu</t>
  </si>
  <si>
    <t>KCP 200A AND KBS 254V</t>
  </si>
  <si>
    <t>L30321</t>
  </si>
  <si>
    <t>Robinson Muriithi Ndwiga</t>
  </si>
  <si>
    <t>KDH 979D / KDE 990P / KDH 978K / KDH 939M / KDH 979K / KDH 939K</t>
  </si>
  <si>
    <t>CCIN000521-2000-008</t>
  </si>
  <si>
    <t>CHARLES ODHIAMBO OLOO</t>
  </si>
  <si>
    <t>KCX 775S</t>
  </si>
  <si>
    <t>L08651</t>
  </si>
  <si>
    <t>MALVIN LUSIGE OGANDA</t>
  </si>
  <si>
    <t>KBB 304X</t>
  </si>
  <si>
    <t>L29112</t>
  </si>
  <si>
    <t>Michael Njine Muringi</t>
  </si>
  <si>
    <t>KDD 149Z</t>
  </si>
  <si>
    <t>CCIN001730-8000-001</t>
  </si>
  <si>
    <t>John Njuguna Nduati</t>
  </si>
  <si>
    <t>KBV 453A, KHMA 006P</t>
  </si>
  <si>
    <t>STATUS</t>
  </si>
  <si>
    <t xml:space="preserve">STATUS </t>
  </si>
  <si>
    <t>MCL1016</t>
  </si>
  <si>
    <t>DENGU ELVICE</t>
  </si>
  <si>
    <t>MCL1073</t>
  </si>
  <si>
    <t xml:space="preserve">KEVIN ODONGO </t>
  </si>
  <si>
    <t>MACHAKOS</t>
  </si>
  <si>
    <t>MCL1060</t>
  </si>
  <si>
    <t>SAVENIA WAWIRA</t>
  </si>
  <si>
    <t>MCL1062</t>
  </si>
  <si>
    <t>SHARON OSORE</t>
  </si>
  <si>
    <t>APRIL</t>
  </si>
  <si>
    <t>GLADYS CHEBII</t>
  </si>
  <si>
    <t xml:space="preserve">REDEMPTA MUENDI </t>
  </si>
  <si>
    <t>MUSA RAJAB KIOKO</t>
  </si>
  <si>
    <t>ANTONE ODONGO</t>
  </si>
  <si>
    <t>MARTIN NAMAI</t>
  </si>
  <si>
    <t>MCL1033</t>
  </si>
  <si>
    <t>MCL1054</t>
  </si>
  <si>
    <t>MCL1058</t>
  </si>
  <si>
    <t>MCL1011</t>
  </si>
  <si>
    <t>MCL1013</t>
  </si>
  <si>
    <t>MCL1012</t>
  </si>
  <si>
    <t>MCL028</t>
  </si>
  <si>
    <t>MCL664</t>
  </si>
  <si>
    <t>MCL349</t>
  </si>
  <si>
    <t>MCL987</t>
  </si>
  <si>
    <t>MCL741</t>
  </si>
  <si>
    <t>MCL887</t>
  </si>
  <si>
    <t>MCL085</t>
  </si>
  <si>
    <t>MCL960</t>
  </si>
  <si>
    <t>MCL587</t>
  </si>
  <si>
    <t>MCL867</t>
  </si>
  <si>
    <t>MCL391</t>
  </si>
  <si>
    <t>MCL358</t>
  </si>
  <si>
    <t>MCL029</t>
  </si>
  <si>
    <t>MCL027</t>
  </si>
  <si>
    <t>MCL288</t>
  </si>
  <si>
    <t>MCL928</t>
  </si>
  <si>
    <t>MCL552</t>
  </si>
  <si>
    <t>MCL010</t>
  </si>
  <si>
    <t>MCL585</t>
  </si>
  <si>
    <t>MCL651</t>
  </si>
  <si>
    <t>MCL929</t>
  </si>
  <si>
    <t>MCL1019</t>
  </si>
  <si>
    <t>MCL1021</t>
  </si>
  <si>
    <t>MCL1065</t>
  </si>
  <si>
    <t>MCL1037</t>
  </si>
  <si>
    <t>MCL1036</t>
  </si>
  <si>
    <t>S00422</t>
  </si>
  <si>
    <t>S02209</t>
  </si>
  <si>
    <t>TL0097</t>
  </si>
  <si>
    <t>TL0183</t>
  </si>
  <si>
    <t>TL0175</t>
  </si>
  <si>
    <t>TL3009</t>
  </si>
  <si>
    <t>TL0063</t>
  </si>
  <si>
    <t>S02091</t>
  </si>
  <si>
    <t>TL208</t>
  </si>
  <si>
    <t>S01963</t>
  </si>
  <si>
    <t>S02183</t>
  </si>
  <si>
    <t>MCL1116</t>
  </si>
  <si>
    <t>ANNE ANYANGO</t>
  </si>
  <si>
    <t>MCL1118</t>
  </si>
  <si>
    <t>ALFRED MITAA</t>
  </si>
  <si>
    <t>MCL207</t>
  </si>
  <si>
    <t xml:space="preserve">% ACHIEVED MAY </t>
  </si>
  <si>
    <t>MAY    NEW BUSINES</t>
  </si>
  <si>
    <t>MAY</t>
  </si>
  <si>
    <t>S00618</t>
  </si>
  <si>
    <t>MCL1111</t>
  </si>
  <si>
    <t>KAREN WANJIRU MAINA</t>
  </si>
  <si>
    <t>MCL1112</t>
  </si>
  <si>
    <t>MAXWELL OSORO</t>
  </si>
  <si>
    <t>MCL1120</t>
  </si>
  <si>
    <t>FELIX OCHIENG OSUR</t>
  </si>
  <si>
    <t>MCL1101</t>
  </si>
  <si>
    <t>VIVIAN KIRUI</t>
  </si>
  <si>
    <t>MCL1122</t>
  </si>
  <si>
    <t xml:space="preserve">EVANS KOECH </t>
  </si>
  <si>
    <t>MCL1123</t>
  </si>
  <si>
    <t>SAMWEL WAMBUA</t>
  </si>
  <si>
    <t>MCL1119</t>
  </si>
  <si>
    <t>KIPRONO KIRUI</t>
  </si>
  <si>
    <t>MCL1121</t>
  </si>
  <si>
    <t>JACINTA MWENDE</t>
  </si>
  <si>
    <t>TL0244</t>
  </si>
  <si>
    <t>TL0212</t>
  </si>
  <si>
    <t>S02234</t>
  </si>
  <si>
    <t>TL0248</t>
  </si>
  <si>
    <t>TL0120</t>
  </si>
  <si>
    <t>TL0134</t>
  </si>
  <si>
    <t>TL0215</t>
  </si>
  <si>
    <t>MCL1102</t>
  </si>
  <si>
    <t>CECILIA WAKESHO</t>
  </si>
  <si>
    <t>MCL1103</t>
  </si>
  <si>
    <t xml:space="preserve">BENARD KEROIGE </t>
  </si>
  <si>
    <t>MCL1077</t>
  </si>
  <si>
    <t xml:space="preserve">JOSEPH NDOO KIMUNDI </t>
  </si>
  <si>
    <t>MCL1076</t>
  </si>
  <si>
    <t>JOHN MUSILI THIONGO</t>
  </si>
  <si>
    <t>MCL1117</t>
  </si>
  <si>
    <t>PETER MAINA</t>
  </si>
  <si>
    <t>MCL1113</t>
  </si>
  <si>
    <t>LUCY AKOTH</t>
  </si>
  <si>
    <t>MCL1075</t>
  </si>
  <si>
    <t>DAMSKY KISANYA</t>
  </si>
  <si>
    <t>MCL1114</t>
  </si>
  <si>
    <t>JUSTINE MWANGI</t>
  </si>
  <si>
    <t>MCL1115</t>
  </si>
  <si>
    <t>PAUL KINYUA</t>
  </si>
  <si>
    <t>RUTH WAMBUI</t>
  </si>
  <si>
    <t>MCL1079</t>
  </si>
  <si>
    <t>ISMAIL ISAA</t>
  </si>
  <si>
    <t>S020146</t>
  </si>
  <si>
    <t>S01905</t>
  </si>
  <si>
    <t>TL0213</t>
  </si>
  <si>
    <t>TL0214</t>
  </si>
  <si>
    <t>TL0216</t>
  </si>
  <si>
    <t>TL0217</t>
  </si>
  <si>
    <t>TL0246</t>
  </si>
  <si>
    <t>S00515</t>
  </si>
  <si>
    <t>TL0247</t>
  </si>
  <si>
    <t>BEVERLY MUVAO</t>
  </si>
  <si>
    <t>MOSES GEOFFREY</t>
  </si>
  <si>
    <t>S02272</t>
  </si>
  <si>
    <t>S02271</t>
  </si>
  <si>
    <t>MAY   NEW BUSINES</t>
  </si>
  <si>
    <t>MCL1069</t>
  </si>
  <si>
    <t>MCL1084</t>
  </si>
  <si>
    <t>MAUREEN JELIMO</t>
  </si>
  <si>
    <t>NEBART KANGWANA</t>
  </si>
  <si>
    <t>PETER  MUTISYA</t>
  </si>
  <si>
    <t>TEAM LEADER</t>
  </si>
  <si>
    <t>TEAM COUNT</t>
  </si>
  <si>
    <t>ASIGNED TARGET</t>
  </si>
  <si>
    <t xml:space="preserve">TEAM ACHIEVED </t>
  </si>
  <si>
    <t>TEAM TARGET</t>
  </si>
  <si>
    <t>TARGET DEFICIT</t>
  </si>
  <si>
    <t>DEFICIT MEMBERS</t>
  </si>
  <si>
    <t>TEAM % ACHIEVED</t>
  </si>
  <si>
    <t>ASSIGNED %</t>
  </si>
  <si>
    <t>JUNE LUMUMBA</t>
  </si>
  <si>
    <t>ALOICE NGARI</t>
  </si>
  <si>
    <t>SAMUEL MULINGE (CALL CENTER)</t>
  </si>
  <si>
    <t>CEO</t>
  </si>
  <si>
    <t>CHRISTINE NINA</t>
  </si>
  <si>
    <t>22ND APRIL</t>
  </si>
  <si>
    <t xml:space="preserve">20TH MAY </t>
  </si>
  <si>
    <t>NEW ARREARS</t>
  </si>
  <si>
    <t>SHARON CHEPTOO</t>
  </si>
  <si>
    <t>COAST REGION</t>
  </si>
  <si>
    <t>JOSEPHAT OGADA</t>
  </si>
  <si>
    <t>ASSIGNED ACCOUNTS</t>
  </si>
  <si>
    <t xml:space="preserve">ASSIGNED ARREARS </t>
  </si>
  <si>
    <t>AMOUNT COLLECTED</t>
  </si>
  <si>
    <t>ACCOUNTS COLLECTED</t>
  </si>
  <si>
    <t>SUPERVISOR</t>
  </si>
  <si>
    <t>REPOSSESION</t>
  </si>
  <si>
    <t>VICTOR OKOMBO</t>
  </si>
  <si>
    <t>THOMAS CHACHA</t>
  </si>
  <si>
    <t>HAMISI NZOMO</t>
  </si>
  <si>
    <t>ALDERIUS MAGERO</t>
  </si>
  <si>
    <t>PAUL  MUTISO</t>
  </si>
  <si>
    <t>ANDREW KADIEGO</t>
  </si>
  <si>
    <t>JANE ROSE WANJALA</t>
  </si>
  <si>
    <t>BEATRICE OKEYO</t>
  </si>
  <si>
    <t>SANDRA MUMBUA</t>
  </si>
  <si>
    <t>WILSON MUTAVA</t>
  </si>
  <si>
    <t>MAXWELL ODHIAMBO</t>
  </si>
  <si>
    <t>STEPHEN MULEI</t>
  </si>
  <si>
    <t>ALLAN NZAKA</t>
  </si>
  <si>
    <t>THROUGH RECOVERY</t>
  </si>
  <si>
    <t>BRANCH THEMSELVES</t>
  </si>
  <si>
    <t>TOTAL CARS REPOSSESED</t>
  </si>
  <si>
    <t xml:space="preserve">CAR SALE PREPARED BY </t>
  </si>
  <si>
    <t>UNITS SOLD COUNT CASH</t>
  </si>
  <si>
    <t>UNITS SOLD VALUE CASH</t>
  </si>
  <si>
    <t>VALUE TARGET</t>
  </si>
  <si>
    <t>UNITS SOLD COUNT NON CASH</t>
  </si>
  <si>
    <t>TOTAL UNITS SOLD</t>
  </si>
  <si>
    <t>UNITS SOLD VALUE NONCASH</t>
  </si>
  <si>
    <t>UNITS SOLD VALUE</t>
  </si>
  <si>
    <t>BRANCH POS</t>
  </si>
  <si>
    <t xml:space="preserve">AMMOUNT COLLECTED </t>
  </si>
  <si>
    <t>QUEEN WANJIRU</t>
  </si>
  <si>
    <t>HELD BY</t>
  </si>
  <si>
    <t>DEPARTMENT</t>
  </si>
  <si>
    <t xml:space="preserve">ACCOUNTS ALLOCATED </t>
  </si>
  <si>
    <t>AMMOUNT ALLOCATED</t>
  </si>
  <si>
    <t xml:space="preserve">ACCOUNTS COLLECTED </t>
  </si>
  <si>
    <t>AMMOUNT COLLECTED</t>
  </si>
  <si>
    <t>JOSEPH  MUNGA</t>
  </si>
  <si>
    <t>CHECKOFF COLLECTIONS</t>
  </si>
  <si>
    <t>SIMON ORUCHUM</t>
  </si>
  <si>
    <t>CECELIA LUMADI</t>
  </si>
  <si>
    <t>PERFOMING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</si>
</sst>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-* #,##0_-;\-* #,##0_-;_-* &quot;-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5" applyNumberFormat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2" fillId="2" borderId="1" xfId="0" applyFont="1" applyFill="1" applyBorder="1"/>
    <xf numFmtId="164" fontId="2" fillId="2" borderId="1" xfId="1" applyFont="1" applyFill="1" applyBorder="1"/>
    <xf numFmtId="164" fontId="0" fillId="0" borderId="1" xfId="0" applyNumberFormat="1" applyBorder="1"/>
    <xf numFmtId="10" fontId="0" fillId="0" borderId="1" xfId="2" applyNumberFormat="1" applyFont="1" applyBorder="1"/>
    <xf numFmtId="0" fontId="2" fillId="2" borderId="1" xfId="0" applyFont="1" applyFill="1" applyBorder="1" applyAlignment="1">
      <alignment wrapText="1"/>
    </xf>
    <xf numFmtId="164" fontId="2" fillId="2" borderId="1" xfId="1" applyFont="1" applyFill="1" applyBorder="1" applyAlignment="1">
      <alignment wrapText="1"/>
    </xf>
    <xf numFmtId="0" fontId="0" fillId="0" borderId="1" xfId="0" applyBorder="1" applyAlignment="1">
      <alignment wrapText="1"/>
    </xf>
    <xf numFmtId="10" fontId="2" fillId="2" borderId="1" xfId="2" applyNumberFormat="1" applyFont="1" applyFill="1" applyBorder="1"/>
    <xf numFmtId="0" fontId="4" fillId="0" borderId="1" xfId="0" applyFont="1" applyBorder="1"/>
    <xf numFmtId="0" fontId="0" fillId="2" borderId="1" xfId="0" applyFill="1" applyBorder="1"/>
    <xf numFmtId="14" fontId="0" fillId="0" borderId="0" xfId="0" applyNumberFormat="1"/>
    <xf numFmtId="14" fontId="0" fillId="0" borderId="1" xfId="0" applyNumberFormat="1" applyBorder="1"/>
    <xf numFmtId="4" fontId="0" fillId="0" borderId="1" xfId="0" applyNumberFormat="1" applyBorder="1"/>
    <xf numFmtId="0" fontId="2" fillId="0" borderId="1" xfId="0" applyFont="1" applyBorder="1"/>
    <xf numFmtId="0" fontId="5" fillId="0" borderId="1" xfId="0" applyFont="1" applyBorder="1"/>
    <xf numFmtId="164" fontId="2" fillId="2" borderId="1" xfId="0" applyNumberFormat="1" applyFont="1" applyFill="1" applyBorder="1"/>
    <xf numFmtId="165" fontId="10" fillId="3" borderId="5" xfId="3" applyNumberFormat="1"/>
    <xf numFmtId="0" fontId="2" fillId="4" borderId="1" xfId="0" applyFont="1" applyFill="1" applyBorder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2" fillId="4" borderId="1" xfId="1" applyFont="1" applyFill="1" applyBorder="1"/>
    <xf numFmtId="3" fontId="0" fillId="0" borderId="1" xfId="0" applyNumberFormat="1" applyBorder="1"/>
    <xf numFmtId="0" fontId="8" fillId="0" borderId="1" xfId="0" applyFont="1" applyBorder="1" applyAlignment="1">
      <alignment wrapText="1"/>
    </xf>
    <xf numFmtId="3" fontId="8" fillId="0" borderId="1" xfId="0" applyNumberFormat="1" applyFont="1" applyBorder="1" applyAlignment="1">
      <alignment horizontal="right" wrapText="1"/>
    </xf>
    <xf numFmtId="0" fontId="11" fillId="0" borderId="1" xfId="0" applyFont="1" applyBorder="1"/>
    <xf numFmtId="0" fontId="5" fillId="2" borderId="1" xfId="0" applyFont="1" applyFill="1" applyBorder="1"/>
    <xf numFmtId="3" fontId="5" fillId="2" borderId="1" xfId="0" applyNumberFormat="1" applyFont="1" applyFill="1" applyBorder="1"/>
    <xf numFmtId="0" fontId="12" fillId="0" borderId="1" xfId="0" applyFont="1" applyBorder="1"/>
    <xf numFmtId="43" fontId="0" fillId="0" borderId="1" xfId="4" applyFont="1" applyBorder="1"/>
    <xf numFmtId="0" fontId="2" fillId="6" borderId="1" xfId="0" applyFont="1" applyFill="1" applyBorder="1"/>
    <xf numFmtId="0" fontId="7" fillId="0" borderId="1" xfId="0" applyFont="1" applyBorder="1" applyAlignment="1">
      <alignment wrapText="1"/>
    </xf>
    <xf numFmtId="0" fontId="4" fillId="5" borderId="1" xfId="0" applyFont="1" applyFill="1" applyBorder="1"/>
    <xf numFmtId="0" fontId="6" fillId="5" borderId="1" xfId="0" applyFont="1" applyFill="1" applyBorder="1"/>
    <xf numFmtId="3" fontId="4" fillId="5" borderId="1" xfId="0" applyNumberFormat="1" applyFont="1" applyFill="1" applyBorder="1"/>
    <xf numFmtId="0" fontId="6" fillId="0" borderId="1" xfId="0" applyFont="1" applyBorder="1"/>
    <xf numFmtId="3" fontId="2" fillId="2" borderId="1" xfId="0" applyNumberFormat="1" applyFont="1" applyFill="1" applyBorder="1"/>
    <xf numFmtId="0" fontId="9" fillId="0" borderId="1" xfId="0" applyFont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6" borderId="1" xfId="0" applyNumberFormat="1" applyFill="1" applyBorder="1"/>
    <xf numFmtId="0" fontId="0" fillId="6" borderId="1" xfId="0" applyFill="1" applyBorder="1"/>
    <xf numFmtId="3" fontId="2" fillId="6" borderId="1" xfId="0" applyNumberFormat="1" applyFont="1" applyFill="1" applyBorder="1"/>
    <xf numFmtId="14" fontId="2" fillId="0" borderId="1" xfId="0" applyNumberFormat="1" applyFont="1" applyBorder="1"/>
    <xf numFmtId="3" fontId="5" fillId="0" borderId="1" xfId="0" applyNumberFormat="1" applyFont="1" applyBorder="1"/>
    <xf numFmtId="0" fontId="2" fillId="2" borderId="3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2" xfId="1" applyFont="1" applyBorder="1"/>
    <xf numFmtId="0" fontId="2" fillId="4" borderId="2" xfId="0" applyFont="1" applyFill="1" applyBorder="1"/>
    <xf numFmtId="164" fontId="2" fillId="4" borderId="2" xfId="1" applyFont="1" applyFill="1" applyBorder="1"/>
    <xf numFmtId="164" fontId="0" fillId="0" borderId="3" xfId="1" applyFont="1" applyBorder="1"/>
    <xf numFmtId="164" fontId="0" fillId="0" borderId="4" xfId="1" applyFont="1" applyBorder="1"/>
    <xf numFmtId="164" fontId="2" fillId="4" borderId="3" xfId="1" applyFont="1" applyFill="1" applyBorder="1"/>
    <xf numFmtId="164" fontId="2" fillId="4" borderId="4" xfId="1" applyFont="1" applyFill="1" applyBorder="1"/>
    <xf numFmtId="1" fontId="0" fillId="0" borderId="1" xfId="0" applyNumberFormat="1" applyBorder="1"/>
    <xf numFmtId="1" fontId="0" fillId="0" borderId="4" xfId="0" applyNumberFormat="1" applyBorder="1"/>
    <xf numFmtId="1" fontId="2" fillId="4" borderId="4" xfId="0" applyNumberFormat="1" applyFont="1" applyFill="1" applyBorder="1"/>
    <xf numFmtId="10" fontId="2" fillId="4" borderId="1" xfId="2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3" fillId="2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Border="1"/>
    <xf numFmtId="164" fontId="14" fillId="0" borderId="1" xfId="1" applyFont="1" applyBorder="1"/>
    <xf numFmtId="3" fontId="14" fillId="0" borderId="1" xfId="0" applyNumberFormat="1" applyFont="1" applyBorder="1"/>
    <xf numFmtId="10" fontId="14" fillId="0" borderId="1" xfId="2" applyNumberFormat="1" applyFont="1" applyBorder="1"/>
    <xf numFmtId="43" fontId="14" fillId="0" borderId="1" xfId="0" applyNumberFormat="1" applyFont="1" applyBorder="1"/>
    <xf numFmtId="0" fontId="13" fillId="2" borderId="1" xfId="0" applyFont="1" applyFill="1" applyBorder="1"/>
    <xf numFmtId="164" fontId="13" fillId="2" borderId="1" xfId="1" applyFont="1" applyFill="1" applyBorder="1"/>
    <xf numFmtId="3" fontId="13" fillId="2" borderId="1" xfId="0" applyNumberFormat="1" applyFont="1" applyFill="1" applyBorder="1"/>
    <xf numFmtId="10" fontId="13" fillId="2" borderId="1" xfId="2" applyNumberFormat="1" applyFont="1" applyFill="1" applyBorder="1"/>
    <xf numFmtId="0" fontId="14" fillId="0" borderId="1" xfId="2" applyNumberFormat="1" applyFont="1" applyBorder="1"/>
    <xf numFmtId="4" fontId="14" fillId="0" borderId="1" xfId="0" applyNumberFormat="1" applyFont="1" applyBorder="1"/>
    <xf numFmtId="0" fontId="13" fillId="2" borderId="1" xfId="2" applyNumberFormat="1" applyFont="1" applyFill="1" applyBorder="1"/>
    <xf numFmtId="10" fontId="14" fillId="0" borderId="1" xfId="0" applyNumberFormat="1" applyFont="1" applyBorder="1"/>
    <xf numFmtId="164" fontId="13" fillId="2" borderId="1" xfId="0" applyNumberFormat="1" applyFont="1" applyFill="1" applyBorder="1"/>
    <xf numFmtId="164" fontId="13" fillId="2" borderId="1" xfId="1" applyFont="1" applyFill="1" applyBorder="1" applyAlignment="1">
      <alignment wrapText="1"/>
    </xf>
    <xf numFmtId="0" fontId="13" fillId="7" borderId="1" xfId="0" applyFont="1" applyFill="1" applyBorder="1" applyAlignment="1">
      <alignment wrapText="1"/>
    </xf>
    <xf numFmtId="164" fontId="13" fillId="7" borderId="1" xfId="1" applyFont="1" applyFill="1" applyBorder="1" applyAlignment="1">
      <alignment wrapText="1"/>
    </xf>
    <xf numFmtId="164" fontId="2" fillId="2" borderId="2" xfId="1" applyFont="1" applyFill="1" applyBorder="1" applyAlignment="1">
      <alignment horizontal="center"/>
    </xf>
    <xf numFmtId="164" fontId="2" fillId="2" borderId="3" xfId="1" applyFont="1" applyFill="1" applyBorder="1" applyAlignment="1">
      <alignment horizontal="center"/>
    </xf>
    <xf numFmtId="164" fontId="2" fillId="2" borderId="4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0" fontId="2" fillId="2" borderId="2" xfId="2" applyNumberFormat="1" applyFont="1" applyFill="1" applyBorder="1" applyAlignment="1">
      <alignment horizontal="center"/>
    </xf>
    <xf numFmtId="10" fontId="2" fillId="2" borderId="3" xfId="2" applyNumberFormat="1" applyFont="1" applyFill="1" applyBorder="1" applyAlignment="1">
      <alignment horizontal="center"/>
    </xf>
    <xf numFmtId="10" fontId="2" fillId="2" borderId="4" xfId="2" applyNumberFormat="1" applyFont="1" applyFill="1" applyBorder="1" applyAlignment="1">
      <alignment horizontal="center"/>
    </xf>
  </cellXfs>
  <cellStyles count="5">
    <cellStyle name="Comma" xfId="1" builtinId="3"/>
    <cellStyle name="Comma 2" xfId="4" xr:uid="{2349D374-04C5-4FFF-A5A2-D43E57222B56}"/>
    <cellStyle name="Normal" xfId="0" builtinId="0"/>
    <cellStyle name="Output" xfId="3" builtinId="21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CFBB-86F9-44EA-B0D8-8A46EEA3C583}">
  <dimension ref="A1:B2"/>
  <sheetViews>
    <sheetView workbookViewId="0">
      <selection activeCell="B3" sqref="B3"/>
    </sheetView>
  </sheetViews>
  <sheetFormatPr defaultRowHeight="15" x14ac:dyDescent="0.25"/>
  <cols>
    <col min="1" max="1" width="10.85546875" bestFit="1" customWidth="1"/>
    <col min="2" max="2" width="16.85546875" customWidth="1"/>
    <col min="4" max="4" width="12" bestFit="1" customWidth="1"/>
    <col min="6" max="6" width="11" bestFit="1" customWidth="1"/>
  </cols>
  <sheetData>
    <row r="1" spans="1:2" x14ac:dyDescent="0.25">
      <c r="A1" t="s">
        <v>328</v>
      </c>
      <c r="B1" s="13">
        <v>45377</v>
      </c>
    </row>
    <row r="2" spans="1:2" x14ac:dyDescent="0.25">
      <c r="A2" t="s">
        <v>329</v>
      </c>
      <c r="B2" s="13">
        <v>45406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DD6B-D893-4225-A0A1-8165CE90F4C9}">
  <dimension ref="A1:H94"/>
  <sheetViews>
    <sheetView workbookViewId="0">
      <selection activeCell="G8" sqref="G8"/>
    </sheetView>
  </sheetViews>
  <sheetFormatPr defaultColWidth="8.85546875" defaultRowHeight="15" x14ac:dyDescent="0.25"/>
  <cols>
    <col min="1" max="1" width="37.140625" style="1" bestFit="1" customWidth="1"/>
    <col min="2" max="2" width="10.42578125" style="1" bestFit="1" customWidth="1"/>
    <col min="3" max="3" width="19.85546875" style="1" bestFit="1" customWidth="1"/>
    <col min="4" max="4" width="27.7109375" style="1" bestFit="1" customWidth="1"/>
    <col min="5" max="5" width="40.7109375" style="2" bestFit="1" customWidth="1"/>
    <col min="6" max="6" width="13.5703125" style="1" bestFit="1" customWidth="1"/>
    <col min="7" max="7" width="8.85546875" style="1"/>
    <col min="8" max="8" width="18.28515625" style="1" bestFit="1" customWidth="1"/>
    <col min="9" max="16384" width="8.85546875" style="1"/>
  </cols>
  <sheetData>
    <row r="1" spans="1:8" ht="15.75" x14ac:dyDescent="0.25">
      <c r="A1" s="17" t="s">
        <v>336</v>
      </c>
      <c r="E1" s="1"/>
      <c r="H1" s="3" t="s">
        <v>360</v>
      </c>
    </row>
    <row r="2" spans="1:8" x14ac:dyDescent="0.25">
      <c r="A2" s="3" t="s">
        <v>324</v>
      </c>
      <c r="B2" s="3" t="s">
        <v>337</v>
      </c>
      <c r="C2" s="3" t="s">
        <v>338</v>
      </c>
      <c r="D2" s="3" t="s">
        <v>339</v>
      </c>
      <c r="E2" s="3" t="s">
        <v>340</v>
      </c>
      <c r="F2" s="3" t="s">
        <v>1</v>
      </c>
      <c r="H2" s="1" t="s">
        <v>342</v>
      </c>
    </row>
    <row r="3" spans="1:8" x14ac:dyDescent="0.25">
      <c r="A3" s="14">
        <v>45350</v>
      </c>
      <c r="B3" s="1" t="s">
        <v>419</v>
      </c>
      <c r="C3" s="1" t="s">
        <v>341</v>
      </c>
      <c r="D3" s="1" t="s">
        <v>368</v>
      </c>
      <c r="E3" s="25">
        <v>900000</v>
      </c>
      <c r="F3" s="1" t="s">
        <v>30</v>
      </c>
      <c r="H3" s="1" t="s">
        <v>361</v>
      </c>
    </row>
    <row r="4" spans="1:8" ht="15.75" x14ac:dyDescent="0.25">
      <c r="A4" s="14">
        <v>45351</v>
      </c>
      <c r="B4" s="31" t="s">
        <v>343</v>
      </c>
      <c r="C4" s="1" t="s">
        <v>344</v>
      </c>
      <c r="D4" s="1" t="s">
        <v>345</v>
      </c>
      <c r="E4" s="25">
        <v>300000</v>
      </c>
      <c r="F4" s="1" t="s">
        <v>9</v>
      </c>
      <c r="H4" s="1" t="s">
        <v>362</v>
      </c>
    </row>
    <row r="5" spans="1:8" ht="15.75" x14ac:dyDescent="0.25">
      <c r="A5" s="14">
        <v>45354</v>
      </c>
      <c r="B5" s="31" t="s">
        <v>346</v>
      </c>
      <c r="C5" s="1" t="s">
        <v>347</v>
      </c>
      <c r="D5" s="1" t="s">
        <v>348</v>
      </c>
      <c r="E5" s="25">
        <v>320000</v>
      </c>
      <c r="F5" s="1" t="s">
        <v>39</v>
      </c>
    </row>
    <row r="6" spans="1:8" x14ac:dyDescent="0.25">
      <c r="A6" s="14">
        <v>45355</v>
      </c>
      <c r="B6" s="1" t="s">
        <v>349</v>
      </c>
      <c r="C6" s="1" t="s">
        <v>350</v>
      </c>
      <c r="D6" s="1" t="s">
        <v>420</v>
      </c>
      <c r="E6" s="25">
        <v>60000</v>
      </c>
      <c r="F6" s="1" t="s">
        <v>13</v>
      </c>
    </row>
    <row r="7" spans="1:8" x14ac:dyDescent="0.25">
      <c r="A7" s="14">
        <v>45355</v>
      </c>
      <c r="B7" s="1" t="s">
        <v>351</v>
      </c>
      <c r="C7" s="1" t="s">
        <v>352</v>
      </c>
      <c r="D7" s="1" t="s">
        <v>421</v>
      </c>
      <c r="E7" s="25">
        <v>850000</v>
      </c>
      <c r="F7" s="1" t="s">
        <v>17</v>
      </c>
    </row>
    <row r="8" spans="1:8" x14ac:dyDescent="0.25">
      <c r="A8" s="14">
        <v>45355</v>
      </c>
      <c r="B8" s="1" t="s">
        <v>353</v>
      </c>
      <c r="C8" s="1" t="s">
        <v>354</v>
      </c>
      <c r="D8" s="28" t="s">
        <v>355</v>
      </c>
      <c r="E8" s="25">
        <v>2500000</v>
      </c>
      <c r="F8" s="1" t="s">
        <v>17</v>
      </c>
    </row>
    <row r="9" spans="1:8" x14ac:dyDescent="0.25">
      <c r="A9" s="35" t="s">
        <v>356</v>
      </c>
      <c r="B9" s="35" t="s">
        <v>422</v>
      </c>
      <c r="C9" s="35" t="s">
        <v>423</v>
      </c>
      <c r="D9" s="36" t="s">
        <v>357</v>
      </c>
      <c r="E9" s="37">
        <v>500000</v>
      </c>
      <c r="F9" s="35" t="s">
        <v>424</v>
      </c>
    </row>
    <row r="10" spans="1:8" x14ac:dyDescent="0.25">
      <c r="A10" s="14">
        <v>45363</v>
      </c>
      <c r="B10" s="1" t="s">
        <v>358</v>
      </c>
      <c r="C10" s="1" t="s">
        <v>359</v>
      </c>
      <c r="D10" s="1" t="s">
        <v>425</v>
      </c>
      <c r="E10" s="25">
        <v>400000</v>
      </c>
      <c r="F10" s="1" t="s">
        <v>13</v>
      </c>
    </row>
    <row r="11" spans="1:8" x14ac:dyDescent="0.25">
      <c r="A11" s="14">
        <v>45366</v>
      </c>
      <c r="B11" s="1" t="s">
        <v>426</v>
      </c>
      <c r="C11" s="1" t="s">
        <v>427</v>
      </c>
      <c r="D11" s="40" t="s">
        <v>428</v>
      </c>
      <c r="E11" s="25">
        <v>850000</v>
      </c>
      <c r="F11" s="1" t="s">
        <v>26</v>
      </c>
    </row>
    <row r="12" spans="1:8" x14ac:dyDescent="0.25">
      <c r="A12" s="14">
        <v>45366</v>
      </c>
      <c r="B12" s="1" t="s">
        <v>429</v>
      </c>
      <c r="C12" s="1" t="s">
        <v>430</v>
      </c>
      <c r="D12" s="1" t="s">
        <v>431</v>
      </c>
      <c r="E12" s="25">
        <v>1200000</v>
      </c>
      <c r="F12" s="1" t="s">
        <v>26</v>
      </c>
    </row>
    <row r="13" spans="1:8" x14ac:dyDescent="0.25">
      <c r="A13" s="14">
        <v>45366</v>
      </c>
      <c r="B13" s="1" t="s">
        <v>432</v>
      </c>
      <c r="C13" s="1" t="s">
        <v>433</v>
      </c>
      <c r="D13" s="1" t="s">
        <v>434</v>
      </c>
      <c r="E13" s="25">
        <v>350000</v>
      </c>
      <c r="F13" s="1" t="s">
        <v>13</v>
      </c>
    </row>
    <row r="14" spans="1:8" x14ac:dyDescent="0.25">
      <c r="A14" s="14">
        <v>45369</v>
      </c>
      <c r="B14" s="1" t="s">
        <v>435</v>
      </c>
      <c r="C14" s="1" t="s">
        <v>436</v>
      </c>
      <c r="D14" s="1" t="s">
        <v>437</v>
      </c>
      <c r="E14" s="25">
        <v>500000</v>
      </c>
      <c r="F14" s="1" t="s">
        <v>17</v>
      </c>
    </row>
    <row r="15" spans="1:8" x14ac:dyDescent="0.25">
      <c r="A15" s="14">
        <v>45370</v>
      </c>
      <c r="B15" s="1" t="s">
        <v>438</v>
      </c>
      <c r="C15" s="1" t="s">
        <v>439</v>
      </c>
      <c r="D15" s="1" t="s">
        <v>440</v>
      </c>
      <c r="E15" s="25">
        <v>300000</v>
      </c>
      <c r="F15" s="1" t="s">
        <v>26</v>
      </c>
    </row>
    <row r="16" spans="1:8" x14ac:dyDescent="0.25">
      <c r="A16" s="14">
        <v>45370</v>
      </c>
      <c r="B16" s="1" t="s">
        <v>441</v>
      </c>
      <c r="C16" s="28" t="s">
        <v>442</v>
      </c>
      <c r="D16" s="1" t="s">
        <v>443</v>
      </c>
      <c r="E16" s="25">
        <v>600000</v>
      </c>
      <c r="F16" s="1" t="s">
        <v>17</v>
      </c>
    </row>
    <row r="17" spans="1:6" x14ac:dyDescent="0.25">
      <c r="A17" s="14"/>
      <c r="E17" s="25"/>
    </row>
    <row r="18" spans="1:6" x14ac:dyDescent="0.25">
      <c r="A18" s="43"/>
      <c r="B18" s="44"/>
      <c r="C18" s="44"/>
      <c r="D18" s="44"/>
      <c r="E18" s="45">
        <v>9630000</v>
      </c>
      <c r="F18" s="44"/>
    </row>
    <row r="19" spans="1:6" x14ac:dyDescent="0.25">
      <c r="A19" s="46" t="s">
        <v>444</v>
      </c>
      <c r="E19" s="25"/>
    </row>
    <row r="20" spans="1:6" x14ac:dyDescent="0.25">
      <c r="A20" s="3" t="s">
        <v>324</v>
      </c>
      <c r="B20" s="3" t="s">
        <v>337</v>
      </c>
      <c r="C20" s="3" t="s">
        <v>338</v>
      </c>
      <c r="D20" s="3" t="s">
        <v>339</v>
      </c>
      <c r="E20" s="3" t="s">
        <v>340</v>
      </c>
      <c r="F20" s="3" t="s">
        <v>1</v>
      </c>
    </row>
    <row r="21" spans="1:6" x14ac:dyDescent="0.25">
      <c r="A21" s="14">
        <v>45364</v>
      </c>
      <c r="B21" s="1" t="s">
        <v>445</v>
      </c>
      <c r="C21" s="1" t="s">
        <v>446</v>
      </c>
      <c r="D21" s="1" t="s">
        <v>447</v>
      </c>
      <c r="E21" s="25">
        <v>3000000</v>
      </c>
      <c r="F21" s="1" t="s">
        <v>20</v>
      </c>
    </row>
    <row r="22" spans="1:6" x14ac:dyDescent="0.25">
      <c r="A22" s="14">
        <v>45364</v>
      </c>
      <c r="B22" s="1" t="s">
        <v>448</v>
      </c>
      <c r="C22" s="1" t="s">
        <v>449</v>
      </c>
      <c r="D22" s="1" t="s">
        <v>450</v>
      </c>
      <c r="E22" s="25">
        <v>1500000</v>
      </c>
      <c r="F22" s="1" t="s">
        <v>17</v>
      </c>
    </row>
    <row r="23" spans="1:6" x14ac:dyDescent="0.25">
      <c r="A23" s="14">
        <v>45364</v>
      </c>
      <c r="B23" s="1" t="s">
        <v>451</v>
      </c>
      <c r="C23" s="1" t="s">
        <v>452</v>
      </c>
      <c r="D23" s="1" t="s">
        <v>453</v>
      </c>
      <c r="E23" s="25">
        <v>2000000</v>
      </c>
      <c r="F23" s="1" t="s">
        <v>26</v>
      </c>
    </row>
    <row r="24" spans="1:6" x14ac:dyDescent="0.25">
      <c r="A24" s="14">
        <v>45364</v>
      </c>
      <c r="B24" s="1" t="s">
        <v>454</v>
      </c>
      <c r="C24" s="1" t="s">
        <v>455</v>
      </c>
      <c r="D24" s="1" t="s">
        <v>456</v>
      </c>
      <c r="E24" s="25">
        <v>5500000</v>
      </c>
      <c r="F24" s="1" t="s">
        <v>26</v>
      </c>
    </row>
    <row r="25" spans="1:6" x14ac:dyDescent="0.25">
      <c r="E25" s="1"/>
    </row>
    <row r="26" spans="1:6" ht="15.75" x14ac:dyDescent="0.25">
      <c r="A26" s="12"/>
      <c r="B26" s="12"/>
      <c r="C26" s="12"/>
      <c r="D26" s="29" t="s">
        <v>80</v>
      </c>
      <c r="E26" s="30">
        <v>12000000</v>
      </c>
      <c r="F26" s="12"/>
    </row>
    <row r="27" spans="1:6" x14ac:dyDescent="0.25">
      <c r="D27" s="3"/>
      <c r="E27" s="4"/>
    </row>
    <row r="28" spans="1:6" ht="15.75" x14ac:dyDescent="0.25">
      <c r="A28" s="17" t="s">
        <v>363</v>
      </c>
      <c r="E28" s="1"/>
    </row>
    <row r="29" spans="1:6" x14ac:dyDescent="0.25">
      <c r="A29" s="3" t="s">
        <v>324</v>
      </c>
      <c r="B29" s="3" t="s">
        <v>337</v>
      </c>
      <c r="C29" s="3" t="s">
        <v>338</v>
      </c>
      <c r="D29" s="3" t="s">
        <v>339</v>
      </c>
      <c r="E29" s="3" t="s">
        <v>364</v>
      </c>
      <c r="F29" s="3" t="s">
        <v>1</v>
      </c>
    </row>
    <row r="30" spans="1:6" x14ac:dyDescent="0.25">
      <c r="A30" s="14">
        <v>45349</v>
      </c>
      <c r="B30" s="1" t="s">
        <v>365</v>
      </c>
      <c r="C30" s="1" t="s">
        <v>366</v>
      </c>
      <c r="D30" s="25" t="s">
        <v>367</v>
      </c>
      <c r="E30" s="25">
        <v>94304</v>
      </c>
      <c r="F30" s="1" t="s">
        <v>24</v>
      </c>
    </row>
    <row r="31" spans="1:6" x14ac:dyDescent="0.25">
      <c r="A31" s="14">
        <v>45350</v>
      </c>
      <c r="B31" s="1" t="s">
        <v>369</v>
      </c>
      <c r="C31" s="1" t="s">
        <v>370</v>
      </c>
      <c r="D31" s="25" t="s">
        <v>371</v>
      </c>
      <c r="E31" s="32">
        <v>123472.8</v>
      </c>
      <c r="F31" s="1" t="s">
        <v>35</v>
      </c>
    </row>
    <row r="32" spans="1:6" x14ac:dyDescent="0.25">
      <c r="A32" s="14">
        <v>45352</v>
      </c>
      <c r="B32" s="1" t="s">
        <v>372</v>
      </c>
      <c r="C32" s="1" t="s">
        <v>373</v>
      </c>
      <c r="D32" s="25" t="s">
        <v>374</v>
      </c>
      <c r="E32" s="32">
        <v>250000</v>
      </c>
      <c r="F32" s="38" t="s">
        <v>375</v>
      </c>
    </row>
    <row r="33" spans="1:6" x14ac:dyDescent="0.25">
      <c r="A33" s="14">
        <v>45352</v>
      </c>
      <c r="B33" s="1" t="s">
        <v>376</v>
      </c>
      <c r="C33" s="1" t="s">
        <v>377</v>
      </c>
      <c r="D33" s="1" t="s">
        <v>378</v>
      </c>
      <c r="E33" s="25">
        <v>2400000</v>
      </c>
      <c r="F33" s="1" t="s">
        <v>35</v>
      </c>
    </row>
    <row r="34" spans="1:6" x14ac:dyDescent="0.25">
      <c r="A34" s="14">
        <v>45353</v>
      </c>
      <c r="B34" s="1" t="s">
        <v>379</v>
      </c>
      <c r="C34" s="1" t="s">
        <v>380</v>
      </c>
      <c r="D34" s="15" t="s">
        <v>381</v>
      </c>
      <c r="E34" s="25">
        <v>662000</v>
      </c>
      <c r="F34" s="1" t="s">
        <v>13</v>
      </c>
    </row>
    <row r="35" spans="1:6" x14ac:dyDescent="0.25">
      <c r="A35" s="14">
        <v>45357</v>
      </c>
      <c r="B35" s="1" t="s">
        <v>382</v>
      </c>
      <c r="C35" s="1" t="s">
        <v>383</v>
      </c>
      <c r="D35" s="25" t="s">
        <v>384</v>
      </c>
      <c r="E35" s="25">
        <v>600000</v>
      </c>
      <c r="F35" s="1" t="s">
        <v>26</v>
      </c>
    </row>
    <row r="36" spans="1:6" x14ac:dyDescent="0.25">
      <c r="A36" s="14">
        <v>45447</v>
      </c>
      <c r="B36" s="1" t="s">
        <v>385</v>
      </c>
      <c r="C36" s="1" t="s">
        <v>386</v>
      </c>
      <c r="D36" s="25" t="s">
        <v>387</v>
      </c>
      <c r="E36" s="32">
        <v>1400000</v>
      </c>
      <c r="F36" s="1" t="s">
        <v>17</v>
      </c>
    </row>
    <row r="37" spans="1:6" ht="30" x14ac:dyDescent="0.25">
      <c r="A37" s="14">
        <v>45507</v>
      </c>
      <c r="B37" s="1" t="s">
        <v>457</v>
      </c>
      <c r="C37" s="1" t="s">
        <v>389</v>
      </c>
      <c r="D37" s="34" t="s">
        <v>390</v>
      </c>
      <c r="E37" s="27">
        <v>937015</v>
      </c>
      <c r="F37" s="26" t="s">
        <v>35</v>
      </c>
    </row>
    <row r="38" spans="1:6" x14ac:dyDescent="0.25">
      <c r="A38" s="14">
        <v>45538</v>
      </c>
      <c r="B38" s="1" t="s">
        <v>391</v>
      </c>
      <c r="C38" s="1" t="s">
        <v>392</v>
      </c>
      <c r="D38" s="28" t="s">
        <v>393</v>
      </c>
      <c r="E38" s="1">
        <v>212000</v>
      </c>
      <c r="F38" s="1" t="s">
        <v>30</v>
      </c>
    </row>
    <row r="39" spans="1:6" x14ac:dyDescent="0.25">
      <c r="A39" s="14"/>
      <c r="B39" s="1" t="s">
        <v>394</v>
      </c>
      <c r="C39" s="34" t="s">
        <v>395</v>
      </c>
      <c r="D39" s="34" t="s">
        <v>396</v>
      </c>
      <c r="E39" s="25">
        <v>81500</v>
      </c>
      <c r="F39" s="26" t="s">
        <v>30</v>
      </c>
    </row>
    <row r="40" spans="1:6" x14ac:dyDescent="0.25">
      <c r="A40" s="14">
        <v>45364</v>
      </c>
      <c r="B40" s="1" t="s">
        <v>458</v>
      </c>
      <c r="C40" s="34" t="s">
        <v>459</v>
      </c>
      <c r="D40" s="34" t="s">
        <v>460</v>
      </c>
      <c r="E40" s="25">
        <v>200000</v>
      </c>
      <c r="F40" s="26" t="s">
        <v>17</v>
      </c>
    </row>
    <row r="41" spans="1:6" x14ac:dyDescent="0.25">
      <c r="A41" s="14">
        <v>45364</v>
      </c>
      <c r="B41" s="1" t="s">
        <v>461</v>
      </c>
      <c r="C41" s="34" t="s">
        <v>462</v>
      </c>
      <c r="D41" s="34" t="s">
        <v>463</v>
      </c>
      <c r="E41" s="25"/>
      <c r="F41" s="26" t="s">
        <v>26</v>
      </c>
    </row>
    <row r="42" spans="1:6" x14ac:dyDescent="0.25">
      <c r="A42" s="14">
        <v>45365</v>
      </c>
      <c r="B42" s="1" t="s">
        <v>464</v>
      </c>
      <c r="C42" s="34" t="s">
        <v>465</v>
      </c>
      <c r="D42" s="34" t="s">
        <v>466</v>
      </c>
      <c r="E42" s="25">
        <v>167300</v>
      </c>
      <c r="F42" s="26" t="s">
        <v>26</v>
      </c>
    </row>
    <row r="43" spans="1:6" x14ac:dyDescent="0.25">
      <c r="A43" s="14">
        <v>45366</v>
      </c>
      <c r="B43" s="1" t="s">
        <v>467</v>
      </c>
      <c r="C43" s="34" t="s">
        <v>350</v>
      </c>
      <c r="D43" s="34" t="s">
        <v>468</v>
      </c>
      <c r="E43" s="25">
        <v>510000</v>
      </c>
      <c r="F43" s="26" t="s">
        <v>13</v>
      </c>
    </row>
    <row r="44" spans="1:6" x14ac:dyDescent="0.25">
      <c r="A44" s="14">
        <v>45370</v>
      </c>
      <c r="B44" s="1" t="s">
        <v>469</v>
      </c>
      <c r="C44" s="34" t="s">
        <v>470</v>
      </c>
      <c r="D44" s="34" t="s">
        <v>471</v>
      </c>
      <c r="E44" s="25">
        <v>518706</v>
      </c>
      <c r="F44" s="26" t="s">
        <v>30</v>
      </c>
    </row>
    <row r="45" spans="1:6" x14ac:dyDescent="0.25">
      <c r="A45" s="14">
        <v>45370</v>
      </c>
      <c r="B45" s="1" t="s">
        <v>472</v>
      </c>
      <c r="C45" s="34" t="s">
        <v>473</v>
      </c>
      <c r="D45" s="34" t="s">
        <v>474</v>
      </c>
      <c r="E45" s="25">
        <v>256370</v>
      </c>
      <c r="F45" s="26" t="s">
        <v>4</v>
      </c>
    </row>
    <row r="46" spans="1:6" x14ac:dyDescent="0.25">
      <c r="E46" s="1"/>
    </row>
    <row r="47" spans="1:6" ht="15.75" x14ac:dyDescent="0.25">
      <c r="A47" s="12"/>
      <c r="B47" s="12"/>
      <c r="C47" s="29" t="s">
        <v>80</v>
      </c>
      <c r="D47" s="30"/>
      <c r="E47" s="39">
        <v>8412667.8000000007</v>
      </c>
      <c r="F47" s="12"/>
    </row>
    <row r="48" spans="1:6" ht="15.75" x14ac:dyDescent="0.25">
      <c r="C48" s="17"/>
      <c r="D48" s="47"/>
      <c r="E48" s="1"/>
    </row>
    <row r="49" spans="1:6" x14ac:dyDescent="0.25">
      <c r="A49" s="3" t="s">
        <v>475</v>
      </c>
      <c r="B49" s="3" t="s">
        <v>476</v>
      </c>
      <c r="C49" s="3" t="s">
        <v>477</v>
      </c>
      <c r="E49" s="1"/>
    </row>
    <row r="50" spans="1:6" x14ac:dyDescent="0.25">
      <c r="A50" s="1" t="s">
        <v>478</v>
      </c>
      <c r="B50" s="1">
        <v>142</v>
      </c>
      <c r="C50" s="1">
        <v>153</v>
      </c>
      <c r="E50" s="1"/>
    </row>
    <row r="51" spans="1:6" x14ac:dyDescent="0.25">
      <c r="A51" s="1" t="s">
        <v>479</v>
      </c>
      <c r="B51" s="1">
        <v>35</v>
      </c>
      <c r="C51" s="1">
        <v>37</v>
      </c>
      <c r="E51" s="1"/>
    </row>
    <row r="52" spans="1:6" x14ac:dyDescent="0.25">
      <c r="A52" s="1" t="s">
        <v>480</v>
      </c>
      <c r="B52" s="1">
        <v>6</v>
      </c>
      <c r="C52" s="1">
        <v>6</v>
      </c>
      <c r="E52" s="1"/>
    </row>
    <row r="53" spans="1:6" x14ac:dyDescent="0.25">
      <c r="A53" s="1" t="s">
        <v>481</v>
      </c>
      <c r="B53" s="1">
        <v>95</v>
      </c>
      <c r="C53" s="1">
        <v>94</v>
      </c>
      <c r="E53" s="1"/>
    </row>
    <row r="54" spans="1:6" x14ac:dyDescent="0.25">
      <c r="A54" s="1" t="s">
        <v>482</v>
      </c>
      <c r="B54" s="1">
        <v>1</v>
      </c>
      <c r="C54" s="1">
        <v>1</v>
      </c>
      <c r="E54" s="1"/>
    </row>
    <row r="55" spans="1:6" x14ac:dyDescent="0.25">
      <c r="A55" s="1" t="s">
        <v>483</v>
      </c>
      <c r="B55" s="1">
        <v>11</v>
      </c>
      <c r="C55" s="1">
        <v>21</v>
      </c>
      <c r="E55" s="1"/>
    </row>
    <row r="56" spans="1:6" x14ac:dyDescent="0.25">
      <c r="E56" s="1"/>
    </row>
    <row r="58" spans="1:6" x14ac:dyDescent="0.25">
      <c r="A58" s="16" t="s">
        <v>484</v>
      </c>
      <c r="E58" s="1"/>
    </row>
    <row r="59" spans="1:6" x14ac:dyDescent="0.25">
      <c r="A59" s="33" t="s">
        <v>485</v>
      </c>
      <c r="B59" s="33" t="s">
        <v>486</v>
      </c>
      <c r="C59" s="33" t="s">
        <v>487</v>
      </c>
      <c r="D59" s="33" t="s">
        <v>488</v>
      </c>
      <c r="E59" s="33" t="s">
        <v>489</v>
      </c>
      <c r="F59" s="33" t="s">
        <v>490</v>
      </c>
    </row>
    <row r="60" spans="1:6" x14ac:dyDescent="0.25">
      <c r="A60" s="1" t="s">
        <v>491</v>
      </c>
      <c r="B60" s="1" t="s">
        <v>492</v>
      </c>
      <c r="C60" s="41" t="s">
        <v>493</v>
      </c>
      <c r="D60" s="1" t="s">
        <v>494</v>
      </c>
      <c r="E60" s="1" t="s">
        <v>495</v>
      </c>
      <c r="F60" s="1" t="s">
        <v>496</v>
      </c>
    </row>
    <row r="61" spans="1:6" x14ac:dyDescent="0.25">
      <c r="A61" s="1" t="s">
        <v>491</v>
      </c>
      <c r="B61" s="1" t="s">
        <v>458</v>
      </c>
      <c r="C61" s="42">
        <v>45415</v>
      </c>
      <c r="D61" s="1" t="s">
        <v>497</v>
      </c>
      <c r="E61" s="1" t="s">
        <v>460</v>
      </c>
      <c r="F61" s="1" t="s">
        <v>498</v>
      </c>
    </row>
    <row r="62" spans="1:6" x14ac:dyDescent="0.25">
      <c r="A62" s="1" t="s">
        <v>491</v>
      </c>
      <c r="B62" s="1" t="s">
        <v>499</v>
      </c>
      <c r="C62" s="41" t="s">
        <v>500</v>
      </c>
      <c r="D62" s="1" t="s">
        <v>497</v>
      </c>
      <c r="E62" s="1" t="s">
        <v>501</v>
      </c>
      <c r="F62" s="1" t="s">
        <v>502</v>
      </c>
    </row>
    <row r="63" spans="1:6" x14ac:dyDescent="0.25">
      <c r="A63" s="1" t="s">
        <v>491</v>
      </c>
      <c r="B63" s="1" t="s">
        <v>503</v>
      </c>
      <c r="C63" s="42">
        <v>45446</v>
      </c>
      <c r="D63" s="1" t="s">
        <v>497</v>
      </c>
      <c r="E63" s="1" t="s">
        <v>504</v>
      </c>
      <c r="F63" s="1" t="s">
        <v>505</v>
      </c>
    </row>
    <row r="64" spans="1:6" x14ac:dyDescent="0.25">
      <c r="A64" s="1" t="s">
        <v>491</v>
      </c>
      <c r="B64" s="1" t="s">
        <v>506</v>
      </c>
      <c r="C64" s="42">
        <v>45476</v>
      </c>
      <c r="D64" s="1" t="s">
        <v>497</v>
      </c>
      <c r="E64" s="1" t="s">
        <v>504</v>
      </c>
      <c r="F64" s="1" t="s">
        <v>507</v>
      </c>
    </row>
    <row r="65" spans="1:6" x14ac:dyDescent="0.25">
      <c r="A65" s="1" t="s">
        <v>491</v>
      </c>
      <c r="B65" s="1" t="s">
        <v>508</v>
      </c>
      <c r="C65" s="42">
        <v>45414</v>
      </c>
      <c r="D65" s="1" t="s">
        <v>509</v>
      </c>
      <c r="E65" s="1" t="s">
        <v>510</v>
      </c>
      <c r="F65" s="1" t="s">
        <v>511</v>
      </c>
    </row>
    <row r="66" spans="1:6" x14ac:dyDescent="0.25">
      <c r="A66" s="1" t="s">
        <v>512</v>
      </c>
      <c r="B66" s="1" t="s">
        <v>464</v>
      </c>
      <c r="C66" s="42">
        <v>45415</v>
      </c>
      <c r="D66" s="1" t="s">
        <v>497</v>
      </c>
      <c r="E66" s="1" t="s">
        <v>513</v>
      </c>
      <c r="F66" s="1" t="s">
        <v>514</v>
      </c>
    </row>
    <row r="67" spans="1:6" x14ac:dyDescent="0.25">
      <c r="A67" s="1" t="s">
        <v>515</v>
      </c>
      <c r="B67" s="1" t="s">
        <v>388</v>
      </c>
      <c r="C67" s="42">
        <v>45294</v>
      </c>
      <c r="D67" s="1" t="s">
        <v>497</v>
      </c>
      <c r="E67" s="1" t="s">
        <v>516</v>
      </c>
      <c r="F67" s="1" t="s">
        <v>517</v>
      </c>
    </row>
    <row r="68" spans="1:6" x14ac:dyDescent="0.25">
      <c r="A68" s="1" t="s">
        <v>515</v>
      </c>
      <c r="B68" s="1" t="s">
        <v>518</v>
      </c>
      <c r="C68" s="41" t="s">
        <v>493</v>
      </c>
      <c r="D68" s="1" t="s">
        <v>519</v>
      </c>
      <c r="E68" s="1" t="s">
        <v>520</v>
      </c>
      <c r="F68" s="1" t="s">
        <v>521</v>
      </c>
    </row>
    <row r="69" spans="1:6" x14ac:dyDescent="0.25">
      <c r="A69" s="1" t="s">
        <v>515</v>
      </c>
      <c r="B69" s="1" t="s">
        <v>467</v>
      </c>
      <c r="C69" s="14">
        <v>45328</v>
      </c>
      <c r="D69" s="1" t="s">
        <v>519</v>
      </c>
      <c r="E69" s="1" t="s">
        <v>522</v>
      </c>
      <c r="F69" s="1" t="s">
        <v>523</v>
      </c>
    </row>
    <row r="70" spans="1:6" x14ac:dyDescent="0.25">
      <c r="A70" s="1" t="s">
        <v>515</v>
      </c>
      <c r="B70" s="1" t="s">
        <v>524</v>
      </c>
      <c r="C70" s="14">
        <v>45335</v>
      </c>
      <c r="D70" s="1" t="s">
        <v>519</v>
      </c>
      <c r="E70" s="1" t="s">
        <v>525</v>
      </c>
      <c r="F70" s="1" t="s">
        <v>526</v>
      </c>
    </row>
    <row r="71" spans="1:6" x14ac:dyDescent="0.25">
      <c r="A71" s="1" t="s">
        <v>515</v>
      </c>
      <c r="B71" s="1" t="s">
        <v>527</v>
      </c>
      <c r="C71" s="14">
        <v>45336</v>
      </c>
      <c r="D71" s="1" t="s">
        <v>497</v>
      </c>
      <c r="E71" s="1" t="s">
        <v>528</v>
      </c>
      <c r="F71" s="1" t="s">
        <v>529</v>
      </c>
    </row>
    <row r="72" spans="1:6" x14ac:dyDescent="0.25">
      <c r="A72" s="1" t="s">
        <v>515</v>
      </c>
      <c r="B72" s="1" t="s">
        <v>530</v>
      </c>
      <c r="C72" s="14">
        <v>45343</v>
      </c>
      <c r="D72" s="1" t="s">
        <v>497</v>
      </c>
      <c r="E72" s="1" t="s">
        <v>531</v>
      </c>
      <c r="F72" s="1" t="s">
        <v>532</v>
      </c>
    </row>
    <row r="73" spans="1:6" x14ac:dyDescent="0.25">
      <c r="A73" s="1" t="s">
        <v>533</v>
      </c>
      <c r="B73" s="1" t="s">
        <v>369</v>
      </c>
      <c r="C73" s="14">
        <v>45328</v>
      </c>
      <c r="D73" s="1" t="s">
        <v>497</v>
      </c>
      <c r="E73" s="1" t="s">
        <v>371</v>
      </c>
      <c r="F73" s="1" t="s">
        <v>534</v>
      </c>
    </row>
    <row r="74" spans="1:6" x14ac:dyDescent="0.25">
      <c r="A74" s="1" t="s">
        <v>533</v>
      </c>
      <c r="B74" s="1" t="s">
        <v>535</v>
      </c>
      <c r="C74" s="14">
        <v>45640</v>
      </c>
      <c r="D74" s="1" t="s">
        <v>497</v>
      </c>
      <c r="E74" s="1" t="s">
        <v>536</v>
      </c>
      <c r="F74" s="1" t="s">
        <v>537</v>
      </c>
    </row>
    <row r="75" spans="1:6" x14ac:dyDescent="0.25">
      <c r="A75" s="1" t="s">
        <v>538</v>
      </c>
      <c r="B75" s="1" t="s">
        <v>539</v>
      </c>
      <c r="C75" s="14">
        <v>45306</v>
      </c>
      <c r="D75" s="1" t="s">
        <v>540</v>
      </c>
      <c r="E75" s="1" t="s">
        <v>541</v>
      </c>
      <c r="F75" s="1" t="s">
        <v>542</v>
      </c>
    </row>
    <row r="76" spans="1:6" x14ac:dyDescent="0.25">
      <c r="A76" s="1" t="s">
        <v>543</v>
      </c>
      <c r="B76" s="1" t="s">
        <v>544</v>
      </c>
      <c r="C76" s="14">
        <v>45294</v>
      </c>
      <c r="D76" s="1" t="s">
        <v>497</v>
      </c>
      <c r="E76" s="1" t="s">
        <v>545</v>
      </c>
      <c r="F76" s="1" t="s">
        <v>546</v>
      </c>
    </row>
    <row r="78" spans="1:6" x14ac:dyDescent="0.25">
      <c r="A78" s="16" t="s">
        <v>547</v>
      </c>
      <c r="E78" s="1"/>
    </row>
    <row r="79" spans="1:6" x14ac:dyDescent="0.25">
      <c r="A79" s="33" t="s">
        <v>485</v>
      </c>
      <c r="B79" s="33" t="s">
        <v>486</v>
      </c>
      <c r="C79" s="33" t="s">
        <v>487</v>
      </c>
      <c r="D79" s="33" t="s">
        <v>488</v>
      </c>
      <c r="E79" s="33" t="s">
        <v>489</v>
      </c>
      <c r="F79" s="33" t="s">
        <v>490</v>
      </c>
    </row>
    <row r="80" spans="1:6" x14ac:dyDescent="0.25">
      <c r="A80" s="1" t="s">
        <v>548</v>
      </c>
      <c r="B80" s="1" t="s">
        <v>549</v>
      </c>
      <c r="C80" s="14">
        <v>45315</v>
      </c>
      <c r="D80" s="1" t="s">
        <v>497</v>
      </c>
      <c r="E80" s="1" t="s">
        <v>550</v>
      </c>
      <c r="F80" s="1" t="s">
        <v>551</v>
      </c>
    </row>
    <row r="81" spans="1:6" x14ac:dyDescent="0.25">
      <c r="A81" s="1" t="s">
        <v>548</v>
      </c>
      <c r="B81" s="1" t="s">
        <v>391</v>
      </c>
      <c r="C81" s="14">
        <v>45355</v>
      </c>
      <c r="D81" s="1" t="s">
        <v>497</v>
      </c>
      <c r="E81" s="1" t="s">
        <v>552</v>
      </c>
      <c r="F81" s="1" t="s">
        <v>553</v>
      </c>
    </row>
    <row r="82" spans="1:6" x14ac:dyDescent="0.25">
      <c r="A82" s="1" t="s">
        <v>515</v>
      </c>
      <c r="B82" s="1" t="s">
        <v>554</v>
      </c>
      <c r="C82" s="14">
        <v>45367</v>
      </c>
      <c r="D82" s="1" t="s">
        <v>497</v>
      </c>
      <c r="E82" s="1" t="s">
        <v>555</v>
      </c>
      <c r="F82" s="1" t="s">
        <v>556</v>
      </c>
    </row>
    <row r="83" spans="1:6" x14ac:dyDescent="0.25">
      <c r="A83" s="1" t="s">
        <v>491</v>
      </c>
      <c r="B83" s="1" t="s">
        <v>469</v>
      </c>
      <c r="C83" s="14">
        <v>45364</v>
      </c>
      <c r="D83" s="1" t="s">
        <v>497</v>
      </c>
      <c r="E83" s="1" t="s">
        <v>471</v>
      </c>
      <c r="F83" s="1" t="s">
        <v>557</v>
      </c>
    </row>
    <row r="84" spans="1:6" x14ac:dyDescent="0.25">
      <c r="A84" s="1" t="s">
        <v>491</v>
      </c>
      <c r="B84" s="1" t="s">
        <v>558</v>
      </c>
      <c r="C84" s="14">
        <v>45366</v>
      </c>
      <c r="D84" s="1" t="s">
        <v>494</v>
      </c>
      <c r="E84" s="1" t="s">
        <v>559</v>
      </c>
      <c r="F84" s="1" t="s">
        <v>560</v>
      </c>
    </row>
    <row r="85" spans="1:6" x14ac:dyDescent="0.25">
      <c r="A85" s="1" t="s">
        <v>491</v>
      </c>
      <c r="B85" s="1" t="s">
        <v>561</v>
      </c>
      <c r="C85" s="14">
        <v>45363</v>
      </c>
      <c r="D85" s="1" t="s">
        <v>497</v>
      </c>
      <c r="E85" s="1" t="s">
        <v>562</v>
      </c>
      <c r="F85" s="1" t="s">
        <v>563</v>
      </c>
    </row>
    <row r="87" spans="1:6" x14ac:dyDescent="0.25">
      <c r="A87" s="16" t="s">
        <v>564</v>
      </c>
      <c r="E87" s="1"/>
    </row>
    <row r="88" spans="1:6" x14ac:dyDescent="0.25">
      <c r="A88" s="33" t="s">
        <v>565</v>
      </c>
      <c r="B88" s="33" t="s">
        <v>339</v>
      </c>
      <c r="C88" s="33" t="s">
        <v>337</v>
      </c>
      <c r="E88" s="1"/>
    </row>
    <row r="89" spans="1:6" x14ac:dyDescent="0.25">
      <c r="A89" s="1" t="s">
        <v>566</v>
      </c>
      <c r="B89" s="1" t="s">
        <v>567</v>
      </c>
      <c r="C89" s="1" t="s">
        <v>568</v>
      </c>
      <c r="E89" s="1"/>
    </row>
    <row r="90" spans="1:6" x14ac:dyDescent="0.25">
      <c r="A90" s="1" t="s">
        <v>569</v>
      </c>
      <c r="B90" s="1" t="s">
        <v>570</v>
      </c>
      <c r="C90" s="1" t="s">
        <v>571</v>
      </c>
      <c r="E90" s="1"/>
    </row>
    <row r="91" spans="1:6" x14ac:dyDescent="0.25">
      <c r="A91" s="1" t="s">
        <v>572</v>
      </c>
      <c r="B91" s="1" t="s">
        <v>573</v>
      </c>
      <c r="C91" s="1" t="s">
        <v>574</v>
      </c>
      <c r="E91" s="1"/>
    </row>
    <row r="92" spans="1:6" x14ac:dyDescent="0.25">
      <c r="A92" s="1" t="s">
        <v>575</v>
      </c>
      <c r="B92" s="1" t="s">
        <v>576</v>
      </c>
      <c r="C92" s="1" t="s">
        <v>577</v>
      </c>
      <c r="E92" s="1"/>
    </row>
    <row r="93" spans="1:6" x14ac:dyDescent="0.25">
      <c r="A93" s="1" t="s">
        <v>578</v>
      </c>
      <c r="B93" s="1" t="s">
        <v>579</v>
      </c>
      <c r="C93" s="1" t="s">
        <v>580</v>
      </c>
      <c r="E93" s="1"/>
    </row>
    <row r="94" spans="1:6" x14ac:dyDescent="0.25">
      <c r="A94" s="1" t="s">
        <v>581</v>
      </c>
      <c r="B94" s="1" t="s">
        <v>582</v>
      </c>
      <c r="C94" s="1" t="s">
        <v>583</v>
      </c>
      <c r="E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A7BA-CB31-4FFA-9702-F033C2D02CD0}">
  <dimension ref="A1:Y30"/>
  <sheetViews>
    <sheetView workbookViewId="0">
      <pane xSplit="1" topLeftCell="N1" activePane="topRight" state="frozen"/>
      <selection activeCell="A26" sqref="A26"/>
      <selection pane="topRight" activeCell="AC13" sqref="AC13"/>
    </sheetView>
  </sheetViews>
  <sheetFormatPr defaultColWidth="9.140625" defaultRowHeight="15" x14ac:dyDescent="0.25"/>
  <cols>
    <col min="1" max="1" width="29.5703125" style="1" bestFit="1" customWidth="1"/>
    <col min="2" max="2" width="8.7109375" style="1" bestFit="1" customWidth="1"/>
    <col min="3" max="3" width="7.85546875" style="1" bestFit="1" customWidth="1"/>
    <col min="4" max="4" width="13.5703125" style="1" bestFit="1" customWidth="1"/>
    <col min="5" max="5" width="5.28515625" style="1" bestFit="1" customWidth="1"/>
    <col min="6" max="6" width="12.28515625" style="1" bestFit="1" customWidth="1"/>
    <col min="7" max="7" width="13.42578125" style="2" bestFit="1" customWidth="1"/>
    <col min="8" max="8" width="13.42578125" style="2" customWidth="1"/>
    <col min="9" max="9" width="14.7109375" style="1" bestFit="1" customWidth="1"/>
    <col min="10" max="14" width="13.42578125" style="1" bestFit="1" customWidth="1"/>
    <col min="15" max="17" width="13.42578125" style="1" customWidth="1"/>
    <col min="18" max="18" width="9.85546875" style="1" bestFit="1" customWidth="1"/>
    <col min="19" max="19" width="12.5703125" style="1" customWidth="1"/>
    <col min="20" max="21" width="14.42578125" style="1" bestFit="1" customWidth="1"/>
    <col min="22" max="22" width="8" style="1" bestFit="1" customWidth="1"/>
    <col min="23" max="23" width="14.42578125" style="1" bestFit="1" customWidth="1"/>
    <col min="24" max="24" width="13.42578125" style="1" bestFit="1" customWidth="1"/>
    <col min="25" max="25" width="11.7109375" style="1" bestFit="1" customWidth="1"/>
    <col min="26" max="28" width="9.140625" style="1"/>
    <col min="29" max="29" width="7.7109375" style="1" bestFit="1" customWidth="1"/>
    <col min="30" max="30" width="29.5703125" style="1" bestFit="1" customWidth="1"/>
    <col min="31" max="16384" width="9.140625" style="1"/>
  </cols>
  <sheetData>
    <row r="1" spans="1:25" s="9" customFormat="1" ht="45" x14ac:dyDescent="0.25">
      <c r="A1" s="7" t="s">
        <v>0</v>
      </c>
      <c r="B1" s="7" t="s">
        <v>100</v>
      </c>
      <c r="C1" s="7" t="s">
        <v>150</v>
      </c>
      <c r="D1" s="7" t="s">
        <v>1</v>
      </c>
      <c r="E1" s="7" t="s">
        <v>2</v>
      </c>
      <c r="F1" s="7" t="s">
        <v>327</v>
      </c>
      <c r="G1" s="8" t="s">
        <v>240</v>
      </c>
      <c r="H1" s="8" t="s">
        <v>257</v>
      </c>
      <c r="I1" s="7" t="s">
        <v>43</v>
      </c>
      <c r="J1" s="7" t="s">
        <v>46</v>
      </c>
      <c r="K1" s="7" t="s">
        <v>45</v>
      </c>
      <c r="L1" s="7" t="s">
        <v>44</v>
      </c>
      <c r="M1" s="7" t="s">
        <v>42</v>
      </c>
      <c r="N1" s="7" t="s">
        <v>225</v>
      </c>
      <c r="O1" s="7" t="s">
        <v>326</v>
      </c>
      <c r="P1" s="7" t="s">
        <v>595</v>
      </c>
      <c r="Q1" s="7" t="s">
        <v>651</v>
      </c>
      <c r="R1" s="7" t="s">
        <v>649</v>
      </c>
      <c r="S1" s="7" t="s">
        <v>585</v>
      </c>
      <c r="T1" s="7" t="s">
        <v>209</v>
      </c>
      <c r="U1" s="7" t="s">
        <v>210</v>
      </c>
      <c r="V1" s="7" t="s">
        <v>212</v>
      </c>
      <c r="W1" s="7" t="s">
        <v>211</v>
      </c>
      <c r="X1" s="7" t="s">
        <v>650</v>
      </c>
      <c r="Y1" s="7" t="s">
        <v>216</v>
      </c>
    </row>
    <row r="2" spans="1:25" x14ac:dyDescent="0.25">
      <c r="A2" s="1" t="s">
        <v>18</v>
      </c>
      <c r="B2" s="1" t="s">
        <v>614</v>
      </c>
      <c r="C2" s="1" t="s">
        <v>197</v>
      </c>
      <c r="D2" s="1" t="s">
        <v>19</v>
      </c>
      <c r="E2" s="1" t="s">
        <v>10</v>
      </c>
      <c r="F2" s="5">
        <f t="shared" ref="F2:F30" si="0">G2/26</f>
        <v>38461.538461538461</v>
      </c>
      <c r="G2" s="2">
        <v>1000000</v>
      </c>
      <c r="H2" s="2">
        <f>IFERROR(F2*((NETWORKDAYS.INTL(SUMMARRY!$B$1,SUMMARRY!$B$2,11))),"")</f>
        <v>1000000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250460</v>
      </c>
      <c r="O2" s="2">
        <v>1278747</v>
      </c>
      <c r="P2" s="2">
        <v>2042300</v>
      </c>
      <c r="Q2" s="2">
        <v>4914667</v>
      </c>
      <c r="R2" s="6">
        <f t="shared" ref="R2:R30" si="1">Q2/H2</f>
        <v>4.9146669999999997</v>
      </c>
      <c r="S2" s="6" t="str">
        <f t="shared" ref="S2:S30" si="2">IF(R2&gt;=80%,"TEAM A","OTHERS")</f>
        <v>TEAM A</v>
      </c>
      <c r="T2" s="5">
        <v>15423766.610000001</v>
      </c>
      <c r="U2" s="2">
        <v>6</v>
      </c>
      <c r="V2" s="6">
        <f t="shared" ref="V2:V30" si="3">IFERROR(U2/T2,0)</f>
        <v>3.8901003572693451E-7</v>
      </c>
      <c r="W2" s="2">
        <v>4183266.32</v>
      </c>
      <c r="X2" s="2">
        <v>3819856.03</v>
      </c>
      <c r="Y2" s="2">
        <f t="shared" ref="Y2:Y30" si="4">IF(R2&gt;=80%,X2*0.02,0)+IF(AND(W2&gt;300000000,V2&lt;5%),0.1%*W2,0)</f>
        <v>76397.120599999995</v>
      </c>
    </row>
    <row r="3" spans="1:25" x14ac:dyDescent="0.25">
      <c r="A3" s="1" t="s">
        <v>29</v>
      </c>
      <c r="B3" s="1" t="s">
        <v>621</v>
      </c>
      <c r="C3" s="1" t="s">
        <v>231</v>
      </c>
      <c r="D3" s="1" t="s">
        <v>30</v>
      </c>
      <c r="E3" s="1" t="s">
        <v>10</v>
      </c>
      <c r="F3" s="5">
        <f t="shared" si="0"/>
        <v>76923.076923076922</v>
      </c>
      <c r="G3" s="2">
        <v>2000000</v>
      </c>
      <c r="H3" s="2">
        <f>IFERROR(F3*((NETWORKDAYS.INTL(SUMMARRY!$B$1,SUMMARRY!$B$2,11))),"")</f>
        <v>2000000</v>
      </c>
      <c r="I3" s="2">
        <v>2000000</v>
      </c>
      <c r="J3" s="2">
        <v>1900500</v>
      </c>
      <c r="K3" s="2">
        <v>523270</v>
      </c>
      <c r="L3" s="2">
        <v>1212000</v>
      </c>
      <c r="M3" s="2">
        <v>623000</v>
      </c>
      <c r="N3" s="2">
        <v>405000</v>
      </c>
      <c r="O3" s="2">
        <v>960697</v>
      </c>
      <c r="P3" s="2">
        <v>1610000</v>
      </c>
      <c r="Q3" s="2">
        <v>3440000</v>
      </c>
      <c r="R3" s="6">
        <f t="shared" si="1"/>
        <v>1.72</v>
      </c>
      <c r="S3" s="6" t="str">
        <f t="shared" si="2"/>
        <v>TEAM A</v>
      </c>
      <c r="T3" s="5">
        <v>5546570.5999999996</v>
      </c>
      <c r="U3" s="2">
        <v>840401.66</v>
      </c>
      <c r="V3" s="6">
        <f t="shared" si="3"/>
        <v>0.15151734659250529</v>
      </c>
      <c r="W3" s="2">
        <v>3196045.6399999997</v>
      </c>
      <c r="X3" s="2">
        <v>2542911</v>
      </c>
      <c r="Y3" s="2">
        <f t="shared" si="4"/>
        <v>50858.22</v>
      </c>
    </row>
    <row r="4" spans="1:25" x14ac:dyDescent="0.25">
      <c r="A4" s="1" t="s">
        <v>16</v>
      </c>
      <c r="B4" s="1" t="s">
        <v>613</v>
      </c>
      <c r="C4" s="1" t="s">
        <v>196</v>
      </c>
      <c r="D4" s="1" t="s">
        <v>17</v>
      </c>
      <c r="E4" s="1" t="s">
        <v>7</v>
      </c>
      <c r="F4" s="5">
        <f t="shared" si="0"/>
        <v>384615.38461538462</v>
      </c>
      <c r="G4" s="2">
        <v>10000000</v>
      </c>
      <c r="H4" s="2">
        <f>IFERROR(F4*((NETWORKDAYS.INTL(SUMMARRY!$B$1,SUMMARRY!$B$2,11))),"")</f>
        <v>10000000</v>
      </c>
      <c r="I4" s="2">
        <v>5000000</v>
      </c>
      <c r="J4" s="2">
        <v>11845261</v>
      </c>
      <c r="K4" s="2">
        <v>8714850</v>
      </c>
      <c r="L4" s="2">
        <v>5620000</v>
      </c>
      <c r="M4" s="2">
        <v>7250717</v>
      </c>
      <c r="N4" s="2">
        <v>4750901</v>
      </c>
      <c r="O4" s="2">
        <v>5722500</v>
      </c>
      <c r="P4" s="2">
        <v>9585467</v>
      </c>
      <c r="Q4" s="2">
        <v>15087386</v>
      </c>
      <c r="R4" s="6">
        <f t="shared" si="1"/>
        <v>1.5087386</v>
      </c>
      <c r="S4" s="6" t="str">
        <f t="shared" si="2"/>
        <v>TEAM A</v>
      </c>
      <c r="T4" s="5">
        <v>24611312.859999999</v>
      </c>
      <c r="U4" s="2">
        <v>7101664.1399999997</v>
      </c>
      <c r="V4" s="6">
        <f t="shared" si="3"/>
        <v>0.28855283667301279</v>
      </c>
      <c r="W4" s="2">
        <v>116651406.26000001</v>
      </c>
      <c r="X4" s="2">
        <v>1116915</v>
      </c>
      <c r="Y4" s="2">
        <f t="shared" si="4"/>
        <v>22338.3</v>
      </c>
    </row>
    <row r="5" spans="1:25" x14ac:dyDescent="0.25">
      <c r="A5" s="1" t="s">
        <v>25</v>
      </c>
      <c r="B5" s="1" t="s">
        <v>618</v>
      </c>
      <c r="C5" s="1" t="s">
        <v>201</v>
      </c>
      <c r="D5" s="1" t="s">
        <v>26</v>
      </c>
      <c r="E5" s="1" t="s">
        <v>10</v>
      </c>
      <c r="F5" s="5">
        <f t="shared" si="0"/>
        <v>769230.76923076925</v>
      </c>
      <c r="G5" s="2">
        <v>20000000</v>
      </c>
      <c r="H5" s="2">
        <f>IFERROR(F5*((NETWORKDAYS.INTL(SUMMARRY!$B$1,SUMMARRY!$B$2,11))),"")</f>
        <v>20000000</v>
      </c>
      <c r="I5" s="2">
        <v>5000000</v>
      </c>
      <c r="J5" s="2">
        <v>16361516</v>
      </c>
      <c r="K5" s="2">
        <v>50727714</v>
      </c>
      <c r="L5" s="2">
        <v>1017000</v>
      </c>
      <c r="M5" s="2">
        <v>25565000</v>
      </c>
      <c r="N5" s="2">
        <v>26008511</v>
      </c>
      <c r="O5" s="2">
        <v>26344434</v>
      </c>
      <c r="P5" s="2">
        <v>10651011</v>
      </c>
      <c r="Q5" s="2">
        <v>27265653</v>
      </c>
      <c r="R5" s="6">
        <f t="shared" si="1"/>
        <v>1.3632826499999999</v>
      </c>
      <c r="S5" s="6" t="str">
        <f t="shared" si="2"/>
        <v>TEAM A</v>
      </c>
      <c r="T5" s="5">
        <v>204685212.97999999</v>
      </c>
      <c r="U5" s="2">
        <v>13059789.120000003</v>
      </c>
      <c r="V5" s="6">
        <f t="shared" si="3"/>
        <v>6.3804262798779168E-2</v>
      </c>
      <c r="W5" s="2">
        <v>154258416.44999999</v>
      </c>
      <c r="X5" s="2">
        <v>1857326.75</v>
      </c>
      <c r="Y5" s="2">
        <f t="shared" si="4"/>
        <v>37146.535000000003</v>
      </c>
    </row>
    <row r="6" spans="1:25" x14ac:dyDescent="0.25">
      <c r="A6" s="1" t="s">
        <v>3</v>
      </c>
      <c r="B6" s="1" t="s">
        <v>607</v>
      </c>
      <c r="C6" s="1" t="s">
        <v>213</v>
      </c>
      <c r="D6" s="1" t="s">
        <v>4</v>
      </c>
      <c r="E6" s="1" t="s">
        <v>5</v>
      </c>
      <c r="F6" s="5">
        <f t="shared" si="0"/>
        <v>1346153.8461538462</v>
      </c>
      <c r="G6" s="2">
        <v>35000000</v>
      </c>
      <c r="H6" s="2">
        <f>IFERROR(F6*((NETWORKDAYS.INTL(SUMMARRY!$B$1,SUMMARRY!$B$2,11))),"")</f>
        <v>35000000</v>
      </c>
      <c r="I6" s="2">
        <v>30000000</v>
      </c>
      <c r="J6" s="2">
        <v>27892069</v>
      </c>
      <c r="K6" s="2">
        <v>26811617</v>
      </c>
      <c r="L6" s="2">
        <v>33919367</v>
      </c>
      <c r="M6" s="2">
        <v>38788576</v>
      </c>
      <c r="N6" s="2">
        <v>90066182</v>
      </c>
      <c r="O6" s="2">
        <v>23574801</v>
      </c>
      <c r="P6" s="2">
        <v>22054400</v>
      </c>
      <c r="Q6" s="2">
        <v>45514569.299999997</v>
      </c>
      <c r="R6" s="6">
        <f t="shared" si="1"/>
        <v>1.3004162657142857</v>
      </c>
      <c r="S6" s="6" t="str">
        <f t="shared" si="2"/>
        <v>TEAM A</v>
      </c>
      <c r="T6" s="5">
        <v>398893489.87</v>
      </c>
      <c r="U6" s="2">
        <v>124430963.44999999</v>
      </c>
      <c r="V6" s="6">
        <f t="shared" si="3"/>
        <v>0.31194032143906941</v>
      </c>
      <c r="W6" s="2">
        <v>291984876.35000002</v>
      </c>
      <c r="X6" s="2">
        <v>1123839</v>
      </c>
      <c r="Y6" s="2">
        <f t="shared" si="4"/>
        <v>22476.78</v>
      </c>
    </row>
    <row r="7" spans="1:25" x14ac:dyDescent="0.25">
      <c r="A7" s="1" t="s">
        <v>31</v>
      </c>
      <c r="B7" s="1" t="s">
        <v>117</v>
      </c>
      <c r="C7" s="1" t="s">
        <v>204</v>
      </c>
      <c r="D7" s="1" t="s">
        <v>30</v>
      </c>
      <c r="E7" s="1" t="s">
        <v>32</v>
      </c>
      <c r="F7" s="5">
        <f t="shared" si="0"/>
        <v>192307.69230769231</v>
      </c>
      <c r="G7" s="2">
        <v>5000000</v>
      </c>
      <c r="H7" s="2">
        <f>IFERROR(F7*((NETWORKDAYS.INTL(SUMMARRY!$B$1,SUMMARRY!$B$2,11))),"")</f>
        <v>5000000</v>
      </c>
      <c r="I7" s="2">
        <v>5000000</v>
      </c>
      <c r="J7" s="2">
        <v>3750000</v>
      </c>
      <c r="K7" s="2">
        <v>3015532</v>
      </c>
      <c r="L7" s="2">
        <v>6239500</v>
      </c>
      <c r="M7" s="2">
        <v>1971000</v>
      </c>
      <c r="N7" s="2">
        <v>16602925</v>
      </c>
      <c r="O7" s="2">
        <v>2625000</v>
      </c>
      <c r="P7" s="2">
        <v>3134488</v>
      </c>
      <c r="Q7" s="2">
        <v>6033310</v>
      </c>
      <c r="R7" s="6">
        <f t="shared" si="1"/>
        <v>1.2066619999999999</v>
      </c>
      <c r="S7" s="6" t="str">
        <f t="shared" si="2"/>
        <v>TEAM A</v>
      </c>
      <c r="T7" s="5">
        <v>31529399.699999992</v>
      </c>
      <c r="U7" s="2">
        <v>3758320.8499999996</v>
      </c>
      <c r="V7" s="6">
        <f t="shared" si="3"/>
        <v>0.11920052033213942</v>
      </c>
      <c r="W7" s="2">
        <v>24677379.690000001</v>
      </c>
      <c r="X7" s="2">
        <v>2616231</v>
      </c>
      <c r="Y7" s="2">
        <f t="shared" si="4"/>
        <v>52324.62</v>
      </c>
    </row>
    <row r="8" spans="1:25" x14ac:dyDescent="0.25">
      <c r="A8" s="1" t="s">
        <v>33</v>
      </c>
      <c r="B8" s="1" t="s">
        <v>622</v>
      </c>
      <c r="C8" s="1" t="s">
        <v>205</v>
      </c>
      <c r="D8" s="1" t="s">
        <v>30</v>
      </c>
      <c r="E8" s="1" t="s">
        <v>10</v>
      </c>
      <c r="F8" s="5">
        <f t="shared" si="0"/>
        <v>38461.538461538461</v>
      </c>
      <c r="G8" s="2">
        <v>1000000</v>
      </c>
      <c r="H8" s="2">
        <f>IFERROR(F8*((NETWORKDAYS.INTL(SUMMARRY!$B$1,SUMMARRY!$B$2,11))),"")</f>
        <v>1000000</v>
      </c>
      <c r="I8" s="2">
        <v>0</v>
      </c>
      <c r="J8" s="2">
        <v>0</v>
      </c>
      <c r="K8" s="2">
        <v>0</v>
      </c>
      <c r="L8" s="2">
        <v>2328000</v>
      </c>
      <c r="M8" s="2">
        <v>924000</v>
      </c>
      <c r="N8" s="2">
        <v>370750</v>
      </c>
      <c r="O8" s="2">
        <v>240000</v>
      </c>
      <c r="P8" s="2">
        <v>1020000</v>
      </c>
      <c r="Q8" s="2">
        <v>1170000</v>
      </c>
      <c r="R8" s="6">
        <f t="shared" si="1"/>
        <v>1.17</v>
      </c>
      <c r="S8" s="6" t="str">
        <f t="shared" si="2"/>
        <v>TEAM A</v>
      </c>
      <c r="T8" s="5">
        <v>1511138.29</v>
      </c>
      <c r="U8" s="2">
        <v>7970</v>
      </c>
      <c r="V8" s="6">
        <f t="shared" si="3"/>
        <v>5.2741698445084072E-3</v>
      </c>
      <c r="W8" s="2">
        <v>1286400</v>
      </c>
      <c r="X8" s="2">
        <v>170180</v>
      </c>
      <c r="Y8" s="2">
        <f t="shared" si="4"/>
        <v>3403.6</v>
      </c>
    </row>
    <row r="9" spans="1:25" x14ac:dyDescent="0.25">
      <c r="A9" s="1" t="s">
        <v>36</v>
      </c>
      <c r="B9" s="1" t="s">
        <v>624</v>
      </c>
      <c r="C9" s="1" t="s">
        <v>214</v>
      </c>
      <c r="D9" s="1" t="s">
        <v>35</v>
      </c>
      <c r="E9" s="1" t="s">
        <v>7</v>
      </c>
      <c r="F9" s="5">
        <f t="shared" si="0"/>
        <v>961538.4615384615</v>
      </c>
      <c r="G9" s="2">
        <v>25000000</v>
      </c>
      <c r="H9" s="2">
        <f>IFERROR(F9*((NETWORKDAYS.INTL(SUMMARRY!$B$1,SUMMARRY!$B$2,11))),"")</f>
        <v>25000000</v>
      </c>
      <c r="I9" s="2">
        <v>5000000</v>
      </c>
      <c r="J9" s="2">
        <v>13574700</v>
      </c>
      <c r="K9" s="2">
        <v>16869900</v>
      </c>
      <c r="L9" s="2">
        <v>20214000</v>
      </c>
      <c r="M9" s="2">
        <v>23594000</v>
      </c>
      <c r="N9" s="2">
        <v>36010868.719999999</v>
      </c>
      <c r="O9" s="2">
        <v>10874000</v>
      </c>
      <c r="P9" s="2">
        <v>20548494</v>
      </c>
      <c r="Q9" s="2">
        <v>24992447</v>
      </c>
      <c r="R9" s="6">
        <f t="shared" si="1"/>
        <v>0.99969788000000004</v>
      </c>
      <c r="S9" s="6" t="str">
        <f t="shared" si="2"/>
        <v>TEAM A</v>
      </c>
      <c r="T9" s="5">
        <v>101886896.36999999</v>
      </c>
      <c r="U9" s="2">
        <v>22882168.050000001</v>
      </c>
      <c r="V9" s="6">
        <f t="shared" si="3"/>
        <v>0.22458401291274904</v>
      </c>
      <c r="W9" s="2">
        <v>70523063.069999993</v>
      </c>
      <c r="X9" s="2">
        <v>643177</v>
      </c>
      <c r="Y9" s="2">
        <f t="shared" si="4"/>
        <v>12863.54</v>
      </c>
    </row>
    <row r="10" spans="1:25" x14ac:dyDescent="0.25">
      <c r="A10" s="1" t="s">
        <v>23</v>
      </c>
      <c r="B10" s="1" t="s">
        <v>617</v>
      </c>
      <c r="C10" s="1" t="s">
        <v>200</v>
      </c>
      <c r="D10" s="1" t="s">
        <v>24</v>
      </c>
      <c r="E10" s="1" t="s">
        <v>10</v>
      </c>
      <c r="F10" s="5">
        <f t="shared" si="0"/>
        <v>115384.61538461539</v>
      </c>
      <c r="G10" s="2">
        <v>3000000</v>
      </c>
      <c r="H10" s="2">
        <f>IFERROR(F10*((NETWORKDAYS.INTL(SUMMARRY!$B$1,SUMMARRY!$B$2,11))),"")</f>
        <v>3000000</v>
      </c>
      <c r="I10" s="2">
        <v>500000</v>
      </c>
      <c r="J10" s="2">
        <v>2199462</v>
      </c>
      <c r="K10" s="2">
        <v>4493676</v>
      </c>
      <c r="L10" s="2">
        <v>950000</v>
      </c>
      <c r="M10" s="2">
        <v>1460000</v>
      </c>
      <c r="N10" s="2">
        <v>1120000</v>
      </c>
      <c r="O10" s="2">
        <v>1086039</v>
      </c>
      <c r="P10" s="2">
        <v>2484519</v>
      </c>
      <c r="Q10" s="2">
        <v>2660910</v>
      </c>
      <c r="R10" s="6">
        <f t="shared" si="1"/>
        <v>0.88697000000000004</v>
      </c>
      <c r="S10" s="6" t="str">
        <f t="shared" si="2"/>
        <v>TEAM A</v>
      </c>
      <c r="T10" s="5">
        <v>2981267.98</v>
      </c>
      <c r="U10" s="2">
        <v>62690.3</v>
      </c>
      <c r="V10" s="6">
        <f t="shared" si="3"/>
        <v>2.1028066051277956E-2</v>
      </c>
      <c r="W10" s="2">
        <v>1969945.35</v>
      </c>
      <c r="X10" s="2">
        <v>995071.39</v>
      </c>
      <c r="Y10" s="2">
        <f t="shared" si="4"/>
        <v>19901.427800000001</v>
      </c>
    </row>
    <row r="11" spans="1:25" x14ac:dyDescent="0.25">
      <c r="A11" s="1" t="s">
        <v>8</v>
      </c>
      <c r="B11" s="1" t="s">
        <v>609</v>
      </c>
      <c r="C11" s="1" t="s">
        <v>192</v>
      </c>
      <c r="D11" s="1" t="s">
        <v>9</v>
      </c>
      <c r="E11" s="1" t="s">
        <v>10</v>
      </c>
      <c r="F11" s="5">
        <f t="shared" si="0"/>
        <v>115384.61538461539</v>
      </c>
      <c r="G11" s="2">
        <v>3000000</v>
      </c>
      <c r="H11" s="2">
        <f>IFERROR(F11*((NETWORKDAYS.INTL(SUMMARRY!$B$1,SUMMARRY!$B$2,11))),"")</f>
        <v>3000000</v>
      </c>
      <c r="I11" s="2">
        <v>2000000</v>
      </c>
      <c r="J11" s="2">
        <v>4857000</v>
      </c>
      <c r="K11" s="2">
        <v>1390000</v>
      </c>
      <c r="L11" s="2">
        <v>1543728</v>
      </c>
      <c r="M11" s="2">
        <v>1605000</v>
      </c>
      <c r="N11" s="2">
        <v>2764178</v>
      </c>
      <c r="O11" s="2">
        <v>2400021</v>
      </c>
      <c r="P11" s="2">
        <v>2760602.6</v>
      </c>
      <c r="Q11" s="2">
        <v>2626300</v>
      </c>
      <c r="R11" s="6">
        <f t="shared" si="1"/>
        <v>0.87543333333333329</v>
      </c>
      <c r="S11" s="6" t="str">
        <f t="shared" si="2"/>
        <v>TEAM A</v>
      </c>
      <c r="T11" s="5">
        <v>11288850.98</v>
      </c>
      <c r="U11" s="2">
        <v>5716443.7399999984</v>
      </c>
      <c r="V11" s="6">
        <f t="shared" si="3"/>
        <v>0.50637959081288164</v>
      </c>
      <c r="W11" s="2">
        <v>6183471.1499999994</v>
      </c>
      <c r="X11" s="2">
        <v>2433500</v>
      </c>
      <c r="Y11" s="2">
        <f t="shared" si="4"/>
        <v>48670</v>
      </c>
    </row>
    <row r="12" spans="1:25" x14ac:dyDescent="0.25">
      <c r="A12" s="1" t="s">
        <v>27</v>
      </c>
      <c r="B12" s="1" t="s">
        <v>619</v>
      </c>
      <c r="C12" s="1" t="s">
        <v>202</v>
      </c>
      <c r="D12" s="1" t="s">
        <v>26</v>
      </c>
      <c r="E12" s="1" t="s">
        <v>7</v>
      </c>
      <c r="F12" s="5">
        <f t="shared" si="0"/>
        <v>1346153.8461538462</v>
      </c>
      <c r="G12" s="2">
        <v>35000000</v>
      </c>
      <c r="H12" s="2">
        <f>IFERROR(F12*((NETWORKDAYS.INTL(SUMMARRY!$B$1,SUMMARRY!$B$2,11))),"")</f>
        <v>35000000</v>
      </c>
      <c r="I12" s="2">
        <v>10000000</v>
      </c>
      <c r="J12" s="2">
        <v>25542233</v>
      </c>
      <c r="K12" s="2">
        <v>18685000</v>
      </c>
      <c r="L12" s="2">
        <v>18339000</v>
      </c>
      <c r="M12" s="2">
        <v>16551302</v>
      </c>
      <c r="N12" s="2">
        <v>24311827</v>
      </c>
      <c r="O12" s="2">
        <v>15530000</v>
      </c>
      <c r="P12" s="2">
        <v>10704000</v>
      </c>
      <c r="Q12" s="2">
        <v>27043656</v>
      </c>
      <c r="R12" s="6">
        <f t="shared" si="1"/>
        <v>0.77267588571428569</v>
      </c>
      <c r="S12" s="6" t="str">
        <f t="shared" si="2"/>
        <v>OTHERS</v>
      </c>
      <c r="T12" s="5">
        <v>90355562.860000014</v>
      </c>
      <c r="U12" s="2">
        <v>11408976.15</v>
      </c>
      <c r="V12" s="6">
        <f t="shared" si="3"/>
        <v>0.12626755662711611</v>
      </c>
      <c r="W12" s="2">
        <v>74506091.199999988</v>
      </c>
      <c r="X12" s="2">
        <v>11945915</v>
      </c>
      <c r="Y12" s="2">
        <f t="shared" si="4"/>
        <v>0</v>
      </c>
    </row>
    <row r="13" spans="1:25" x14ac:dyDescent="0.25">
      <c r="A13" s="1" t="s">
        <v>11</v>
      </c>
      <c r="B13" s="1" t="s">
        <v>610</v>
      </c>
      <c r="C13" s="1" t="s">
        <v>193</v>
      </c>
      <c r="D13" s="1" t="s">
        <v>12</v>
      </c>
      <c r="E13" s="1" t="s">
        <v>10</v>
      </c>
      <c r="F13" s="5">
        <f t="shared" si="0"/>
        <v>96153.846153846156</v>
      </c>
      <c r="G13" s="2">
        <v>2500000</v>
      </c>
      <c r="H13" s="2">
        <f>IFERROR(F13*((NETWORKDAYS.INTL(SUMMARRY!$B$1,SUMMARRY!$B$2,11))),"")</f>
        <v>2500000</v>
      </c>
      <c r="I13" s="2">
        <v>0</v>
      </c>
      <c r="J13" s="2">
        <v>0</v>
      </c>
      <c r="K13" s="2">
        <v>0</v>
      </c>
      <c r="L13" s="2">
        <v>0</v>
      </c>
      <c r="M13" s="2">
        <v>309341</v>
      </c>
      <c r="N13" s="2">
        <v>999521</v>
      </c>
      <c r="O13" s="2">
        <v>1520999</v>
      </c>
      <c r="P13" s="2">
        <v>1439386</v>
      </c>
      <c r="Q13" s="2">
        <v>1820043</v>
      </c>
      <c r="R13" s="6">
        <f t="shared" si="1"/>
        <v>0.72801720000000003</v>
      </c>
      <c r="S13" s="6" t="str">
        <f t="shared" si="2"/>
        <v>OTHERS</v>
      </c>
      <c r="T13" s="5">
        <v>17008434.899999999</v>
      </c>
      <c r="U13" s="2">
        <v>50523</v>
      </c>
      <c r="V13" s="6">
        <f t="shared" si="3"/>
        <v>2.9704673179541054E-3</v>
      </c>
      <c r="W13" s="2">
        <v>4622314</v>
      </c>
      <c r="X13" s="2">
        <v>1189647.48</v>
      </c>
      <c r="Y13" s="2">
        <f t="shared" si="4"/>
        <v>0</v>
      </c>
    </row>
    <row r="14" spans="1:25" x14ac:dyDescent="0.25">
      <c r="A14" s="1" t="s">
        <v>14</v>
      </c>
      <c r="B14" s="1" t="s">
        <v>611</v>
      </c>
      <c r="C14" s="1" t="s">
        <v>194</v>
      </c>
      <c r="D14" s="1" t="s">
        <v>13</v>
      </c>
      <c r="E14" s="1" t="s">
        <v>7</v>
      </c>
      <c r="F14" s="5">
        <f t="shared" si="0"/>
        <v>115384.61538461539</v>
      </c>
      <c r="G14" s="2">
        <v>3000000</v>
      </c>
      <c r="H14" s="2">
        <f>IFERROR(F14*((NETWORKDAYS.INTL(SUMMARRY!$B$1,SUMMARRY!$B$2,11))),"")</f>
        <v>3000000</v>
      </c>
      <c r="I14" s="2">
        <v>1000000</v>
      </c>
      <c r="J14" s="2">
        <v>815000</v>
      </c>
      <c r="K14" s="2">
        <v>1418239</v>
      </c>
      <c r="L14" s="2">
        <v>823091</v>
      </c>
      <c r="M14" s="2">
        <v>651478</v>
      </c>
      <c r="N14" s="2">
        <v>1148905</v>
      </c>
      <c r="O14" s="2">
        <v>1769136</v>
      </c>
      <c r="P14" s="2">
        <v>2446682</v>
      </c>
      <c r="Q14" s="2">
        <v>1825300</v>
      </c>
      <c r="R14" s="6">
        <f t="shared" si="1"/>
        <v>0.60843333333333338</v>
      </c>
      <c r="S14" s="6" t="str">
        <f t="shared" si="2"/>
        <v>OTHERS</v>
      </c>
      <c r="T14" s="5">
        <v>3668196.0900000003</v>
      </c>
      <c r="U14" s="2">
        <v>1333030.0900000001</v>
      </c>
      <c r="V14" s="6">
        <f t="shared" si="3"/>
        <v>0.36340208028519</v>
      </c>
      <c r="W14" s="2">
        <v>2883221.33</v>
      </c>
      <c r="X14" s="2">
        <v>1401405.67</v>
      </c>
      <c r="Y14" s="2">
        <f t="shared" si="4"/>
        <v>0</v>
      </c>
    </row>
    <row r="15" spans="1:25" x14ac:dyDescent="0.25">
      <c r="A15" s="1" t="s">
        <v>41</v>
      </c>
      <c r="B15" s="1" t="s">
        <v>627</v>
      </c>
      <c r="C15" s="1" t="s">
        <v>208</v>
      </c>
      <c r="D15" s="1" t="s">
        <v>39</v>
      </c>
      <c r="E15" s="1" t="s">
        <v>10</v>
      </c>
      <c r="F15" s="5">
        <f t="shared" si="0"/>
        <v>38461.538461538461</v>
      </c>
      <c r="G15" s="2">
        <v>1000000</v>
      </c>
      <c r="H15" s="2">
        <f>IFERROR(F15*((NETWORKDAYS.INTL(SUMMARRY!$B$1,SUMMARRY!$B$2,11))),"")</f>
        <v>1000000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40000</v>
      </c>
      <c r="O15" s="2">
        <v>200000</v>
      </c>
      <c r="P15" s="2">
        <v>110000</v>
      </c>
      <c r="Q15" s="2">
        <v>550000</v>
      </c>
      <c r="R15" s="6">
        <f t="shared" si="1"/>
        <v>0.55000000000000004</v>
      </c>
      <c r="S15" s="6" t="str">
        <f t="shared" si="2"/>
        <v>OTHERS</v>
      </c>
      <c r="T15" s="5">
        <v>27113.63</v>
      </c>
      <c r="U15" s="2">
        <v>27113.63</v>
      </c>
      <c r="V15" s="6">
        <f t="shared" si="3"/>
        <v>1</v>
      </c>
      <c r="W15" s="2">
        <v>25822.5</v>
      </c>
      <c r="X15" s="2">
        <v>394245</v>
      </c>
      <c r="Y15" s="2">
        <f t="shared" si="4"/>
        <v>0</v>
      </c>
    </row>
    <row r="16" spans="1:25" x14ac:dyDescent="0.25">
      <c r="A16" s="1" t="s">
        <v>6</v>
      </c>
      <c r="B16" s="1" t="s">
        <v>608</v>
      </c>
      <c r="C16" s="1" t="s">
        <v>191</v>
      </c>
      <c r="D16" s="1" t="s">
        <v>4</v>
      </c>
      <c r="E16" s="1" t="s">
        <v>7</v>
      </c>
      <c r="F16" s="5">
        <f t="shared" si="0"/>
        <v>576923.07692307688</v>
      </c>
      <c r="G16" s="2">
        <v>15000000</v>
      </c>
      <c r="H16" s="2">
        <f>IFERROR(F16*((NETWORKDAYS.INTL(SUMMARRY!$B$1,SUMMARRY!$B$2,11))),"")</f>
        <v>14999999.999999998</v>
      </c>
      <c r="I16" s="2"/>
      <c r="J16" s="2">
        <v>9196212</v>
      </c>
      <c r="K16" s="2">
        <v>1937000</v>
      </c>
      <c r="L16" s="2">
        <v>1520000</v>
      </c>
      <c r="M16" s="2">
        <v>7110050</v>
      </c>
      <c r="N16" s="2">
        <v>8575000</v>
      </c>
      <c r="O16" s="2">
        <v>7906375</v>
      </c>
      <c r="P16" s="2">
        <v>2927000</v>
      </c>
      <c r="Q16" s="2">
        <v>8221153</v>
      </c>
      <c r="R16" s="6">
        <f t="shared" si="1"/>
        <v>0.54807686666666677</v>
      </c>
      <c r="S16" s="6" t="str">
        <f t="shared" si="2"/>
        <v>OTHERS</v>
      </c>
      <c r="T16" s="5">
        <v>24230327.07</v>
      </c>
      <c r="U16" s="2">
        <v>1529263.94</v>
      </c>
      <c r="V16" s="6">
        <f t="shared" si="3"/>
        <v>6.3113631755033497E-2</v>
      </c>
      <c r="W16" s="2">
        <v>19037805.590000004</v>
      </c>
      <c r="X16" s="2">
        <v>2334515</v>
      </c>
      <c r="Y16" s="2">
        <f t="shared" si="4"/>
        <v>0</v>
      </c>
    </row>
    <row r="17" spans="1:25" x14ac:dyDescent="0.25">
      <c r="A17" s="1" t="s">
        <v>38</v>
      </c>
      <c r="B17" s="1" t="s">
        <v>626</v>
      </c>
      <c r="C17" s="1" t="s">
        <v>215</v>
      </c>
      <c r="D17" s="1" t="s">
        <v>39</v>
      </c>
      <c r="E17" s="1" t="s">
        <v>40</v>
      </c>
      <c r="F17" s="5">
        <f t="shared" si="0"/>
        <v>192307.69230769231</v>
      </c>
      <c r="G17" s="2">
        <v>5000000</v>
      </c>
      <c r="H17" s="2">
        <f>IFERROR(F17*((NETWORKDAYS.INTL(SUMMARRY!$B$1,SUMMARRY!$B$2,11))),"")</f>
        <v>5000000</v>
      </c>
      <c r="I17" s="2">
        <v>3500000</v>
      </c>
      <c r="J17" s="2">
        <v>3488295.92</v>
      </c>
      <c r="K17" s="2">
        <v>3873521.83</v>
      </c>
      <c r="L17" s="2">
        <v>918925</v>
      </c>
      <c r="M17" s="2">
        <v>2460627</v>
      </c>
      <c r="N17" s="2">
        <v>2736338</v>
      </c>
      <c r="O17" s="2">
        <v>3964716</v>
      </c>
      <c r="P17" s="2">
        <v>1343882</v>
      </c>
      <c r="Q17" s="2">
        <v>2736756</v>
      </c>
      <c r="R17" s="6">
        <f t="shared" si="1"/>
        <v>0.54735120000000004</v>
      </c>
      <c r="S17" s="6" t="str">
        <f t="shared" si="2"/>
        <v>OTHERS</v>
      </c>
      <c r="T17" s="5">
        <v>3816955.9</v>
      </c>
      <c r="U17" s="2">
        <v>2765.34</v>
      </c>
      <c r="V17" s="6">
        <f t="shared" si="3"/>
        <v>7.2448832851330566E-4</v>
      </c>
      <c r="W17" s="2">
        <v>1137739.33</v>
      </c>
      <c r="X17" s="2">
        <v>1937896</v>
      </c>
      <c r="Y17" s="2">
        <f t="shared" si="4"/>
        <v>0</v>
      </c>
    </row>
    <row r="18" spans="1:25" x14ac:dyDescent="0.25">
      <c r="A18" s="1" t="s">
        <v>21</v>
      </c>
      <c r="B18" s="1" t="s">
        <v>615</v>
      </c>
      <c r="C18" s="1" t="s">
        <v>198</v>
      </c>
      <c r="D18" s="1" t="s">
        <v>20</v>
      </c>
      <c r="E18" s="1" t="s">
        <v>7</v>
      </c>
      <c r="F18" s="5">
        <f t="shared" si="0"/>
        <v>384615.38461538462</v>
      </c>
      <c r="G18" s="2">
        <v>10000000</v>
      </c>
      <c r="H18" s="2">
        <f>IFERROR(F18*((NETWORKDAYS.INTL(SUMMARRY!$B$1,SUMMARRY!$B$2,11))),"")</f>
        <v>10000000</v>
      </c>
      <c r="I18" s="2">
        <v>2000000</v>
      </c>
      <c r="J18" s="2">
        <v>10007000</v>
      </c>
      <c r="K18" s="2">
        <v>6867752</v>
      </c>
      <c r="L18" s="2">
        <v>4151110</v>
      </c>
      <c r="M18" s="2">
        <v>5178500</v>
      </c>
      <c r="N18" s="2">
        <v>8811646.3900000006</v>
      </c>
      <c r="O18" s="2">
        <v>4546600</v>
      </c>
      <c r="P18" s="2">
        <v>3108000</v>
      </c>
      <c r="Q18" s="2">
        <v>5083000</v>
      </c>
      <c r="R18" s="6">
        <f t="shared" si="1"/>
        <v>0.50829999999999997</v>
      </c>
      <c r="S18" s="6" t="str">
        <f t="shared" si="2"/>
        <v>OTHERS</v>
      </c>
      <c r="T18" s="5">
        <v>24437135.030000005</v>
      </c>
      <c r="U18" s="2">
        <v>3482404.82</v>
      </c>
      <c r="V18" s="6">
        <f t="shared" si="3"/>
        <v>0.14250462731105182</v>
      </c>
      <c r="W18" s="2">
        <v>15448858.360000001</v>
      </c>
      <c r="X18" s="2">
        <v>5002315</v>
      </c>
      <c r="Y18" s="2">
        <f t="shared" si="4"/>
        <v>0</v>
      </c>
    </row>
    <row r="19" spans="1:25" x14ac:dyDescent="0.25">
      <c r="A19" s="1" t="s">
        <v>15</v>
      </c>
      <c r="B19" s="1" t="s">
        <v>612</v>
      </c>
      <c r="C19" s="1" t="s">
        <v>195</v>
      </c>
      <c r="D19" s="1" t="s">
        <v>13</v>
      </c>
      <c r="E19" s="1" t="s">
        <v>7</v>
      </c>
      <c r="F19" s="5">
        <f t="shared" si="0"/>
        <v>192307.69230769231</v>
      </c>
      <c r="G19" s="2">
        <v>5000000</v>
      </c>
      <c r="H19" s="2">
        <f>IFERROR(F19*((NETWORKDAYS.INTL(SUMMARRY!$B$1,SUMMARRY!$B$2,11))),"")</f>
        <v>5000000</v>
      </c>
      <c r="I19" s="2">
        <v>2000000</v>
      </c>
      <c r="J19" s="2">
        <v>769971</v>
      </c>
      <c r="K19" s="2">
        <v>314039</v>
      </c>
      <c r="L19" s="2">
        <v>5155906</v>
      </c>
      <c r="M19" s="2">
        <v>832013</v>
      </c>
      <c r="N19" s="2">
        <v>2194485</v>
      </c>
      <c r="O19" s="2">
        <v>1283625</v>
      </c>
      <c r="P19" s="2">
        <v>3539924</v>
      </c>
      <c r="Q19" s="2">
        <v>2505009</v>
      </c>
      <c r="R19" s="6">
        <f t="shared" si="1"/>
        <v>0.50100180000000005</v>
      </c>
      <c r="S19" s="6" t="str">
        <f t="shared" si="2"/>
        <v>OTHERS</v>
      </c>
      <c r="T19" s="5">
        <v>11744288.519999998</v>
      </c>
      <c r="U19" s="2">
        <v>5867795.7799999993</v>
      </c>
      <c r="V19" s="6">
        <f t="shared" si="3"/>
        <v>0.499629736616859</v>
      </c>
      <c r="W19" s="2">
        <v>5360813.3600000003</v>
      </c>
      <c r="X19" s="2">
        <v>2250997</v>
      </c>
      <c r="Y19" s="2">
        <f t="shared" si="4"/>
        <v>0</v>
      </c>
    </row>
    <row r="20" spans="1:25" x14ac:dyDescent="0.25">
      <c r="A20" s="1" t="s">
        <v>236</v>
      </c>
      <c r="B20" s="1" t="s">
        <v>628</v>
      </c>
      <c r="C20" s="1" t="s">
        <v>397</v>
      </c>
      <c r="D20" s="1" t="s">
        <v>17</v>
      </c>
      <c r="E20" s="1" t="s">
        <v>7</v>
      </c>
      <c r="F20" s="5">
        <f t="shared" si="0"/>
        <v>192307.69230769231</v>
      </c>
      <c r="G20" s="2">
        <v>5000000</v>
      </c>
      <c r="H20" s="2">
        <f>IFERROR(F20*((NETWORKDAYS.INTL(SUMMARRY!$B$1,SUMMARRY!$B$2,11))),"")</f>
        <v>5000000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600000</v>
      </c>
      <c r="P20" s="2">
        <v>0</v>
      </c>
      <c r="Q20" s="2">
        <v>2470000</v>
      </c>
      <c r="R20" s="6">
        <f t="shared" si="1"/>
        <v>0.49399999999999999</v>
      </c>
      <c r="S20" s="6" t="str">
        <f t="shared" si="2"/>
        <v>OTHERS</v>
      </c>
      <c r="T20" s="5">
        <v>1738500</v>
      </c>
      <c r="U20" s="2">
        <v>0</v>
      </c>
      <c r="V20" s="6">
        <f t="shared" si="3"/>
        <v>0</v>
      </c>
      <c r="W20" s="2">
        <v>1590000</v>
      </c>
      <c r="X20" s="2">
        <v>1803530</v>
      </c>
      <c r="Y20" s="2">
        <f t="shared" si="4"/>
        <v>0</v>
      </c>
    </row>
    <row r="21" spans="1:25" x14ac:dyDescent="0.25">
      <c r="A21" s="1" t="s">
        <v>22</v>
      </c>
      <c r="B21" s="1" t="s">
        <v>616</v>
      </c>
      <c r="C21" s="1" t="s">
        <v>199</v>
      </c>
      <c r="D21" s="1" t="s">
        <v>20</v>
      </c>
      <c r="E21" s="1" t="s">
        <v>10</v>
      </c>
      <c r="F21" s="5">
        <f t="shared" si="0"/>
        <v>153846.15384615384</v>
      </c>
      <c r="G21" s="2">
        <v>4000000</v>
      </c>
      <c r="H21" s="2">
        <f>IFERROR(F21*((NETWORKDAYS.INTL(SUMMARRY!$B$1,SUMMARRY!$B$2,11))),"")</f>
        <v>4000000</v>
      </c>
      <c r="I21" s="2">
        <v>2000000</v>
      </c>
      <c r="J21" s="2">
        <v>1367000</v>
      </c>
      <c r="K21" s="2">
        <v>1800000</v>
      </c>
      <c r="L21" s="2">
        <v>1243500</v>
      </c>
      <c r="M21" s="2">
        <v>1700000</v>
      </c>
      <c r="N21" s="2">
        <v>949000</v>
      </c>
      <c r="O21" s="2">
        <v>385000</v>
      </c>
      <c r="P21" s="2">
        <v>630000</v>
      </c>
      <c r="Q21" s="2">
        <v>1834000</v>
      </c>
      <c r="R21" s="6">
        <f t="shared" si="1"/>
        <v>0.45850000000000002</v>
      </c>
      <c r="S21" s="6" t="str">
        <f t="shared" si="2"/>
        <v>OTHERS</v>
      </c>
      <c r="T21" s="5">
        <v>3154390.39</v>
      </c>
      <c r="U21" s="2">
        <v>34480.089999999997</v>
      </c>
      <c r="V21" s="6">
        <f t="shared" si="3"/>
        <v>1.0930825210889637E-2</v>
      </c>
      <c r="W21" s="2">
        <v>2061528.4799999995</v>
      </c>
      <c r="X21" s="2">
        <v>1593650</v>
      </c>
      <c r="Y21" s="2">
        <f t="shared" si="4"/>
        <v>0</v>
      </c>
    </row>
    <row r="22" spans="1:25" x14ac:dyDescent="0.25">
      <c r="A22" s="1" t="s">
        <v>333</v>
      </c>
      <c r="B22" s="1" t="s">
        <v>648</v>
      </c>
      <c r="C22" s="1" t="s">
        <v>652</v>
      </c>
      <c r="D22" s="1" t="s">
        <v>35</v>
      </c>
      <c r="E22" s="1" t="s">
        <v>7</v>
      </c>
      <c r="F22" s="5">
        <f t="shared" si="0"/>
        <v>288461.53846153844</v>
      </c>
      <c r="G22" s="2">
        <v>7500000</v>
      </c>
      <c r="H22" s="2">
        <f>IFERROR(F22*((NETWORKDAYS.INTL(SUMMARRY!$B$1,SUMMARRY!$B$2,11))),"")</f>
        <v>7499999.9999999991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>
        <v>0</v>
      </c>
      <c r="P22" s="2">
        <v>0</v>
      </c>
      <c r="Q22" s="2">
        <v>3375000</v>
      </c>
      <c r="R22" s="6">
        <f t="shared" si="1"/>
        <v>0.45000000000000007</v>
      </c>
      <c r="S22" s="6" t="str">
        <f t="shared" si="2"/>
        <v>OTHERS</v>
      </c>
      <c r="T22" s="5">
        <v>2946943.3999999994</v>
      </c>
      <c r="U22" s="2">
        <v>628609.97</v>
      </c>
      <c r="V22" s="6">
        <f t="shared" si="3"/>
        <v>0.21330914261875544</v>
      </c>
      <c r="W22" s="2">
        <v>1429367.1099999999</v>
      </c>
      <c r="X22" s="2">
        <v>3048542</v>
      </c>
      <c r="Y22" s="2">
        <f t="shared" si="4"/>
        <v>0</v>
      </c>
    </row>
    <row r="23" spans="1:25" x14ac:dyDescent="0.25">
      <c r="A23" s="1" t="s">
        <v>28</v>
      </c>
      <c r="B23" s="1" t="s">
        <v>620</v>
      </c>
      <c r="C23" s="1" t="s">
        <v>203</v>
      </c>
      <c r="D23" s="1" t="s">
        <v>26</v>
      </c>
      <c r="E23" s="1" t="s">
        <v>7</v>
      </c>
      <c r="F23" s="5">
        <f t="shared" si="0"/>
        <v>1153846.1538461538</v>
      </c>
      <c r="G23" s="2">
        <v>30000000</v>
      </c>
      <c r="H23" s="2">
        <f>IFERROR(F23*((NETWORKDAYS.INTL(SUMMARRY!$B$1,SUMMARRY!$B$2,11))),"")</f>
        <v>29999999.999999996</v>
      </c>
      <c r="I23" s="2">
        <v>5000000</v>
      </c>
      <c r="J23" s="2">
        <v>16565030</v>
      </c>
      <c r="K23" s="2">
        <v>15381433</v>
      </c>
      <c r="L23" s="2">
        <v>8163977</v>
      </c>
      <c r="M23" s="2">
        <v>19913353</v>
      </c>
      <c r="N23" s="2">
        <v>17660000</v>
      </c>
      <c r="O23" s="2">
        <v>9192500</v>
      </c>
      <c r="P23" s="2">
        <v>15309047</v>
      </c>
      <c r="Q23" s="2">
        <v>13130067</v>
      </c>
      <c r="R23" s="6">
        <f t="shared" si="1"/>
        <v>0.43766890000000003</v>
      </c>
      <c r="S23" s="6" t="str">
        <f t="shared" si="2"/>
        <v>OTHERS</v>
      </c>
      <c r="T23" s="5">
        <v>992091</v>
      </c>
      <c r="U23" s="2">
        <v>0</v>
      </c>
      <c r="V23" s="6">
        <f t="shared" si="3"/>
        <v>0</v>
      </c>
      <c r="W23" s="2">
        <v>268473</v>
      </c>
      <c r="X23" s="2">
        <v>10866415</v>
      </c>
      <c r="Y23" s="2">
        <f t="shared" si="4"/>
        <v>0</v>
      </c>
    </row>
    <row r="24" spans="1:25" x14ac:dyDescent="0.25">
      <c r="A24" s="1" t="s">
        <v>37</v>
      </c>
      <c r="B24" s="1" t="s">
        <v>625</v>
      </c>
      <c r="C24" s="1" t="s">
        <v>207</v>
      </c>
      <c r="D24" s="1" t="s">
        <v>35</v>
      </c>
      <c r="E24" s="1" t="s">
        <v>7</v>
      </c>
      <c r="F24" s="5">
        <f t="shared" si="0"/>
        <v>769230.76923076925</v>
      </c>
      <c r="G24" s="2">
        <v>20000000</v>
      </c>
      <c r="H24" s="2">
        <f>IFERROR(F24*((NETWORKDAYS.INTL(SUMMARRY!$B$1,SUMMARRY!$B$2,11))),"")</f>
        <v>20000000</v>
      </c>
      <c r="I24" s="2">
        <v>5000000</v>
      </c>
      <c r="J24" s="2">
        <v>1447000</v>
      </c>
      <c r="K24" s="2">
        <v>7382428</v>
      </c>
      <c r="L24" s="2">
        <v>15300000</v>
      </c>
      <c r="M24" s="2">
        <v>8760343.3300000001</v>
      </c>
      <c r="N24" s="2">
        <v>9430000</v>
      </c>
      <c r="O24" s="2">
        <v>19270121.109999999</v>
      </c>
      <c r="P24" s="2">
        <v>10389840.67</v>
      </c>
      <c r="Q24" s="2">
        <v>7894300</v>
      </c>
      <c r="R24" s="6">
        <f t="shared" si="1"/>
        <v>0.39471499999999998</v>
      </c>
      <c r="S24" s="6" t="str">
        <f t="shared" si="2"/>
        <v>OTHERS</v>
      </c>
      <c r="T24" s="5">
        <v>97986382.660000011</v>
      </c>
      <c r="U24" s="2">
        <v>24279626.599999998</v>
      </c>
      <c r="V24" s="6">
        <f t="shared" si="3"/>
        <v>0.24778572226966619</v>
      </c>
      <c r="W24" s="2">
        <v>62199186.380000003</v>
      </c>
      <c r="X24" s="2">
        <v>5679720</v>
      </c>
      <c r="Y24" s="2">
        <f t="shared" si="4"/>
        <v>0</v>
      </c>
    </row>
    <row r="25" spans="1:25" x14ac:dyDescent="0.25">
      <c r="A25" s="1" t="s">
        <v>597</v>
      </c>
      <c r="B25" s="1" t="s">
        <v>630</v>
      </c>
      <c r="C25" s="1" t="s">
        <v>633</v>
      </c>
      <c r="D25" s="1" t="s">
        <v>590</v>
      </c>
      <c r="E25" s="1" t="s">
        <v>7</v>
      </c>
      <c r="F25" s="5">
        <f t="shared" si="0"/>
        <v>192307.69230769231</v>
      </c>
      <c r="G25" s="2">
        <v>5000000</v>
      </c>
      <c r="H25" s="2">
        <f>IFERROR(F25*((NETWORKDAYS.INTL(SUMMARRY!$B$1,SUMMARRY!$B$2,11))),"")</f>
        <v>5000000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">
        <v>0</v>
      </c>
      <c r="P25" s="2">
        <v>2034975</v>
      </c>
      <c r="Q25" s="2">
        <v>1725840</v>
      </c>
      <c r="R25" s="6">
        <f t="shared" si="1"/>
        <v>0.34516799999999997</v>
      </c>
      <c r="S25" s="6" t="str">
        <f t="shared" si="2"/>
        <v>OTHERS</v>
      </c>
      <c r="T25" s="5">
        <v>60163</v>
      </c>
      <c r="U25" s="2">
        <v>0</v>
      </c>
      <c r="V25" s="6">
        <f t="shared" si="3"/>
        <v>0</v>
      </c>
      <c r="W25" s="2">
        <v>16747</v>
      </c>
      <c r="X25" s="2">
        <v>1252250</v>
      </c>
      <c r="Y25" s="2">
        <f t="shared" si="4"/>
        <v>0</v>
      </c>
    </row>
    <row r="26" spans="1:25" x14ac:dyDescent="0.25">
      <c r="A26" s="1" t="s">
        <v>34</v>
      </c>
      <c r="B26" s="1" t="s">
        <v>623</v>
      </c>
      <c r="C26" s="1" t="s">
        <v>206</v>
      </c>
      <c r="D26" s="1" t="s">
        <v>35</v>
      </c>
      <c r="E26" s="1" t="s">
        <v>10</v>
      </c>
      <c r="F26" s="5">
        <f t="shared" si="0"/>
        <v>384615.38461538462</v>
      </c>
      <c r="G26" s="2">
        <v>10000000</v>
      </c>
      <c r="H26" s="2">
        <f>IFERROR(F26*((NETWORKDAYS.INTL(SUMMARRY!$B$1,SUMMARRY!$B$2,11))),"")</f>
        <v>10000000</v>
      </c>
      <c r="I26" s="2">
        <v>1000000</v>
      </c>
      <c r="J26" s="2">
        <v>8996500</v>
      </c>
      <c r="K26" s="2">
        <v>1046824</v>
      </c>
      <c r="L26" s="2">
        <v>10145468.67</v>
      </c>
      <c r="M26" s="2">
        <v>880000</v>
      </c>
      <c r="N26" s="2">
        <v>19397000</v>
      </c>
      <c r="O26" s="2">
        <v>650000</v>
      </c>
      <c r="P26" s="2">
        <v>2809000</v>
      </c>
      <c r="Q26" s="2">
        <v>1907733.33</v>
      </c>
      <c r="R26" s="6">
        <f t="shared" si="1"/>
        <v>0.19077333300000002</v>
      </c>
      <c r="S26" s="6" t="str">
        <f t="shared" si="2"/>
        <v>OTHERS</v>
      </c>
      <c r="T26" s="5">
        <v>44249733.929999992</v>
      </c>
      <c r="U26" s="2">
        <v>17358506.719999999</v>
      </c>
      <c r="V26" s="6">
        <f t="shared" si="3"/>
        <v>0.39228499650325471</v>
      </c>
      <c r="W26" s="2">
        <v>35169988.609999999</v>
      </c>
      <c r="X26" s="2">
        <v>1843235</v>
      </c>
      <c r="Y26" s="2">
        <f t="shared" si="4"/>
        <v>0</v>
      </c>
    </row>
    <row r="27" spans="1:25" x14ac:dyDescent="0.25">
      <c r="A27" s="1" t="s">
        <v>238</v>
      </c>
      <c r="B27" s="1" t="s">
        <v>629</v>
      </c>
      <c r="C27" s="1" t="s">
        <v>239</v>
      </c>
      <c r="D27" s="1" t="s">
        <v>20</v>
      </c>
      <c r="E27" s="1" t="s">
        <v>7</v>
      </c>
      <c r="F27" s="5">
        <f t="shared" si="0"/>
        <v>384615.38461538462</v>
      </c>
      <c r="G27" s="2">
        <v>10000000</v>
      </c>
      <c r="H27" s="2">
        <f>IFERROR(F27*((NETWORKDAYS.INTL(SUMMARRY!$B$1,SUMMARRY!$B$2,11))),"")</f>
        <v>10000000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1454263</v>
      </c>
      <c r="P27" s="2">
        <v>1110000</v>
      </c>
      <c r="Q27" s="2">
        <v>440750</v>
      </c>
      <c r="R27" s="6">
        <f t="shared" si="1"/>
        <v>4.4075000000000003E-2</v>
      </c>
      <c r="S27" s="6" t="str">
        <f t="shared" si="2"/>
        <v>OTHERS</v>
      </c>
      <c r="T27" s="5">
        <v>3304381.62</v>
      </c>
      <c r="U27" s="2">
        <v>466796.53</v>
      </c>
      <c r="V27" s="6">
        <f t="shared" si="3"/>
        <v>0.1412659261795555</v>
      </c>
      <c r="W27" s="2">
        <v>1994950.01</v>
      </c>
      <c r="X27" s="2">
        <v>441110</v>
      </c>
      <c r="Y27" s="2">
        <f t="shared" si="4"/>
        <v>0</v>
      </c>
    </row>
    <row r="28" spans="1:25" x14ac:dyDescent="0.25">
      <c r="A28" s="1" t="s">
        <v>598</v>
      </c>
      <c r="B28" s="1" t="s">
        <v>632</v>
      </c>
      <c r="C28" s="1" t="s">
        <v>634</v>
      </c>
      <c r="D28" s="1" t="s">
        <v>39</v>
      </c>
      <c r="E28" s="1" t="s">
        <v>237</v>
      </c>
      <c r="F28" s="5">
        <f t="shared" si="0"/>
        <v>96153.846153846156</v>
      </c>
      <c r="G28" s="2">
        <v>2500000</v>
      </c>
      <c r="H28" s="2">
        <f>IFERROR(F28*((NETWORKDAYS.INTL(SUMMARRY!$B$1,SUMMARRY!$B$2,11))),"")</f>
        <v>2500000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">
        <v>0</v>
      </c>
      <c r="P28" s="2">
        <v>20000</v>
      </c>
      <c r="Q28" s="2">
        <v>0</v>
      </c>
      <c r="R28" s="6">
        <f t="shared" si="1"/>
        <v>0</v>
      </c>
      <c r="S28" s="6" t="str">
        <f t="shared" si="2"/>
        <v>OTHERS</v>
      </c>
      <c r="T28" s="5">
        <v>0</v>
      </c>
      <c r="U28" s="2">
        <v>0</v>
      </c>
      <c r="V28" s="6">
        <f t="shared" si="3"/>
        <v>0</v>
      </c>
      <c r="W28" s="2">
        <v>0</v>
      </c>
      <c r="X28" s="2">
        <v>0</v>
      </c>
      <c r="Y28" s="2">
        <f t="shared" si="4"/>
        <v>0</v>
      </c>
    </row>
    <row r="29" spans="1:25" x14ac:dyDescent="0.25">
      <c r="A29" s="1" t="s">
        <v>647</v>
      </c>
      <c r="B29" s="1" t="s">
        <v>646</v>
      </c>
      <c r="D29" s="1" t="s">
        <v>590</v>
      </c>
      <c r="E29" s="1" t="s">
        <v>10</v>
      </c>
      <c r="F29" s="5">
        <f t="shared" si="0"/>
        <v>192307.69230769231</v>
      </c>
      <c r="G29" s="2">
        <v>5000000</v>
      </c>
      <c r="H29" s="2">
        <f>IFERROR(F29*((NETWORKDAYS.INTL(SUMMARRY!$B$1,SUMMARRY!$B$2,11))),"")</f>
        <v>5000000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">
        <v>0</v>
      </c>
      <c r="P29" s="2">
        <v>0</v>
      </c>
      <c r="Q29" s="2">
        <v>0</v>
      </c>
      <c r="R29" s="6">
        <f t="shared" si="1"/>
        <v>0</v>
      </c>
      <c r="S29" s="6" t="str">
        <f t="shared" si="2"/>
        <v>OTHERS</v>
      </c>
      <c r="T29" s="5">
        <v>0</v>
      </c>
      <c r="U29" s="2">
        <v>0</v>
      </c>
      <c r="V29" s="6">
        <f t="shared" si="3"/>
        <v>0</v>
      </c>
      <c r="W29" s="2">
        <v>0</v>
      </c>
      <c r="X29" s="2">
        <v>0</v>
      </c>
      <c r="Y29" s="2">
        <f t="shared" si="4"/>
        <v>0</v>
      </c>
    </row>
    <row r="30" spans="1:25" x14ac:dyDescent="0.25">
      <c r="A30" s="1" t="s">
        <v>645</v>
      </c>
      <c r="B30" s="1" t="s">
        <v>644</v>
      </c>
      <c r="D30" s="1" t="s">
        <v>13</v>
      </c>
      <c r="E30" s="1" t="s">
        <v>10</v>
      </c>
      <c r="F30" s="5">
        <f t="shared" si="0"/>
        <v>38461.538461538461</v>
      </c>
      <c r="G30" s="2">
        <v>1000000</v>
      </c>
      <c r="H30" s="2">
        <f>IFERROR(F30*((NETWORKDAYS.INTL(SUMMARRY!$B$1,SUMMARRY!$B$2,11))),"")</f>
        <v>1000000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>
        <v>0</v>
      </c>
      <c r="P30" s="2">
        <v>0</v>
      </c>
      <c r="Q30" s="2">
        <v>0</v>
      </c>
      <c r="R30" s="6">
        <f t="shared" si="1"/>
        <v>0</v>
      </c>
      <c r="S30" s="6" t="str">
        <f t="shared" si="2"/>
        <v>OTHERS</v>
      </c>
      <c r="T30" s="5">
        <v>0</v>
      </c>
      <c r="U30" s="2">
        <v>0</v>
      </c>
      <c r="V30" s="6">
        <f t="shared" si="3"/>
        <v>0</v>
      </c>
      <c r="W30" s="2">
        <v>0</v>
      </c>
      <c r="X30" s="2">
        <v>0</v>
      </c>
      <c r="Y30" s="2">
        <f t="shared" si="4"/>
        <v>0</v>
      </c>
    </row>
  </sheetData>
  <sortState ref="A2:Y30">
    <sortCondition descending="1" ref="R2:R30"/>
  </sortState>
  <phoneticPr fontId="3" type="noConversion"/>
  <conditionalFormatting sqref="R2:R30">
    <cfRule type="cellIs" dxfId="20" priority="5" operator="between">
      <formula>0</formula>
      <formula>0.3</formula>
    </cfRule>
    <cfRule type="cellIs" dxfId="19" priority="6" operator="between">
      <formula>0.31</formula>
      <formula>0.49</formula>
    </cfRule>
  </conditionalFormatting>
  <conditionalFormatting sqref="A28">
    <cfRule type="duplicateValues" dxfId="18" priority="3"/>
  </conditionalFormatting>
  <conditionalFormatting sqref="A29">
    <cfRule type="duplicateValues" dxfId="17" priority="2"/>
  </conditionalFormatting>
  <conditionalFormatting sqref="A30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0C33-B5B9-403F-858B-1C9503D283FC}">
  <dimension ref="A1:X18"/>
  <sheetViews>
    <sheetView workbookViewId="0">
      <selection activeCell="E29" sqref="E29"/>
    </sheetView>
  </sheetViews>
  <sheetFormatPr defaultColWidth="9.140625" defaultRowHeight="15" x14ac:dyDescent="0.25"/>
  <cols>
    <col min="1" max="1" width="21.42578125" style="1" bestFit="1" customWidth="1"/>
    <col min="2" max="2" width="8.7109375" style="1" bestFit="1" customWidth="1"/>
    <col min="3" max="3" width="6.85546875" style="1" bestFit="1" customWidth="1"/>
    <col min="4" max="4" width="13.5703125" style="1" bestFit="1" customWidth="1"/>
    <col min="5" max="5" width="10.85546875" style="1" bestFit="1" customWidth="1"/>
    <col min="6" max="6" width="12.28515625" style="2" bestFit="1" customWidth="1"/>
    <col min="7" max="7" width="12.28515625" style="2" customWidth="1"/>
    <col min="8" max="8" width="12.7109375" style="2" bestFit="1" customWidth="1"/>
    <col min="9" max="9" width="10.85546875" style="1" bestFit="1" customWidth="1"/>
    <col min="10" max="13" width="12.28515625" style="1" bestFit="1" customWidth="1"/>
    <col min="14" max="16" width="12.28515625" style="1" customWidth="1"/>
    <col min="17" max="17" width="11.42578125" style="1" bestFit="1" customWidth="1"/>
    <col min="18" max="18" width="7.5703125" style="1" bestFit="1" customWidth="1"/>
    <col min="19" max="20" width="13.42578125" style="1" bestFit="1" customWidth="1"/>
    <col min="21" max="21" width="7" style="1" bestFit="1" customWidth="1"/>
    <col min="22" max="22" width="13.42578125" style="1" bestFit="1" customWidth="1"/>
    <col min="23" max="23" width="12.42578125" style="1" bestFit="1" customWidth="1"/>
    <col min="24" max="24" width="11.7109375" style="1" bestFit="1" customWidth="1"/>
    <col min="25" max="16384" width="9.140625" style="1"/>
  </cols>
  <sheetData>
    <row r="1" spans="1:24" s="9" customFormat="1" ht="45" x14ac:dyDescent="0.25">
      <c r="A1" s="7" t="s">
        <v>0</v>
      </c>
      <c r="B1" s="7" t="s">
        <v>100</v>
      </c>
      <c r="C1" s="7" t="s">
        <v>150</v>
      </c>
      <c r="D1" s="7" t="s">
        <v>1</v>
      </c>
      <c r="E1" s="7" t="s">
        <v>327</v>
      </c>
      <c r="F1" s="8" t="s">
        <v>240</v>
      </c>
      <c r="G1" s="8" t="s">
        <v>257</v>
      </c>
      <c r="H1" s="8" t="s">
        <v>43</v>
      </c>
      <c r="I1" s="7" t="s">
        <v>46</v>
      </c>
      <c r="J1" s="7" t="s">
        <v>45</v>
      </c>
      <c r="K1" s="7" t="s">
        <v>44</v>
      </c>
      <c r="L1" s="7" t="s">
        <v>42</v>
      </c>
      <c r="M1" s="7" t="s">
        <v>225</v>
      </c>
      <c r="N1" s="7" t="s">
        <v>326</v>
      </c>
      <c r="O1" s="7" t="s">
        <v>595</v>
      </c>
      <c r="P1" s="7" t="s">
        <v>651</v>
      </c>
      <c r="Q1" s="7" t="s">
        <v>649</v>
      </c>
      <c r="R1" s="7" t="s">
        <v>584</v>
      </c>
      <c r="S1" s="7" t="s">
        <v>209</v>
      </c>
      <c r="T1" s="7" t="s">
        <v>210</v>
      </c>
      <c r="U1" s="7" t="s">
        <v>212</v>
      </c>
      <c r="V1" s="7" t="s">
        <v>211</v>
      </c>
      <c r="W1" s="7" t="s">
        <v>650</v>
      </c>
      <c r="X1" s="7" t="s">
        <v>216</v>
      </c>
    </row>
    <row r="2" spans="1:24" x14ac:dyDescent="0.25">
      <c r="A2" s="1" t="s">
        <v>47</v>
      </c>
      <c r="B2" s="1" t="s">
        <v>127</v>
      </c>
      <c r="C2" s="1" t="s">
        <v>638</v>
      </c>
      <c r="D2" s="1" t="s">
        <v>17</v>
      </c>
      <c r="E2" s="5">
        <f t="shared" ref="E2:E18" si="0">F2/26</f>
        <v>192307.69230769231</v>
      </c>
      <c r="F2" s="2">
        <v>5000000</v>
      </c>
      <c r="G2" s="2">
        <f>IFERROR(E2*((NETWORKDAYS.INTL(SUMMARRY!$B$1,SUMMARRY!$B$2,11))),"")</f>
        <v>5000000</v>
      </c>
      <c r="H2" s="2">
        <v>5000000</v>
      </c>
      <c r="I2" s="2">
        <v>164000</v>
      </c>
      <c r="J2" s="2">
        <v>5540000</v>
      </c>
      <c r="K2" s="2">
        <v>0</v>
      </c>
      <c r="L2" s="2">
        <v>969000</v>
      </c>
      <c r="M2" s="2">
        <v>1275000</v>
      </c>
      <c r="N2" s="2">
        <v>0</v>
      </c>
      <c r="O2" s="2">
        <v>200000</v>
      </c>
      <c r="P2" s="2">
        <v>4045500</v>
      </c>
      <c r="Q2" s="6">
        <f>P2/G2</f>
        <v>0.80910000000000004</v>
      </c>
      <c r="R2" s="6" t="str">
        <f t="shared" ref="R2:R18" si="1">IF(Q2&gt;=80%,"TEAM A","OTHERS")</f>
        <v>TEAM A</v>
      </c>
      <c r="S2" s="2">
        <v>20767571.560000002</v>
      </c>
      <c r="T2" s="2">
        <v>2625884.2699999996</v>
      </c>
      <c r="U2" s="6">
        <f t="shared" ref="U2:U18" si="2">IFERROR(T2/S2,0)</f>
        <v>0.12644156599694409</v>
      </c>
      <c r="V2" s="2">
        <v>14160723.75</v>
      </c>
      <c r="W2" s="2">
        <v>3689416</v>
      </c>
      <c r="X2" s="2">
        <f>IF(W2&gt;(0.5*F2),(W2-0.5*F2)*0.02,0)</f>
        <v>23788.32</v>
      </c>
    </row>
    <row r="3" spans="1:24" x14ac:dyDescent="0.25">
      <c r="A3" s="1" t="s">
        <v>48</v>
      </c>
      <c r="B3" s="1" t="s">
        <v>132</v>
      </c>
      <c r="C3" s="1" t="s">
        <v>637</v>
      </c>
      <c r="D3" s="1" t="s">
        <v>17</v>
      </c>
      <c r="E3" s="5">
        <f t="shared" si="0"/>
        <v>192307.69230769231</v>
      </c>
      <c r="F3" s="2">
        <v>5000000</v>
      </c>
      <c r="G3" s="2">
        <f>IFERROR(E3*((NETWORKDAYS.INTL(SUMMARRY!$B$1,SUMMARRY!$B$2,11))),"")</f>
        <v>5000000</v>
      </c>
      <c r="H3" s="2">
        <v>3500000</v>
      </c>
      <c r="I3" s="2">
        <v>0</v>
      </c>
      <c r="J3" s="2">
        <v>3413510</v>
      </c>
      <c r="K3" s="2">
        <v>1818000</v>
      </c>
      <c r="L3" s="2">
        <v>1500000</v>
      </c>
      <c r="M3" s="2">
        <v>1500000</v>
      </c>
      <c r="N3" s="2">
        <v>1500000</v>
      </c>
      <c r="O3" s="2">
        <v>1560000</v>
      </c>
      <c r="P3" s="2">
        <v>2897759</v>
      </c>
      <c r="Q3" s="6">
        <f t="shared" ref="Q3:Q18" si="3">P3/G3</f>
        <v>0.57955179999999995</v>
      </c>
      <c r="R3" s="6" t="str">
        <f t="shared" si="1"/>
        <v>OTHERS</v>
      </c>
      <c r="S3" s="2">
        <v>7272908.79</v>
      </c>
      <c r="T3" s="2">
        <v>847314.96</v>
      </c>
      <c r="U3" s="6">
        <f t="shared" si="2"/>
        <v>0.11650289924782625</v>
      </c>
      <c r="V3" s="2">
        <v>5135677.4000000004</v>
      </c>
      <c r="W3" s="2">
        <v>2595427</v>
      </c>
      <c r="X3" s="2">
        <f t="shared" ref="X3:X18" si="4">IF(W3&gt;(0.5*F3),(W3-0.5*F3)*0.02,0)</f>
        <v>1908.54</v>
      </c>
    </row>
    <row r="4" spans="1:24" x14ac:dyDescent="0.25">
      <c r="A4" s="1" t="s">
        <v>49</v>
      </c>
      <c r="B4" s="1" t="s">
        <v>241</v>
      </c>
      <c r="C4" s="1" t="s">
        <v>635</v>
      </c>
      <c r="D4" s="1" t="s">
        <v>30</v>
      </c>
      <c r="E4" s="5">
        <f t="shared" si="0"/>
        <v>192307.69230769231</v>
      </c>
      <c r="F4" s="2">
        <v>5000000</v>
      </c>
      <c r="G4" s="2">
        <f>IFERROR(E4*((NETWORKDAYS.INTL(SUMMARRY!$B$1,SUMMARRY!$B$2,11))),"")</f>
        <v>5000000</v>
      </c>
      <c r="H4" s="2">
        <v>4000000</v>
      </c>
      <c r="I4" s="2">
        <v>0</v>
      </c>
      <c r="J4" s="2">
        <v>0</v>
      </c>
      <c r="K4" s="2">
        <v>7845000</v>
      </c>
      <c r="L4" s="2">
        <v>410000</v>
      </c>
      <c r="M4" s="2">
        <v>0</v>
      </c>
      <c r="N4" s="2">
        <v>1445000</v>
      </c>
      <c r="O4" s="2">
        <v>3371000</v>
      </c>
      <c r="P4" s="2">
        <v>2040000</v>
      </c>
      <c r="Q4" s="6">
        <f t="shared" si="3"/>
        <v>0.40799999999999997</v>
      </c>
      <c r="R4" s="6" t="str">
        <f t="shared" si="1"/>
        <v>OTHERS</v>
      </c>
      <c r="S4" s="2">
        <v>34084291.810000002</v>
      </c>
      <c r="T4" s="2">
        <v>15834285.16</v>
      </c>
      <c r="U4" s="6">
        <f t="shared" si="2"/>
        <v>0.4645625394908271</v>
      </c>
      <c r="V4" s="2">
        <v>18864700.169999998</v>
      </c>
      <c r="W4" s="2">
        <v>1860320</v>
      </c>
      <c r="X4" s="2">
        <f t="shared" si="4"/>
        <v>0</v>
      </c>
    </row>
    <row r="5" spans="1:24" x14ac:dyDescent="0.25">
      <c r="A5" s="1" t="s">
        <v>596</v>
      </c>
      <c r="B5" s="1" t="s">
        <v>631</v>
      </c>
      <c r="C5" s="1" t="s">
        <v>673</v>
      </c>
      <c r="D5" s="1" t="s">
        <v>9</v>
      </c>
      <c r="E5" s="5">
        <f t="shared" si="0"/>
        <v>192307.69230769231</v>
      </c>
      <c r="F5" s="2">
        <v>5000000</v>
      </c>
      <c r="G5" s="2">
        <f>IFERROR(E5*((NETWORKDAYS.INTL(SUMMARRY!$B$1,SUMMARRY!$B$2,11))),"")</f>
        <v>5000000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1815000</v>
      </c>
      <c r="Q5" s="6">
        <f t="shared" si="3"/>
        <v>0.36299999999999999</v>
      </c>
      <c r="R5" s="6" t="str">
        <f t="shared" si="1"/>
        <v>OTHERS</v>
      </c>
      <c r="S5" s="2">
        <v>9821338.9700000007</v>
      </c>
      <c r="T5" s="2">
        <v>39582.07</v>
      </c>
      <c r="U5" s="6">
        <f t="shared" si="2"/>
        <v>4.030211167836314E-3</v>
      </c>
      <c r="V5" s="2">
        <v>4669516.76</v>
      </c>
      <c r="W5" s="2">
        <v>1380149</v>
      </c>
      <c r="X5" s="2">
        <f t="shared" si="4"/>
        <v>0</v>
      </c>
    </row>
    <row r="6" spans="1:24" x14ac:dyDescent="0.25">
      <c r="A6" s="1" t="s">
        <v>50</v>
      </c>
      <c r="B6" s="1" t="s">
        <v>136</v>
      </c>
      <c r="C6" s="1" t="s">
        <v>636</v>
      </c>
      <c r="D6" s="1" t="s">
        <v>35</v>
      </c>
      <c r="E6" s="5">
        <f t="shared" si="0"/>
        <v>230769.23076923078</v>
      </c>
      <c r="F6" s="2">
        <v>6000000</v>
      </c>
      <c r="G6" s="2">
        <f>IFERROR(E6*((NETWORKDAYS.INTL(SUMMARRY!$B$1,SUMMARRY!$B$2,11))),"")</f>
        <v>6000000</v>
      </c>
      <c r="H6" s="2">
        <v>4000000</v>
      </c>
      <c r="I6" s="2">
        <v>408000</v>
      </c>
      <c r="J6" s="2">
        <v>0</v>
      </c>
      <c r="K6" s="2">
        <v>877470</v>
      </c>
      <c r="L6" s="2">
        <v>628172.68999999994</v>
      </c>
      <c r="M6" s="2">
        <v>1191666</v>
      </c>
      <c r="N6" s="2">
        <v>4229382</v>
      </c>
      <c r="O6" s="2">
        <v>4192994</v>
      </c>
      <c r="P6" s="2">
        <v>1317971.78</v>
      </c>
      <c r="Q6" s="6">
        <f t="shared" si="3"/>
        <v>0.21966196333333335</v>
      </c>
      <c r="R6" s="6" t="str">
        <f t="shared" si="1"/>
        <v>OTHERS</v>
      </c>
      <c r="S6" s="2">
        <v>30613082.420000002</v>
      </c>
      <c r="T6" s="2">
        <v>5746237.25</v>
      </c>
      <c r="U6" s="6">
        <f t="shared" si="2"/>
        <v>0.18770528139452869</v>
      </c>
      <c r="V6" s="2">
        <v>14258747.440000001</v>
      </c>
      <c r="W6" s="2">
        <v>654650</v>
      </c>
      <c r="X6" s="2">
        <f t="shared" si="4"/>
        <v>0</v>
      </c>
    </row>
    <row r="7" spans="1:24" x14ac:dyDescent="0.25">
      <c r="A7" s="1" t="s">
        <v>660</v>
      </c>
      <c r="B7" s="1" t="s">
        <v>659</v>
      </c>
      <c r="C7" s="1" t="s">
        <v>675</v>
      </c>
      <c r="D7" s="1" t="s">
        <v>17</v>
      </c>
      <c r="E7" s="5">
        <f t="shared" si="0"/>
        <v>192307.69230769231</v>
      </c>
      <c r="F7" s="2">
        <v>5000000</v>
      </c>
      <c r="G7" s="2">
        <f>IFERROR(E7*((NETWORKDAYS.INTL(SUMMARRY!$B$1,SUMMARRY!$B$2,11))),"")</f>
        <v>5000000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1020369</v>
      </c>
      <c r="Q7" s="6">
        <f t="shared" si="3"/>
        <v>0.2040738</v>
      </c>
      <c r="R7" s="6" t="str">
        <f t="shared" si="1"/>
        <v>OTHERS</v>
      </c>
      <c r="S7" s="2">
        <v>1607194.6600000001</v>
      </c>
      <c r="T7" s="2">
        <v>0</v>
      </c>
      <c r="U7" s="6">
        <f t="shared" si="2"/>
        <v>0</v>
      </c>
      <c r="V7" s="2">
        <v>1020201</v>
      </c>
      <c r="W7" s="2">
        <v>698565</v>
      </c>
      <c r="X7" s="2">
        <f t="shared" si="4"/>
        <v>0</v>
      </c>
    </row>
    <row r="8" spans="1:24" x14ac:dyDescent="0.25">
      <c r="A8" s="1" t="s">
        <v>587</v>
      </c>
      <c r="B8" s="1" t="s">
        <v>586</v>
      </c>
      <c r="C8" s="1" t="s">
        <v>669</v>
      </c>
      <c r="D8" s="1" t="s">
        <v>12</v>
      </c>
      <c r="E8" s="5">
        <f t="shared" si="0"/>
        <v>153846.15384615384</v>
      </c>
      <c r="F8" s="2">
        <v>4000000</v>
      </c>
      <c r="G8" s="2">
        <f>IFERROR(E8*((NETWORKDAYS.INTL(SUMMARRY!$B$1,SUMMARRY!$B$2,11))),"")</f>
        <v>4000000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760000</v>
      </c>
      <c r="P8" s="2">
        <v>330000</v>
      </c>
      <c r="Q8" s="6">
        <f t="shared" si="3"/>
        <v>8.2500000000000004E-2</v>
      </c>
      <c r="R8" s="6" t="str">
        <f t="shared" si="1"/>
        <v>OTHERS</v>
      </c>
      <c r="S8" s="2">
        <v>1546106.67</v>
      </c>
      <c r="T8" s="2">
        <v>86133.3</v>
      </c>
      <c r="U8" s="6">
        <f t="shared" si="2"/>
        <v>5.5709804291834537E-2</v>
      </c>
      <c r="V8" s="2">
        <v>1090000</v>
      </c>
      <c r="W8" s="2">
        <v>261423</v>
      </c>
      <c r="X8" s="2">
        <f t="shared" si="4"/>
        <v>0</v>
      </c>
    </row>
    <row r="9" spans="1:24" x14ac:dyDescent="0.25">
      <c r="A9" s="1" t="s">
        <v>589</v>
      </c>
      <c r="B9" s="1" t="s">
        <v>588</v>
      </c>
      <c r="C9" s="1" t="s">
        <v>670</v>
      </c>
      <c r="D9" s="1" t="s">
        <v>590</v>
      </c>
      <c r="E9" s="5">
        <f t="shared" si="0"/>
        <v>192307.69230769231</v>
      </c>
      <c r="F9" s="2">
        <v>5000000</v>
      </c>
      <c r="G9" s="2">
        <f>IFERROR(E9*((NETWORKDAYS.INTL(SUMMARRY!$B$1,SUMMARRY!$B$2,11))),"")</f>
        <v>5000000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300000</v>
      </c>
      <c r="Q9" s="6">
        <f t="shared" si="3"/>
        <v>0.06</v>
      </c>
      <c r="R9" s="6" t="str">
        <f t="shared" si="1"/>
        <v>OTHERS</v>
      </c>
      <c r="S9" s="2">
        <v>516000</v>
      </c>
      <c r="T9" s="2">
        <v>0</v>
      </c>
      <c r="U9" s="6">
        <f t="shared" si="2"/>
        <v>0</v>
      </c>
      <c r="V9" s="2">
        <v>300000</v>
      </c>
      <c r="W9" s="2">
        <v>263870</v>
      </c>
      <c r="X9" s="2">
        <f t="shared" si="4"/>
        <v>0</v>
      </c>
    </row>
    <row r="10" spans="1:24" x14ac:dyDescent="0.25">
      <c r="A10" s="1" t="s">
        <v>592</v>
      </c>
      <c r="B10" s="1" t="s">
        <v>591</v>
      </c>
      <c r="C10" s="1" t="s">
        <v>671</v>
      </c>
      <c r="D10" s="1" t="s">
        <v>20</v>
      </c>
      <c r="E10" s="5">
        <f t="shared" si="0"/>
        <v>192307.69230769231</v>
      </c>
      <c r="F10" s="2">
        <v>5000000</v>
      </c>
      <c r="G10" s="2">
        <f>IFERROR(E10*((NETWORKDAYS.INTL(SUMMARRY!$B$1,SUMMARRY!$B$2,11))),"")</f>
        <v>5000000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6">
        <f t="shared" si="3"/>
        <v>0</v>
      </c>
      <c r="R10" s="6" t="str">
        <f t="shared" si="1"/>
        <v>OTHERS</v>
      </c>
      <c r="S10" s="2">
        <v>199432.64</v>
      </c>
      <c r="T10" s="2">
        <v>0</v>
      </c>
      <c r="U10" s="6">
        <f t="shared" si="2"/>
        <v>0</v>
      </c>
      <c r="V10" s="2">
        <v>176144</v>
      </c>
      <c r="W10" s="2">
        <v>0</v>
      </c>
      <c r="X10" s="2">
        <f t="shared" si="4"/>
        <v>0</v>
      </c>
    </row>
    <row r="11" spans="1:24" x14ac:dyDescent="0.25">
      <c r="A11" s="1" t="s">
        <v>594</v>
      </c>
      <c r="B11" s="1" t="s">
        <v>593</v>
      </c>
      <c r="C11" s="1" t="s">
        <v>672</v>
      </c>
      <c r="D11" s="1" t="s">
        <v>35</v>
      </c>
      <c r="E11" s="5">
        <f t="shared" si="0"/>
        <v>192307.69230769231</v>
      </c>
      <c r="F11" s="2">
        <v>5000000</v>
      </c>
      <c r="G11" s="2">
        <f>IFERROR(E11*((NETWORKDAYS.INTL(SUMMARRY!$B$1,SUMMARRY!$B$2,11))),"")</f>
        <v>5000000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6">
        <f t="shared" si="3"/>
        <v>0</v>
      </c>
      <c r="R11" s="6" t="str">
        <f t="shared" si="1"/>
        <v>OTHERS</v>
      </c>
      <c r="S11" s="2">
        <v>0</v>
      </c>
      <c r="T11" s="2">
        <v>0</v>
      </c>
      <c r="U11" s="6">
        <f t="shared" si="2"/>
        <v>0</v>
      </c>
      <c r="V11" s="2">
        <v>0</v>
      </c>
      <c r="W11" s="2">
        <v>0</v>
      </c>
      <c r="X11" s="2">
        <f t="shared" si="4"/>
        <v>0</v>
      </c>
    </row>
    <row r="12" spans="1:24" x14ac:dyDescent="0.25">
      <c r="A12" s="1" t="s">
        <v>654</v>
      </c>
      <c r="B12" s="1" t="s">
        <v>653</v>
      </c>
      <c r="D12" s="1" t="s">
        <v>4</v>
      </c>
      <c r="E12" s="5">
        <f t="shared" si="0"/>
        <v>192307.69230769231</v>
      </c>
      <c r="F12" s="2">
        <v>5000000</v>
      </c>
      <c r="G12" s="2">
        <f>IFERROR(E12*((NETWORKDAYS.INTL(SUMMARRY!$B$1,SUMMARRY!$B$2,11))),"")</f>
        <v>5000000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6">
        <f t="shared" si="3"/>
        <v>0</v>
      </c>
      <c r="R12" s="6" t="str">
        <f t="shared" si="1"/>
        <v>OTHERS</v>
      </c>
      <c r="S12" s="2">
        <v>0</v>
      </c>
      <c r="T12" s="2">
        <v>0</v>
      </c>
      <c r="U12" s="6">
        <f t="shared" si="2"/>
        <v>0</v>
      </c>
      <c r="V12" s="2">
        <v>0</v>
      </c>
      <c r="W12" s="2">
        <v>0</v>
      </c>
      <c r="X12" s="2">
        <f t="shared" si="4"/>
        <v>0</v>
      </c>
    </row>
    <row r="13" spans="1:24" x14ac:dyDescent="0.25">
      <c r="A13" s="1" t="s">
        <v>656</v>
      </c>
      <c r="B13" s="1" t="s">
        <v>655</v>
      </c>
      <c r="C13" s="1" t="s">
        <v>674</v>
      </c>
      <c r="D13" s="1" t="s">
        <v>12</v>
      </c>
      <c r="E13" s="5">
        <f t="shared" si="0"/>
        <v>192307.69230769231</v>
      </c>
      <c r="F13" s="2">
        <v>5000000</v>
      </c>
      <c r="G13" s="2">
        <f>IFERROR(E13*((NETWORKDAYS.INTL(SUMMARRY!$B$1,SUMMARRY!$B$2,11))),"")</f>
        <v>5000000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6">
        <f t="shared" si="3"/>
        <v>0</v>
      </c>
      <c r="R13" s="6" t="str">
        <f t="shared" si="1"/>
        <v>OTHERS</v>
      </c>
      <c r="S13" s="2">
        <v>11418559.749999998</v>
      </c>
      <c r="T13" s="2">
        <v>4518228.01</v>
      </c>
      <c r="U13" s="6">
        <f t="shared" si="2"/>
        <v>0.39569158535952842</v>
      </c>
      <c r="V13" s="2">
        <v>5043604.8</v>
      </c>
      <c r="W13" s="2">
        <v>0</v>
      </c>
      <c r="X13" s="2">
        <f t="shared" si="4"/>
        <v>0</v>
      </c>
    </row>
    <row r="14" spans="1:24" x14ac:dyDescent="0.25">
      <c r="A14" s="1" t="s">
        <v>658</v>
      </c>
      <c r="B14" s="1" t="s">
        <v>657</v>
      </c>
      <c r="D14" s="1" t="s">
        <v>17</v>
      </c>
      <c r="E14" s="5">
        <f t="shared" si="0"/>
        <v>192307.69230769231</v>
      </c>
      <c r="F14" s="2">
        <v>5000000</v>
      </c>
      <c r="G14" s="2">
        <f>IFERROR(E14*((NETWORKDAYS.INTL(SUMMARRY!$B$1,SUMMARRY!$B$2,11))),"")</f>
        <v>5000000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6">
        <f t="shared" si="3"/>
        <v>0</v>
      </c>
      <c r="R14" s="6" t="str">
        <f t="shared" si="1"/>
        <v>OTHERS</v>
      </c>
      <c r="S14" s="2">
        <v>0</v>
      </c>
      <c r="T14" s="2">
        <v>0</v>
      </c>
      <c r="U14" s="6">
        <f t="shared" si="2"/>
        <v>0</v>
      </c>
      <c r="V14" s="2">
        <v>0</v>
      </c>
      <c r="W14" s="2">
        <v>0</v>
      </c>
      <c r="X14" s="2">
        <f t="shared" si="4"/>
        <v>0</v>
      </c>
    </row>
    <row r="15" spans="1:24" x14ac:dyDescent="0.25">
      <c r="A15" s="1" t="s">
        <v>662</v>
      </c>
      <c r="B15" s="1" t="s">
        <v>661</v>
      </c>
      <c r="D15" s="1" t="s">
        <v>24</v>
      </c>
      <c r="E15" s="5">
        <f t="shared" si="0"/>
        <v>192307.69230769231</v>
      </c>
      <c r="F15" s="2">
        <v>5000000</v>
      </c>
      <c r="G15" s="2">
        <f>IFERROR(E15*((NETWORKDAYS.INTL(SUMMARRY!$B$1,SUMMARRY!$B$2,11))),"")</f>
        <v>5000000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6">
        <f t="shared" si="3"/>
        <v>0</v>
      </c>
      <c r="R15" s="6" t="str">
        <f t="shared" si="1"/>
        <v>OTHERS</v>
      </c>
      <c r="S15" s="2">
        <v>0</v>
      </c>
      <c r="T15" s="2">
        <v>0</v>
      </c>
      <c r="U15" s="6">
        <f t="shared" si="2"/>
        <v>0</v>
      </c>
      <c r="V15" s="2">
        <v>0</v>
      </c>
      <c r="W15" s="2">
        <v>0</v>
      </c>
      <c r="X15" s="2">
        <f t="shared" si="4"/>
        <v>0</v>
      </c>
    </row>
    <row r="16" spans="1:24" x14ac:dyDescent="0.25">
      <c r="A16" s="1" t="s">
        <v>664</v>
      </c>
      <c r="B16" s="1" t="s">
        <v>663</v>
      </c>
      <c r="D16" s="1" t="s">
        <v>24</v>
      </c>
      <c r="E16" s="5">
        <f t="shared" si="0"/>
        <v>192307.69230769231</v>
      </c>
      <c r="F16" s="2">
        <v>5000000</v>
      </c>
      <c r="G16" s="2">
        <f>IFERROR(E16*((NETWORKDAYS.INTL(SUMMARRY!$B$1,SUMMARRY!$B$2,11))),"")</f>
        <v>5000000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6">
        <f t="shared" si="3"/>
        <v>0</v>
      </c>
      <c r="R16" s="6" t="str">
        <f t="shared" si="1"/>
        <v>OTHERS</v>
      </c>
      <c r="S16" s="2">
        <v>0</v>
      </c>
      <c r="T16" s="2">
        <v>0</v>
      </c>
      <c r="U16" s="6">
        <f t="shared" si="2"/>
        <v>0</v>
      </c>
      <c r="V16" s="2">
        <v>0</v>
      </c>
      <c r="W16" s="2">
        <v>0</v>
      </c>
      <c r="X16" s="2">
        <f t="shared" si="4"/>
        <v>0</v>
      </c>
    </row>
    <row r="17" spans="1:24" x14ac:dyDescent="0.25">
      <c r="A17" s="1" t="s">
        <v>666</v>
      </c>
      <c r="B17" s="1" t="s">
        <v>665</v>
      </c>
      <c r="D17" s="1" t="s">
        <v>24</v>
      </c>
      <c r="E17" s="5">
        <f t="shared" si="0"/>
        <v>192307.69230769231</v>
      </c>
      <c r="F17" s="2">
        <v>5000000</v>
      </c>
      <c r="G17" s="2">
        <f>IFERROR(E17*((NETWORKDAYS.INTL(SUMMARRY!$B$1,SUMMARRY!$B$2,11))),"")</f>
        <v>5000000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6">
        <f t="shared" si="3"/>
        <v>0</v>
      </c>
      <c r="R17" s="6" t="str">
        <f t="shared" si="1"/>
        <v>OTHERS</v>
      </c>
      <c r="S17" s="2">
        <v>0</v>
      </c>
      <c r="T17" s="2">
        <v>0</v>
      </c>
      <c r="U17" s="6">
        <f t="shared" si="2"/>
        <v>0</v>
      </c>
      <c r="V17" s="2">
        <v>0</v>
      </c>
      <c r="W17" s="2">
        <v>0</v>
      </c>
      <c r="X17" s="2">
        <f t="shared" si="4"/>
        <v>0</v>
      </c>
    </row>
    <row r="18" spans="1:24" x14ac:dyDescent="0.25">
      <c r="A18" s="1" t="s">
        <v>668</v>
      </c>
      <c r="B18" s="1" t="s">
        <v>667</v>
      </c>
      <c r="D18" s="1" t="s">
        <v>35</v>
      </c>
      <c r="E18" s="5">
        <f t="shared" si="0"/>
        <v>192307.69230769231</v>
      </c>
      <c r="F18" s="2">
        <v>5000000</v>
      </c>
      <c r="G18" s="2">
        <f>IFERROR(E18*((NETWORKDAYS.INTL(SUMMARRY!$B$1,SUMMARRY!$B$2,11))),"")</f>
        <v>5000000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6">
        <f t="shared" si="3"/>
        <v>0</v>
      </c>
      <c r="R18" s="6" t="str">
        <f t="shared" si="1"/>
        <v>OTHERS</v>
      </c>
      <c r="S18" s="2">
        <v>0</v>
      </c>
      <c r="T18" s="2">
        <v>0</v>
      </c>
      <c r="U18" s="6">
        <f t="shared" si="2"/>
        <v>0</v>
      </c>
      <c r="V18" s="2">
        <v>0</v>
      </c>
      <c r="W18" s="2">
        <v>0</v>
      </c>
      <c r="X18" s="2">
        <f t="shared" si="4"/>
        <v>0</v>
      </c>
    </row>
  </sheetData>
  <sortState ref="A2:X18">
    <sortCondition descending="1" ref="Q2:Q18"/>
  </sortState>
  <phoneticPr fontId="3" type="noConversion"/>
  <conditionalFormatting sqref="Q2:Q18">
    <cfRule type="cellIs" dxfId="15" priority="3" operator="between">
      <formula>0</formula>
      <formula>0.3</formula>
    </cfRule>
    <cfRule type="cellIs" dxfId="14" priority="4" operator="between">
      <formula>0.31</formula>
      <formula>0.49</formula>
    </cfRule>
    <cfRule type="cellIs" dxfId="13" priority="5" operator="between">
      <formula>31</formula>
      <formula>49</formula>
    </cfRule>
  </conditionalFormatting>
  <conditionalFormatting sqref="A1:A1048576">
    <cfRule type="duplicateValues" dxfId="12" priority="1"/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6B74-9361-4276-B393-C560EFF66992}">
  <dimension ref="A1:AA44"/>
  <sheetViews>
    <sheetView workbookViewId="0">
      <selection activeCell="C23" sqref="C23"/>
    </sheetView>
  </sheetViews>
  <sheetFormatPr defaultColWidth="9.140625" defaultRowHeight="15" x14ac:dyDescent="0.25"/>
  <cols>
    <col min="1" max="1" width="26.28515625" style="1" bestFit="1" customWidth="1"/>
    <col min="2" max="2" width="8.7109375" style="1" bestFit="1" customWidth="1"/>
    <col min="3" max="3" width="12.28515625" style="1" bestFit="1" customWidth="1"/>
    <col min="4" max="4" width="13.5703125" style="1" bestFit="1" customWidth="1"/>
    <col min="5" max="5" width="10.85546875" style="1" bestFit="1" customWidth="1"/>
    <col min="6" max="6" width="12.28515625" style="2" bestFit="1" customWidth="1"/>
    <col min="7" max="7" width="12.28515625" style="2" customWidth="1"/>
    <col min="8" max="8" width="12.7109375" style="1" customWidth="1"/>
    <col min="9" max="12" width="12.28515625" style="1" bestFit="1" customWidth="1"/>
    <col min="13" max="13" width="12.28515625" style="2" bestFit="1" customWidth="1"/>
    <col min="14" max="16" width="12.28515625" style="2" customWidth="1"/>
    <col min="17" max="17" width="11.42578125" style="2" bestFit="1" customWidth="1"/>
    <col min="18" max="18" width="8.42578125" style="2" bestFit="1" customWidth="1"/>
    <col min="19" max="19" width="14.42578125" style="1" bestFit="1" customWidth="1"/>
    <col min="20" max="20" width="12.28515625" style="1" bestFit="1" customWidth="1"/>
    <col min="21" max="21" width="6" style="1" bestFit="1" customWidth="1"/>
    <col min="22" max="22" width="14.42578125" style="1" bestFit="1" customWidth="1"/>
    <col min="23" max="23" width="12.42578125" style="2" bestFit="1" customWidth="1"/>
    <col min="24" max="24" width="12.7109375" style="1" bestFit="1" customWidth="1"/>
    <col min="25" max="25" width="13.28515625" style="1" bestFit="1" customWidth="1"/>
    <col min="26" max="26" width="12.28515625" style="1" bestFit="1" customWidth="1"/>
    <col min="27" max="27" width="11" style="2" bestFit="1" customWidth="1"/>
    <col min="28" max="16384" width="9.140625" style="1"/>
  </cols>
  <sheetData>
    <row r="1" spans="1:27" s="9" customFormat="1" ht="60" x14ac:dyDescent="0.25">
      <c r="A1" s="7" t="s">
        <v>0</v>
      </c>
      <c r="B1" s="7" t="s">
        <v>100</v>
      </c>
      <c r="C1" s="7" t="s">
        <v>168</v>
      </c>
      <c r="D1" s="7" t="s">
        <v>1</v>
      </c>
      <c r="E1" s="7" t="s">
        <v>327</v>
      </c>
      <c r="F1" s="8" t="s">
        <v>240</v>
      </c>
      <c r="G1" s="8" t="s">
        <v>257</v>
      </c>
      <c r="H1" s="7" t="s">
        <v>43</v>
      </c>
      <c r="I1" s="7" t="s">
        <v>46</v>
      </c>
      <c r="J1" s="7" t="s">
        <v>45</v>
      </c>
      <c r="K1" s="7" t="s">
        <v>44</v>
      </c>
      <c r="L1" s="7" t="s">
        <v>42</v>
      </c>
      <c r="M1" s="8" t="s">
        <v>225</v>
      </c>
      <c r="N1" s="8" t="s">
        <v>326</v>
      </c>
      <c r="O1" s="8" t="s">
        <v>595</v>
      </c>
      <c r="P1" s="8" t="s">
        <v>651</v>
      </c>
      <c r="Q1" s="7" t="s">
        <v>649</v>
      </c>
      <c r="R1" s="7" t="s">
        <v>584</v>
      </c>
      <c r="S1" s="7" t="s">
        <v>209</v>
      </c>
      <c r="T1" s="7" t="s">
        <v>210</v>
      </c>
      <c r="U1" s="7" t="s">
        <v>212</v>
      </c>
      <c r="V1" s="7" t="s">
        <v>211</v>
      </c>
      <c r="W1" s="8" t="s">
        <v>330</v>
      </c>
      <c r="X1" s="7" t="s">
        <v>222</v>
      </c>
      <c r="Y1" s="7" t="s">
        <v>233</v>
      </c>
      <c r="Z1" s="7" t="s">
        <v>331</v>
      </c>
      <c r="AA1" s="7" t="s">
        <v>309</v>
      </c>
    </row>
    <row r="2" spans="1:27" x14ac:dyDescent="0.25">
      <c r="A2" s="1" t="s">
        <v>65</v>
      </c>
      <c r="B2" s="1" t="s">
        <v>126</v>
      </c>
      <c r="C2" s="1" t="s">
        <v>219</v>
      </c>
      <c r="D2" s="1" t="s">
        <v>20</v>
      </c>
      <c r="E2" s="5">
        <f t="shared" ref="E2:E44" si="0">F2/26</f>
        <v>134615.38461538462</v>
      </c>
      <c r="F2" s="2">
        <v>3500000</v>
      </c>
      <c r="G2" s="2">
        <f>IFERROR(E2*((NETWORKDAYS.INTL(SUMMARRY!$B$1,SUMMARRY!$B$2,11))),"")</f>
        <v>3500000</v>
      </c>
      <c r="H2" s="2">
        <v>3500000</v>
      </c>
      <c r="I2" s="2">
        <v>1119937.78</v>
      </c>
      <c r="J2" s="2">
        <v>844877</v>
      </c>
      <c r="K2" s="2">
        <v>1028441</v>
      </c>
      <c r="L2" s="2">
        <v>1839259</v>
      </c>
      <c r="M2" s="2">
        <v>1626167</v>
      </c>
      <c r="N2" s="2">
        <v>988949</v>
      </c>
      <c r="O2" s="2">
        <v>702581</v>
      </c>
      <c r="P2" s="2">
        <v>4455026</v>
      </c>
      <c r="Q2" s="6">
        <f t="shared" ref="Q2:Q44" si="1">P2/G2</f>
        <v>1.2728645714285713</v>
      </c>
      <c r="R2" s="6" t="str">
        <f t="shared" ref="R2:R44" si="2">IF(Q2&gt;=80%,"TEAM A","OTHERS")</f>
        <v>TEAM A</v>
      </c>
      <c r="S2" s="2">
        <v>76044570.840000004</v>
      </c>
      <c r="T2" s="2">
        <v>214756.6</v>
      </c>
      <c r="U2" s="6">
        <f t="shared" ref="U2:U44" si="3">IFERROR(T2/S2,0)</f>
        <v>2.8240885263440328E-3</v>
      </c>
      <c r="V2" s="2">
        <v>20517955</v>
      </c>
      <c r="W2" s="2">
        <v>4168268.5</v>
      </c>
      <c r="X2" s="2">
        <f t="shared" ref="X2:X11" si="4">IF(W2&gt;(0.5*F2),(W2-0.5*F2)*0.02,0)+IF(AND(V2&gt;20000000,U2&lt;5%),0.1%*(V2-20000000),0)</f>
        <v>48883.325000000004</v>
      </c>
      <c r="Y2" s="2">
        <v>65000</v>
      </c>
      <c r="Z2" s="2">
        <f t="shared" ref="Z2:Z44" si="5">Y2+P2</f>
        <v>4520026</v>
      </c>
      <c r="AA2" s="6">
        <f t="shared" ref="AA2:AA44" si="6">Z2/G2</f>
        <v>1.291436</v>
      </c>
    </row>
    <row r="3" spans="1:27" x14ac:dyDescent="0.25">
      <c r="A3" s="1" t="s">
        <v>58</v>
      </c>
      <c r="B3" s="1" t="s">
        <v>129</v>
      </c>
      <c r="C3" s="1" t="s">
        <v>217</v>
      </c>
      <c r="D3" s="1" t="s">
        <v>13</v>
      </c>
      <c r="E3" s="5">
        <f t="shared" si="0"/>
        <v>153846.15384615384</v>
      </c>
      <c r="F3" s="2">
        <v>4000000</v>
      </c>
      <c r="G3" s="2">
        <f>IFERROR(E3*((NETWORKDAYS.INTL(SUMMARRY!$B$1,SUMMARRY!$B$2,11))),"")</f>
        <v>4000000</v>
      </c>
      <c r="H3" s="2">
        <v>3000000</v>
      </c>
      <c r="I3" s="2">
        <v>1462759.95</v>
      </c>
      <c r="J3" s="2">
        <v>3701651.15</v>
      </c>
      <c r="K3" s="2">
        <v>1541184.36</v>
      </c>
      <c r="L3" s="2">
        <v>3540774</v>
      </c>
      <c r="M3" s="2">
        <v>2546435</v>
      </c>
      <c r="N3" s="2">
        <v>2425400</v>
      </c>
      <c r="O3" s="2">
        <v>4165175</v>
      </c>
      <c r="P3" s="2">
        <v>3876501</v>
      </c>
      <c r="Q3" s="6">
        <f t="shared" si="1"/>
        <v>0.96912525000000005</v>
      </c>
      <c r="R3" s="6" t="str">
        <f t="shared" si="2"/>
        <v>TEAM A</v>
      </c>
      <c r="S3" s="2">
        <v>97290945.999999985</v>
      </c>
      <c r="T3" s="2">
        <v>46444.200000000004</v>
      </c>
      <c r="U3" s="6">
        <f t="shared" si="3"/>
        <v>4.7737432833678081E-4</v>
      </c>
      <c r="V3" s="2">
        <v>26108532</v>
      </c>
      <c r="W3" s="2">
        <v>3690795.3</v>
      </c>
      <c r="X3" s="2">
        <f t="shared" si="4"/>
        <v>39924.437999999995</v>
      </c>
      <c r="Y3" s="2">
        <v>659046</v>
      </c>
      <c r="Z3" s="2">
        <f t="shared" si="5"/>
        <v>4535547</v>
      </c>
      <c r="AA3" s="6">
        <f t="shared" si="6"/>
        <v>1.1338867500000001</v>
      </c>
    </row>
    <row r="4" spans="1:27" x14ac:dyDescent="0.25">
      <c r="A4" s="1" t="s">
        <v>54</v>
      </c>
      <c r="B4" s="1" t="s">
        <v>120</v>
      </c>
      <c r="C4" s="1" t="s">
        <v>172</v>
      </c>
      <c r="D4" s="1" t="s">
        <v>9</v>
      </c>
      <c r="E4" s="5">
        <f t="shared" si="0"/>
        <v>153846.15384615384</v>
      </c>
      <c r="F4" s="2">
        <v>4000000</v>
      </c>
      <c r="G4" s="2">
        <f>IFERROR(E4*((NETWORKDAYS.INTL(SUMMARRY!$B$1,SUMMARRY!$B$2,11))),"")</f>
        <v>4000000</v>
      </c>
      <c r="H4" s="2">
        <v>4000000</v>
      </c>
      <c r="I4" s="2">
        <v>1908437.9100000001</v>
      </c>
      <c r="J4" s="2">
        <v>2884968</v>
      </c>
      <c r="K4" s="2">
        <v>1425335.04</v>
      </c>
      <c r="L4" s="2">
        <v>3157229</v>
      </c>
      <c r="M4" s="2">
        <v>2212628</v>
      </c>
      <c r="N4" s="2">
        <v>3789905</v>
      </c>
      <c r="O4" s="2">
        <v>1534810</v>
      </c>
      <c r="P4" s="2">
        <v>3265628</v>
      </c>
      <c r="Q4" s="6">
        <f t="shared" si="1"/>
        <v>0.81640699999999999</v>
      </c>
      <c r="R4" s="6" t="str">
        <f t="shared" si="2"/>
        <v>TEAM A</v>
      </c>
      <c r="S4" s="2">
        <v>130501535.47999999</v>
      </c>
      <c r="T4" s="2">
        <v>1402762.02</v>
      </c>
      <c r="U4" s="6">
        <f t="shared" si="3"/>
        <v>1.0749007778647787E-2</v>
      </c>
      <c r="V4" s="2">
        <v>35522442</v>
      </c>
      <c r="W4" s="2">
        <v>2468933</v>
      </c>
      <c r="X4" s="2">
        <f t="shared" si="4"/>
        <v>24901.101999999999</v>
      </c>
      <c r="Y4" s="2">
        <v>1560327</v>
      </c>
      <c r="Z4" s="2">
        <f t="shared" si="5"/>
        <v>4825955</v>
      </c>
      <c r="AA4" s="6">
        <f t="shared" si="6"/>
        <v>1.2064887500000001</v>
      </c>
    </row>
    <row r="5" spans="1:27" x14ac:dyDescent="0.25">
      <c r="A5" s="1" t="s">
        <v>61</v>
      </c>
      <c r="B5" s="1" t="s">
        <v>122</v>
      </c>
      <c r="C5" s="1" t="s">
        <v>177</v>
      </c>
      <c r="D5" s="1" t="s">
        <v>17</v>
      </c>
      <c r="E5" s="5">
        <f t="shared" si="0"/>
        <v>192307.69230769231</v>
      </c>
      <c r="F5" s="2">
        <v>5000000</v>
      </c>
      <c r="G5" s="2">
        <f>IFERROR(E5*((NETWORKDAYS.INTL(SUMMARRY!$B$1,SUMMARRY!$B$2,11))),"")</f>
        <v>5000000</v>
      </c>
      <c r="H5" s="2">
        <v>3500000</v>
      </c>
      <c r="I5" s="2">
        <v>1010500</v>
      </c>
      <c r="J5" s="2">
        <v>327635</v>
      </c>
      <c r="K5" s="2">
        <v>1762155</v>
      </c>
      <c r="L5" s="2">
        <v>0</v>
      </c>
      <c r="M5" s="2">
        <v>1341568</v>
      </c>
      <c r="N5" s="2">
        <v>2292357</v>
      </c>
      <c r="O5" s="2">
        <v>2778857</v>
      </c>
      <c r="P5" s="2">
        <v>3896014</v>
      </c>
      <c r="Q5" s="6">
        <f t="shared" si="1"/>
        <v>0.77920279999999997</v>
      </c>
      <c r="R5" s="6" t="str">
        <f t="shared" si="2"/>
        <v>OTHERS</v>
      </c>
      <c r="S5" s="2">
        <v>75947421.25</v>
      </c>
      <c r="T5" s="2">
        <v>312937.74</v>
      </c>
      <c r="U5" s="6">
        <f t="shared" si="3"/>
        <v>4.1204524768508844E-3</v>
      </c>
      <c r="V5" s="2">
        <v>20455927</v>
      </c>
      <c r="W5" s="2">
        <v>3896014</v>
      </c>
      <c r="X5" s="2">
        <f t="shared" si="4"/>
        <v>28376.206999999999</v>
      </c>
      <c r="Y5" s="2">
        <v>498126</v>
      </c>
      <c r="Z5" s="2">
        <f t="shared" si="5"/>
        <v>4394140</v>
      </c>
      <c r="AA5" s="6">
        <f t="shared" si="6"/>
        <v>0.87882800000000005</v>
      </c>
    </row>
    <row r="6" spans="1:27" x14ac:dyDescent="0.25">
      <c r="A6" s="1" t="s">
        <v>56</v>
      </c>
      <c r="B6" s="1" t="s">
        <v>123</v>
      </c>
      <c r="C6" s="1" t="s">
        <v>173</v>
      </c>
      <c r="D6" s="1" t="s">
        <v>12</v>
      </c>
      <c r="E6" s="5">
        <f t="shared" si="0"/>
        <v>153846.15384615384</v>
      </c>
      <c r="F6" s="2">
        <v>4000000</v>
      </c>
      <c r="G6" s="2">
        <f>IFERROR(E6*((NETWORKDAYS.INTL(SUMMARRY!$B$1,SUMMARRY!$B$2,11))),"")</f>
        <v>4000000</v>
      </c>
      <c r="H6" s="2">
        <v>3500000</v>
      </c>
      <c r="I6" s="2">
        <v>1456133.67</v>
      </c>
      <c r="J6" s="2">
        <v>2376268</v>
      </c>
      <c r="K6" s="2">
        <v>2703070.81</v>
      </c>
      <c r="L6" s="2">
        <v>2680525</v>
      </c>
      <c r="M6" s="2">
        <v>2406643</v>
      </c>
      <c r="N6" s="2">
        <v>2307995</v>
      </c>
      <c r="O6" s="2">
        <v>2281198</v>
      </c>
      <c r="P6" s="2">
        <v>2734324</v>
      </c>
      <c r="Q6" s="6">
        <f t="shared" si="1"/>
        <v>0.68358099999999999</v>
      </c>
      <c r="R6" s="6" t="str">
        <f t="shared" si="2"/>
        <v>OTHERS</v>
      </c>
      <c r="S6" s="2">
        <v>120118836.16999999</v>
      </c>
      <c r="T6" s="2">
        <v>327586.27</v>
      </c>
      <c r="U6" s="6">
        <f t="shared" si="3"/>
        <v>2.7271848483145359E-3</v>
      </c>
      <c r="V6" s="2">
        <v>32524629.48</v>
      </c>
      <c r="W6" s="2">
        <v>2650150</v>
      </c>
      <c r="X6" s="2">
        <f t="shared" si="4"/>
        <v>25527.629480000003</v>
      </c>
      <c r="Y6" s="2">
        <v>497108</v>
      </c>
      <c r="Z6" s="2">
        <f t="shared" si="5"/>
        <v>3231432</v>
      </c>
      <c r="AA6" s="6">
        <f t="shared" si="6"/>
        <v>0.80785799999999997</v>
      </c>
    </row>
    <row r="7" spans="1:27" x14ac:dyDescent="0.25">
      <c r="A7" s="1" t="s">
        <v>63</v>
      </c>
      <c r="B7" s="1" t="s">
        <v>113</v>
      </c>
      <c r="C7" s="1" t="s">
        <v>218</v>
      </c>
      <c r="D7" s="1" t="s">
        <v>19</v>
      </c>
      <c r="E7" s="5">
        <f t="shared" si="0"/>
        <v>192307.69230769231</v>
      </c>
      <c r="F7" s="2">
        <v>5000000</v>
      </c>
      <c r="G7" s="2">
        <f>IFERROR(E7*((NETWORKDAYS.INTL(SUMMARRY!$B$1,SUMMARRY!$B$2,11))),"")</f>
        <v>5000000</v>
      </c>
      <c r="H7" s="2">
        <v>3500000</v>
      </c>
      <c r="I7" s="2">
        <v>2168903.85</v>
      </c>
      <c r="J7" s="2">
        <v>3764459</v>
      </c>
      <c r="K7" s="2">
        <v>2598847</v>
      </c>
      <c r="L7" s="2">
        <v>3217091</v>
      </c>
      <c r="M7" s="2">
        <v>4390885</v>
      </c>
      <c r="N7" s="2">
        <v>2336476</v>
      </c>
      <c r="O7" s="2">
        <v>3448836</v>
      </c>
      <c r="P7" s="2">
        <v>3293682</v>
      </c>
      <c r="Q7" s="6">
        <f t="shared" si="1"/>
        <v>0.6587364</v>
      </c>
      <c r="R7" s="6" t="str">
        <f t="shared" si="2"/>
        <v>OTHERS</v>
      </c>
      <c r="S7" s="2">
        <v>9604488.6199999992</v>
      </c>
      <c r="T7" s="2">
        <v>624584</v>
      </c>
      <c r="U7" s="6">
        <f t="shared" si="3"/>
        <v>6.5030427408638028E-2</v>
      </c>
      <c r="V7" s="2">
        <v>2552671.3600000003</v>
      </c>
      <c r="W7" s="2">
        <v>3263605.33</v>
      </c>
      <c r="X7" s="2">
        <f t="shared" si="4"/>
        <v>15272.106600000001</v>
      </c>
      <c r="Y7" s="2">
        <v>2111260</v>
      </c>
      <c r="Z7" s="2">
        <f t="shared" si="5"/>
        <v>5404942</v>
      </c>
      <c r="AA7" s="6">
        <f t="shared" si="6"/>
        <v>1.0809884000000001</v>
      </c>
    </row>
    <row r="8" spans="1:27" x14ac:dyDescent="0.25">
      <c r="A8" s="1" t="s">
        <v>57</v>
      </c>
      <c r="B8" s="1" t="s">
        <v>102</v>
      </c>
      <c r="C8" s="1" t="s">
        <v>174</v>
      </c>
      <c r="D8" s="1" t="s">
        <v>13</v>
      </c>
      <c r="E8" s="5">
        <f t="shared" si="0"/>
        <v>192307.69230769231</v>
      </c>
      <c r="F8" s="2">
        <v>5000000</v>
      </c>
      <c r="G8" s="2">
        <f>IFERROR(E8*((NETWORKDAYS.INTL(SUMMARRY!$B$1,SUMMARRY!$B$2,11))),"")</f>
        <v>5000000</v>
      </c>
      <c r="H8" s="2">
        <v>5000000</v>
      </c>
      <c r="I8" s="2">
        <v>2164937.65</v>
      </c>
      <c r="J8" s="2">
        <v>1641175.98</v>
      </c>
      <c r="K8" s="2">
        <v>1814752.7000000002</v>
      </c>
      <c r="L8" s="2">
        <v>3877886</v>
      </c>
      <c r="M8" s="2">
        <v>3912165</v>
      </c>
      <c r="N8" s="2">
        <v>2974122</v>
      </c>
      <c r="O8" s="2">
        <v>2407141</v>
      </c>
      <c r="P8" s="2">
        <v>3138052</v>
      </c>
      <c r="Q8" s="6">
        <f t="shared" si="1"/>
        <v>0.62761040000000001</v>
      </c>
      <c r="R8" s="6" t="str">
        <f t="shared" si="2"/>
        <v>OTHERS</v>
      </c>
      <c r="S8" s="2">
        <v>184824092.26999998</v>
      </c>
      <c r="T8" s="2">
        <v>548162.44999999995</v>
      </c>
      <c r="U8" s="6">
        <f t="shared" si="3"/>
        <v>2.9658603662947669E-3</v>
      </c>
      <c r="V8" s="2">
        <v>49742483.030000001</v>
      </c>
      <c r="W8" s="2">
        <v>1824960.46</v>
      </c>
      <c r="X8" s="2">
        <f t="shared" si="4"/>
        <v>29742.483030000003</v>
      </c>
      <c r="Y8" s="2">
        <v>589838</v>
      </c>
      <c r="Z8" s="2">
        <f t="shared" si="5"/>
        <v>3727890</v>
      </c>
      <c r="AA8" s="6">
        <f t="shared" si="6"/>
        <v>0.74557799999999996</v>
      </c>
    </row>
    <row r="9" spans="1:27" x14ac:dyDescent="0.25">
      <c r="A9" s="1" t="s">
        <v>72</v>
      </c>
      <c r="B9" s="1" t="s">
        <v>118</v>
      </c>
      <c r="C9" s="1" t="s">
        <v>185</v>
      </c>
      <c r="D9" s="1" t="s">
        <v>30</v>
      </c>
      <c r="E9" s="5">
        <f t="shared" si="0"/>
        <v>153846.15384615384</v>
      </c>
      <c r="F9" s="2">
        <v>4000000</v>
      </c>
      <c r="G9" s="2">
        <f>IFERROR(E9*((NETWORKDAYS.INTL(SUMMARRY!$B$1,SUMMARRY!$B$2,11))),"")</f>
        <v>4000000</v>
      </c>
      <c r="H9" s="2">
        <v>5000000</v>
      </c>
      <c r="I9" s="2">
        <v>860901</v>
      </c>
      <c r="J9" s="2">
        <v>1339179</v>
      </c>
      <c r="K9" s="2">
        <v>624966</v>
      </c>
      <c r="L9" s="2">
        <v>3293234</v>
      </c>
      <c r="M9" s="2">
        <v>6299798</v>
      </c>
      <c r="N9" s="2">
        <v>4390754</v>
      </c>
      <c r="O9" s="2">
        <v>1539689</v>
      </c>
      <c r="P9" s="2">
        <v>2326269</v>
      </c>
      <c r="Q9" s="6">
        <f t="shared" si="1"/>
        <v>0.58156724999999998</v>
      </c>
      <c r="R9" s="6" t="str">
        <f t="shared" si="2"/>
        <v>OTHERS</v>
      </c>
      <c r="S9" s="2">
        <v>150242094.36999995</v>
      </c>
      <c r="T9" s="2">
        <v>377936.31</v>
      </c>
      <c r="U9" s="6">
        <f t="shared" si="3"/>
        <v>2.5155154524753856E-3</v>
      </c>
      <c r="V9" s="2">
        <v>40387387.299999997</v>
      </c>
      <c r="W9" s="2">
        <v>1991865</v>
      </c>
      <c r="X9" s="2">
        <f t="shared" si="4"/>
        <v>20387.387299999999</v>
      </c>
      <c r="Y9" s="2">
        <v>3920495</v>
      </c>
      <c r="Z9" s="2">
        <f t="shared" si="5"/>
        <v>6246764</v>
      </c>
      <c r="AA9" s="6">
        <f t="shared" si="6"/>
        <v>1.5616909999999999</v>
      </c>
    </row>
    <row r="10" spans="1:27" x14ac:dyDescent="0.25">
      <c r="A10" s="1" t="s">
        <v>77</v>
      </c>
      <c r="B10" s="1" t="s">
        <v>149</v>
      </c>
      <c r="C10" s="1" t="s">
        <v>248</v>
      </c>
      <c r="D10" s="1" t="s">
        <v>30</v>
      </c>
      <c r="E10" s="5">
        <f t="shared" si="0"/>
        <v>134615.38461538462</v>
      </c>
      <c r="F10" s="2">
        <v>3500000</v>
      </c>
      <c r="G10" s="2">
        <f>IFERROR(E10*((NETWORKDAYS.INTL(SUMMARRY!$B$1,SUMMARRY!$B$2,11))),"")</f>
        <v>3500000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2160813</v>
      </c>
      <c r="N10" s="2">
        <v>551563</v>
      </c>
      <c r="O10" s="2">
        <v>2811911</v>
      </c>
      <c r="P10" s="2">
        <v>1982483</v>
      </c>
      <c r="Q10" s="6">
        <f t="shared" si="1"/>
        <v>0.56642371428571425</v>
      </c>
      <c r="R10" s="6" t="str">
        <f t="shared" si="2"/>
        <v>OTHERS</v>
      </c>
      <c r="S10" s="2">
        <v>28064865.890000001</v>
      </c>
      <c r="T10" s="2">
        <v>74422.55</v>
      </c>
      <c r="U10" s="6">
        <f t="shared" si="3"/>
        <v>2.6518049397313546E-3</v>
      </c>
      <c r="V10" s="2">
        <v>7498858</v>
      </c>
      <c r="W10" s="2">
        <v>1982483</v>
      </c>
      <c r="X10" s="2">
        <f t="shared" si="4"/>
        <v>4649.66</v>
      </c>
      <c r="Y10" s="2">
        <v>0</v>
      </c>
      <c r="Z10" s="2">
        <f t="shared" si="5"/>
        <v>1982483</v>
      </c>
      <c r="AA10" s="6">
        <f t="shared" si="6"/>
        <v>0.56642371428571425</v>
      </c>
    </row>
    <row r="11" spans="1:27" x14ac:dyDescent="0.25">
      <c r="A11" s="1" t="s">
        <v>64</v>
      </c>
      <c r="B11" s="1" t="s">
        <v>112</v>
      </c>
      <c r="C11" s="1" t="s">
        <v>179</v>
      </c>
      <c r="D11" s="1" t="s">
        <v>20</v>
      </c>
      <c r="E11" s="5">
        <f t="shared" si="0"/>
        <v>192307.69230769231</v>
      </c>
      <c r="F11" s="2">
        <v>5000000</v>
      </c>
      <c r="G11" s="2">
        <f>IFERROR(E11*((NETWORKDAYS.INTL(SUMMARRY!$B$1,SUMMARRY!$B$2,11))),"")</f>
        <v>5000000</v>
      </c>
      <c r="H11" s="2">
        <v>5000000</v>
      </c>
      <c r="I11" s="2">
        <v>644020</v>
      </c>
      <c r="J11" s="2">
        <v>3808414.0300000003</v>
      </c>
      <c r="K11" s="2">
        <v>3073989</v>
      </c>
      <c r="L11" s="2">
        <v>1651391</v>
      </c>
      <c r="M11" s="2">
        <v>4428917.9000000004</v>
      </c>
      <c r="N11" s="2">
        <v>1958181</v>
      </c>
      <c r="O11" s="2">
        <v>1309676</v>
      </c>
      <c r="P11" s="2">
        <v>2610068</v>
      </c>
      <c r="Q11" s="6">
        <f t="shared" si="1"/>
        <v>0.52201359999999997</v>
      </c>
      <c r="R11" s="6" t="str">
        <f t="shared" si="2"/>
        <v>OTHERS</v>
      </c>
      <c r="S11" s="2">
        <v>93436690.779999971</v>
      </c>
      <c r="T11" s="2">
        <v>123612.65000000002</v>
      </c>
      <c r="U11" s="6">
        <f t="shared" si="3"/>
        <v>1.3229562066902651E-3</v>
      </c>
      <c r="V11" s="2">
        <v>23785727.369999997</v>
      </c>
      <c r="W11" s="2">
        <v>2155067.33</v>
      </c>
      <c r="X11" s="2">
        <f t="shared" si="4"/>
        <v>3785.7273699999973</v>
      </c>
      <c r="Y11" s="2">
        <v>413688</v>
      </c>
      <c r="Z11" s="2">
        <f t="shared" si="5"/>
        <v>3023756</v>
      </c>
      <c r="AA11" s="6">
        <f t="shared" si="6"/>
        <v>0.60475120000000004</v>
      </c>
    </row>
    <row r="12" spans="1:27" x14ac:dyDescent="0.25">
      <c r="A12" s="1" t="s">
        <v>599</v>
      </c>
      <c r="B12" s="1" t="s">
        <v>602</v>
      </c>
      <c r="C12" s="1" t="s">
        <v>639</v>
      </c>
      <c r="D12" s="1" t="s">
        <v>30</v>
      </c>
      <c r="E12" s="5">
        <f t="shared" si="0"/>
        <v>134615.38461538462</v>
      </c>
      <c r="F12" s="2">
        <v>3500000</v>
      </c>
      <c r="G12" s="2">
        <f>IFERROR(E12*((NETWORKDAYS.INTL(SUMMARRY!$B$1,SUMMARRY!$B$2,11))),"")</f>
        <v>3500000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474251</v>
      </c>
      <c r="P12" s="2">
        <v>1773265</v>
      </c>
      <c r="Q12" s="6">
        <f t="shared" si="1"/>
        <v>0.50664714285714285</v>
      </c>
      <c r="R12" s="2" t="str">
        <f t="shared" si="2"/>
        <v>OTHERS</v>
      </c>
      <c r="S12" s="2">
        <v>14367303</v>
      </c>
      <c r="T12" s="2">
        <v>0</v>
      </c>
      <c r="U12" s="6">
        <f t="shared" si="3"/>
        <v>0</v>
      </c>
      <c r="V12" s="2">
        <v>3725845</v>
      </c>
      <c r="W12" s="2">
        <v>1773265</v>
      </c>
      <c r="Y12" s="2">
        <v>1481352</v>
      </c>
      <c r="Z12" s="2">
        <f t="shared" si="5"/>
        <v>3254617</v>
      </c>
      <c r="AA12" s="6">
        <f t="shared" si="6"/>
        <v>0.92989057142857146</v>
      </c>
    </row>
    <row r="13" spans="1:27" x14ac:dyDescent="0.25">
      <c r="A13" s="1" t="s">
        <v>51</v>
      </c>
      <c r="B13" s="1" t="s">
        <v>105</v>
      </c>
      <c r="C13" s="1" t="s">
        <v>169</v>
      </c>
      <c r="D13" s="1" t="s">
        <v>4</v>
      </c>
      <c r="E13" s="5">
        <f t="shared" si="0"/>
        <v>288461.53846153844</v>
      </c>
      <c r="F13" s="2">
        <v>7500000</v>
      </c>
      <c r="G13" s="2">
        <f>IFERROR(E13*((NETWORKDAYS.INTL(SUMMARRY!$B$1,SUMMARRY!$B$2,11))),"")</f>
        <v>7499999.9999999991</v>
      </c>
      <c r="H13" s="2">
        <v>5000000</v>
      </c>
      <c r="I13" s="2">
        <v>5503205</v>
      </c>
      <c r="J13" s="2">
        <v>2506151</v>
      </c>
      <c r="K13" s="2">
        <v>3635910.11</v>
      </c>
      <c r="L13" s="2">
        <v>7801188</v>
      </c>
      <c r="M13" s="2">
        <v>5688981</v>
      </c>
      <c r="N13" s="2">
        <v>7401400</v>
      </c>
      <c r="O13" s="2">
        <v>4124265</v>
      </c>
      <c r="P13" s="2">
        <v>3327295</v>
      </c>
      <c r="Q13" s="6">
        <f t="shared" si="1"/>
        <v>0.44363933333333339</v>
      </c>
      <c r="R13" s="6" t="str">
        <f t="shared" si="2"/>
        <v>OTHERS</v>
      </c>
      <c r="S13" s="2">
        <v>423301678.84999996</v>
      </c>
      <c r="T13" s="2">
        <v>8460995.3499999996</v>
      </c>
      <c r="U13" s="6">
        <f t="shared" si="3"/>
        <v>1.998809778639743E-2</v>
      </c>
      <c r="V13" s="2">
        <v>115305892.43000001</v>
      </c>
      <c r="W13" s="2">
        <v>2908239</v>
      </c>
      <c r="X13" s="2">
        <f>IF(W13&gt;(0.5*F13),(W13-0.5*F13)*0.02,0)+IF(AND(V13&gt;100000000,U13&lt;5%),0.1%*(V13-100000000),0)</f>
        <v>15305.892430000007</v>
      </c>
      <c r="Y13" s="2">
        <v>2761040</v>
      </c>
      <c r="Z13" s="2">
        <f t="shared" si="5"/>
        <v>6088335</v>
      </c>
      <c r="AA13" s="6">
        <f t="shared" si="6"/>
        <v>0.81177800000000011</v>
      </c>
    </row>
    <row r="14" spans="1:27" x14ac:dyDescent="0.25">
      <c r="A14" s="1" t="s">
        <v>55</v>
      </c>
      <c r="B14" s="1" t="s">
        <v>110</v>
      </c>
      <c r="C14" s="1" t="s">
        <v>232</v>
      </c>
      <c r="D14" s="1" t="s">
        <v>9</v>
      </c>
      <c r="E14" s="5">
        <f t="shared" si="0"/>
        <v>192307.69230769231</v>
      </c>
      <c r="F14" s="2">
        <v>5000000</v>
      </c>
      <c r="G14" s="2">
        <f>IFERROR(E14*((NETWORKDAYS.INTL(SUMMARRY!$B$1,SUMMARRY!$B$2,11))),"")</f>
        <v>5000000</v>
      </c>
      <c r="H14" s="2">
        <v>3500000</v>
      </c>
      <c r="I14" s="2">
        <v>2094571.31</v>
      </c>
      <c r="J14" s="2">
        <v>553889.06000000006</v>
      </c>
      <c r="K14" s="2">
        <v>975993.17999999993</v>
      </c>
      <c r="L14" s="2">
        <v>354566</v>
      </c>
      <c r="M14" s="2">
        <v>2880764</v>
      </c>
      <c r="N14" s="2">
        <v>2413198</v>
      </c>
      <c r="O14" s="2">
        <v>2005470</v>
      </c>
      <c r="P14" s="2">
        <v>2136603</v>
      </c>
      <c r="Q14" s="6">
        <f t="shared" si="1"/>
        <v>0.42732059999999999</v>
      </c>
      <c r="R14" s="6" t="str">
        <f t="shared" si="2"/>
        <v>OTHERS</v>
      </c>
      <c r="S14" s="2">
        <v>170837914.34999999</v>
      </c>
      <c r="T14" s="2">
        <v>577017.9425</v>
      </c>
      <c r="U14" s="6">
        <f t="shared" si="3"/>
        <v>3.3775754328038013E-3</v>
      </c>
      <c r="V14" s="2">
        <v>46543195.140000001</v>
      </c>
      <c r="W14" s="2">
        <v>1972444.57</v>
      </c>
      <c r="X14" s="2">
        <f t="shared" ref="X14:X21" si="7">IF(W14&gt;(0.5*F14),(W14-0.5*F14)*0.02,0)+IF(AND(V14&gt;20000000,U14&lt;5%),0.1%*(V14-20000000),0)</f>
        <v>26543.19514</v>
      </c>
      <c r="Y14" s="2">
        <v>392776</v>
      </c>
      <c r="Z14" s="2">
        <f t="shared" si="5"/>
        <v>2529379</v>
      </c>
      <c r="AA14" s="6">
        <f t="shared" si="6"/>
        <v>0.50587579999999999</v>
      </c>
    </row>
    <row r="15" spans="1:27" x14ac:dyDescent="0.25">
      <c r="A15" s="1" t="s">
        <v>74</v>
      </c>
      <c r="B15" s="1" t="s">
        <v>144</v>
      </c>
      <c r="C15" s="1" t="s">
        <v>187</v>
      </c>
      <c r="D15" s="1" t="s">
        <v>30</v>
      </c>
      <c r="E15" s="5">
        <f t="shared" si="0"/>
        <v>134615.38461538462</v>
      </c>
      <c r="F15" s="2">
        <v>3500000</v>
      </c>
      <c r="G15" s="2">
        <f>IFERROR(E15*((NETWORKDAYS.INTL(SUMMARRY!$B$1,SUMMARRY!$B$2,11))),"")</f>
        <v>3500000</v>
      </c>
      <c r="H15" s="2">
        <v>0</v>
      </c>
      <c r="I15" s="2">
        <v>0</v>
      </c>
      <c r="J15" s="2">
        <v>20000</v>
      </c>
      <c r="K15" s="2">
        <v>40000</v>
      </c>
      <c r="L15" s="2">
        <v>2100022</v>
      </c>
      <c r="M15" s="2">
        <v>1433163</v>
      </c>
      <c r="N15" s="2">
        <v>1017692</v>
      </c>
      <c r="O15" s="2">
        <v>175049</v>
      </c>
      <c r="P15" s="2">
        <v>1405628</v>
      </c>
      <c r="Q15" s="6">
        <f t="shared" si="1"/>
        <v>0.40160800000000002</v>
      </c>
      <c r="R15" s="6" t="str">
        <f t="shared" si="2"/>
        <v>OTHERS</v>
      </c>
      <c r="S15" s="2">
        <v>27058894.59</v>
      </c>
      <c r="T15" s="2">
        <v>713257</v>
      </c>
      <c r="U15" s="6">
        <f t="shared" si="3"/>
        <v>2.6359428602216229E-2</v>
      </c>
      <c r="V15" s="2">
        <v>6615897</v>
      </c>
      <c r="W15" s="2">
        <v>1405628</v>
      </c>
      <c r="X15" s="2">
        <f t="shared" si="7"/>
        <v>0</v>
      </c>
      <c r="Y15" s="2">
        <v>589577</v>
      </c>
      <c r="Z15" s="2">
        <f t="shared" si="5"/>
        <v>1995205</v>
      </c>
      <c r="AA15" s="6">
        <f t="shared" si="6"/>
        <v>0.57005857142857141</v>
      </c>
    </row>
    <row r="16" spans="1:27" x14ac:dyDescent="0.25">
      <c r="A16" s="1" t="s">
        <v>71</v>
      </c>
      <c r="B16" s="1" t="s">
        <v>134</v>
      </c>
      <c r="C16" s="1" t="s">
        <v>184</v>
      </c>
      <c r="D16" s="1" t="s">
        <v>30</v>
      </c>
      <c r="E16" s="5">
        <f t="shared" si="0"/>
        <v>192307.69230769231</v>
      </c>
      <c r="F16" s="2">
        <v>5000000</v>
      </c>
      <c r="G16" s="2">
        <f>IFERROR(E16*((NETWORKDAYS.INTL(SUMMARRY!$B$1,SUMMARRY!$B$2,11))),"")</f>
        <v>5000000</v>
      </c>
      <c r="H16" s="2">
        <v>3500000</v>
      </c>
      <c r="I16" s="2">
        <v>2600666.1</v>
      </c>
      <c r="J16" s="2">
        <v>411047</v>
      </c>
      <c r="K16" s="2">
        <v>797412</v>
      </c>
      <c r="L16" s="2">
        <v>1582700</v>
      </c>
      <c r="M16" s="2">
        <v>2163579</v>
      </c>
      <c r="N16" s="2">
        <v>3748429</v>
      </c>
      <c r="O16" s="2">
        <v>3044360</v>
      </c>
      <c r="P16" s="2">
        <v>1915350</v>
      </c>
      <c r="Q16" s="6">
        <f t="shared" si="1"/>
        <v>0.38307000000000002</v>
      </c>
      <c r="R16" s="6" t="str">
        <f t="shared" si="2"/>
        <v>OTHERS</v>
      </c>
      <c r="S16" s="2">
        <v>79112074.290000007</v>
      </c>
      <c r="T16" s="2">
        <v>260303.59999999998</v>
      </c>
      <c r="U16" s="6">
        <f t="shared" si="3"/>
        <v>3.2903144347575667E-3</v>
      </c>
      <c r="V16" s="2">
        <v>20911237.670000002</v>
      </c>
      <c r="W16" s="2">
        <v>1915350</v>
      </c>
      <c r="X16" s="2">
        <f t="shared" si="7"/>
        <v>911.2376700000018</v>
      </c>
      <c r="Y16" s="2">
        <v>613230</v>
      </c>
      <c r="Z16" s="2">
        <f t="shared" si="5"/>
        <v>2528580</v>
      </c>
      <c r="AA16" s="6">
        <f t="shared" si="6"/>
        <v>0.50571600000000005</v>
      </c>
    </row>
    <row r="17" spans="1:27" x14ac:dyDescent="0.25">
      <c r="A17" s="1" t="s">
        <v>76</v>
      </c>
      <c r="B17" s="1" t="s">
        <v>148</v>
      </c>
      <c r="C17" s="1" t="s">
        <v>189</v>
      </c>
      <c r="D17" s="1" t="s">
        <v>30</v>
      </c>
      <c r="E17" s="5">
        <f t="shared" si="0"/>
        <v>134615.38461538462</v>
      </c>
      <c r="F17" s="2">
        <v>3500000</v>
      </c>
      <c r="G17" s="2">
        <f>IFERROR(E17*((NETWORKDAYS.INTL(SUMMARRY!$B$1,SUMMARRY!$B$2,11))),"")</f>
        <v>3500000</v>
      </c>
      <c r="H17" s="2">
        <v>0</v>
      </c>
      <c r="I17" s="2">
        <v>0</v>
      </c>
      <c r="J17" s="2">
        <v>0</v>
      </c>
      <c r="K17" s="2">
        <v>0</v>
      </c>
      <c r="L17" s="2">
        <v>20700</v>
      </c>
      <c r="M17" s="2">
        <v>889657</v>
      </c>
      <c r="N17" s="2">
        <v>916850</v>
      </c>
      <c r="O17" s="2">
        <v>1942660</v>
      </c>
      <c r="P17" s="2">
        <v>1331989</v>
      </c>
      <c r="Q17" s="6">
        <f t="shared" si="1"/>
        <v>0.38056828571428569</v>
      </c>
      <c r="R17" s="6" t="str">
        <f t="shared" si="2"/>
        <v>OTHERS</v>
      </c>
      <c r="S17" s="2">
        <v>25863412.419999998</v>
      </c>
      <c r="T17" s="2">
        <v>69696.400000000009</v>
      </c>
      <c r="U17" s="6">
        <f t="shared" si="3"/>
        <v>2.694787480792916E-3</v>
      </c>
      <c r="V17" s="2">
        <v>7124735</v>
      </c>
      <c r="W17" s="2">
        <v>1331989</v>
      </c>
      <c r="X17" s="2">
        <f t="shared" si="7"/>
        <v>0</v>
      </c>
      <c r="Y17" s="2">
        <v>179461</v>
      </c>
      <c r="Z17" s="2">
        <f t="shared" si="5"/>
        <v>1511450</v>
      </c>
      <c r="AA17" s="6">
        <f t="shared" si="6"/>
        <v>0.43184285714285714</v>
      </c>
    </row>
    <row r="18" spans="1:27" x14ac:dyDescent="0.25">
      <c r="A18" s="1" t="s">
        <v>245</v>
      </c>
      <c r="B18" s="1" t="s">
        <v>244</v>
      </c>
      <c r="C18" s="1" t="s">
        <v>250</v>
      </c>
      <c r="D18" s="1" t="s">
        <v>13</v>
      </c>
      <c r="E18" s="5">
        <f t="shared" si="0"/>
        <v>134615.38461538462</v>
      </c>
      <c r="F18" s="2">
        <v>3500000</v>
      </c>
      <c r="G18" s="2">
        <f>IFERROR(E18*((NETWORKDAYS.INTL(SUMMARRY!$B$1,SUMMARRY!$B$2,11))),"")</f>
        <v>3500000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381186</v>
      </c>
      <c r="N18" s="2">
        <v>1645479</v>
      </c>
      <c r="O18" s="2">
        <v>1894919</v>
      </c>
      <c r="P18" s="2">
        <v>1331276</v>
      </c>
      <c r="Q18" s="6">
        <f t="shared" si="1"/>
        <v>0.38036457142857144</v>
      </c>
      <c r="R18" s="6" t="str">
        <f t="shared" si="2"/>
        <v>OTHERS</v>
      </c>
      <c r="S18" s="2">
        <v>20619853.059999999</v>
      </c>
      <c r="T18" s="2">
        <v>50831.450000000004</v>
      </c>
      <c r="U18" s="6">
        <f t="shared" si="3"/>
        <v>2.4651703313350384E-3</v>
      </c>
      <c r="V18" s="2">
        <v>5379501</v>
      </c>
      <c r="W18" s="2">
        <v>1325693</v>
      </c>
      <c r="X18" s="2">
        <f t="shared" si="7"/>
        <v>0</v>
      </c>
      <c r="Y18" s="2">
        <v>174276</v>
      </c>
      <c r="Z18" s="2">
        <f t="shared" si="5"/>
        <v>1505552</v>
      </c>
      <c r="AA18" s="6">
        <f t="shared" si="6"/>
        <v>0.43015771428571431</v>
      </c>
    </row>
    <row r="19" spans="1:27" x14ac:dyDescent="0.25">
      <c r="A19" s="1" t="s">
        <v>70</v>
      </c>
      <c r="B19" s="1" t="s">
        <v>246</v>
      </c>
      <c r="C19" s="1" t="s">
        <v>220</v>
      </c>
      <c r="D19" s="1" t="s">
        <v>26</v>
      </c>
      <c r="E19" s="5">
        <f t="shared" si="0"/>
        <v>192307.69230769231</v>
      </c>
      <c r="F19" s="2">
        <v>5000000</v>
      </c>
      <c r="G19" s="2">
        <f>IFERROR(E19*((NETWORKDAYS.INTL(SUMMARRY!$B$1,SUMMARRY!$B$2,11))),"")</f>
        <v>5000000</v>
      </c>
      <c r="H19" s="2">
        <v>0</v>
      </c>
      <c r="I19" s="2">
        <v>0</v>
      </c>
      <c r="J19" s="2">
        <v>0</v>
      </c>
      <c r="K19" s="2">
        <v>0</v>
      </c>
      <c r="L19" s="2">
        <v>2326564</v>
      </c>
      <c r="M19" s="2">
        <v>2363410</v>
      </c>
      <c r="N19" s="2">
        <v>2382992</v>
      </c>
      <c r="O19" s="2">
        <v>3128435</v>
      </c>
      <c r="P19" s="2">
        <v>1861586</v>
      </c>
      <c r="Q19" s="6">
        <f t="shared" si="1"/>
        <v>0.37231720000000001</v>
      </c>
      <c r="R19" s="6" t="str">
        <f t="shared" si="2"/>
        <v>OTHERS</v>
      </c>
      <c r="S19" s="2">
        <v>190415895.03999999</v>
      </c>
      <c r="T19" s="2">
        <v>5537933.0100000007</v>
      </c>
      <c r="U19" s="6">
        <f t="shared" si="3"/>
        <v>2.9083354668667061E-2</v>
      </c>
      <c r="V19" s="2">
        <v>51986816.420000002</v>
      </c>
      <c r="W19" s="2">
        <v>1745165</v>
      </c>
      <c r="X19" s="2">
        <f t="shared" si="7"/>
        <v>31986.816420000003</v>
      </c>
      <c r="Y19" s="2">
        <v>1513897</v>
      </c>
      <c r="Z19" s="2">
        <f t="shared" si="5"/>
        <v>3375483</v>
      </c>
      <c r="AA19" s="6">
        <f t="shared" si="6"/>
        <v>0.67509660000000005</v>
      </c>
    </row>
    <row r="20" spans="1:27" x14ac:dyDescent="0.25">
      <c r="A20" s="1" t="s">
        <v>60</v>
      </c>
      <c r="B20" s="1" t="s">
        <v>115</v>
      </c>
      <c r="C20" s="1" t="s">
        <v>176</v>
      </c>
      <c r="D20" s="1" t="s">
        <v>17</v>
      </c>
      <c r="E20" s="5">
        <f t="shared" si="0"/>
        <v>192307.69230769231</v>
      </c>
      <c r="F20" s="2">
        <v>5000000</v>
      </c>
      <c r="G20" s="2">
        <f>IFERROR(E20*((NETWORKDAYS.INTL(SUMMARRY!$B$1,SUMMARRY!$B$2,11))),"")</f>
        <v>5000000</v>
      </c>
      <c r="H20" s="2">
        <v>3500000</v>
      </c>
      <c r="I20" s="2">
        <v>1618472.67</v>
      </c>
      <c r="J20" s="2">
        <v>1937341.67</v>
      </c>
      <c r="K20" s="2">
        <v>1669467.06</v>
      </c>
      <c r="L20" s="2">
        <v>3890465</v>
      </c>
      <c r="M20" s="2">
        <v>2146651</v>
      </c>
      <c r="N20" s="2">
        <v>1913755</v>
      </c>
      <c r="O20" s="2">
        <v>2295139</v>
      </c>
      <c r="P20" s="2">
        <v>1841098</v>
      </c>
      <c r="Q20" s="6">
        <f t="shared" si="1"/>
        <v>0.36821959999999998</v>
      </c>
      <c r="R20" s="6" t="str">
        <f t="shared" si="2"/>
        <v>OTHERS</v>
      </c>
      <c r="S20" s="2">
        <v>144866332.61999997</v>
      </c>
      <c r="T20" s="2">
        <v>790706.36</v>
      </c>
      <c r="U20" s="6">
        <f t="shared" si="3"/>
        <v>5.4581788998145494E-3</v>
      </c>
      <c r="V20" s="2">
        <v>39201059.920000002</v>
      </c>
      <c r="W20" s="2">
        <v>1471757.26</v>
      </c>
      <c r="X20" s="2">
        <f t="shared" si="7"/>
        <v>19201.059920000003</v>
      </c>
      <c r="Y20" s="2">
        <v>1801453</v>
      </c>
      <c r="Z20" s="2">
        <f t="shared" si="5"/>
        <v>3642551</v>
      </c>
      <c r="AA20" s="6">
        <f t="shared" si="6"/>
        <v>0.7285102</v>
      </c>
    </row>
    <row r="21" spans="1:27" x14ac:dyDescent="0.25">
      <c r="A21" s="1" t="s">
        <v>62</v>
      </c>
      <c r="B21" s="1" t="s">
        <v>133</v>
      </c>
      <c r="C21" s="1" t="s">
        <v>178</v>
      </c>
      <c r="D21" s="1" t="s">
        <v>17</v>
      </c>
      <c r="E21" s="5">
        <f t="shared" si="0"/>
        <v>192307.69230769231</v>
      </c>
      <c r="F21" s="2">
        <v>5000000</v>
      </c>
      <c r="G21" s="2">
        <f>IFERROR(E21*((NETWORKDAYS.INTL(SUMMARRY!$B$1,SUMMARRY!$B$2,11))),"")</f>
        <v>5000000</v>
      </c>
      <c r="H21" s="2">
        <v>3500000</v>
      </c>
      <c r="I21" s="2">
        <v>1274193.28</v>
      </c>
      <c r="J21" s="2">
        <v>1130009</v>
      </c>
      <c r="K21" s="2">
        <v>1000174</v>
      </c>
      <c r="L21" s="2">
        <v>3939393</v>
      </c>
      <c r="M21" s="2">
        <v>1130752</v>
      </c>
      <c r="N21" s="2">
        <v>1009346</v>
      </c>
      <c r="O21" s="2">
        <v>3414080</v>
      </c>
      <c r="P21" s="2">
        <v>1839130</v>
      </c>
      <c r="Q21" s="6">
        <f t="shared" si="1"/>
        <v>0.36782599999999999</v>
      </c>
      <c r="R21" s="6" t="str">
        <f t="shared" si="2"/>
        <v>OTHERS</v>
      </c>
      <c r="S21" s="2">
        <v>76102036.390000001</v>
      </c>
      <c r="T21" s="2">
        <v>240132.25</v>
      </c>
      <c r="U21" s="6">
        <f t="shared" si="3"/>
        <v>3.1553984806581862E-3</v>
      </c>
      <c r="V21" s="2">
        <v>19417953.060000002</v>
      </c>
      <c r="W21" s="2">
        <v>1743531.06</v>
      </c>
      <c r="X21" s="2">
        <f t="shared" si="7"/>
        <v>0</v>
      </c>
      <c r="Y21" s="2">
        <v>901882</v>
      </c>
      <c r="Z21" s="2">
        <f t="shared" si="5"/>
        <v>2741012</v>
      </c>
      <c r="AA21" s="6">
        <f t="shared" si="6"/>
        <v>0.54820239999999998</v>
      </c>
    </row>
    <row r="22" spans="1:27" x14ac:dyDescent="0.25">
      <c r="A22" s="1" t="s">
        <v>679</v>
      </c>
      <c r="B22" s="1" t="s">
        <v>678</v>
      </c>
      <c r="C22" s="1" t="s">
        <v>698</v>
      </c>
      <c r="D22" s="1" t="s">
        <v>12</v>
      </c>
      <c r="E22" s="5">
        <f t="shared" si="0"/>
        <v>134615.38461538462</v>
      </c>
      <c r="F22" s="2">
        <v>3500000</v>
      </c>
      <c r="G22" s="2">
        <f>IFERROR(E22*((NETWORKDAYS.INTL(SUMMARRY!$B$1,SUMMARRY!$B$2,11))),"")</f>
        <v>3500000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1198100</v>
      </c>
      <c r="Q22" s="6">
        <f t="shared" si="1"/>
        <v>0.34231428571428574</v>
      </c>
      <c r="R22" s="2" t="str">
        <f t="shared" si="2"/>
        <v>OTHERS</v>
      </c>
      <c r="S22" s="2">
        <v>5868361</v>
      </c>
      <c r="T22" s="2">
        <v>0</v>
      </c>
      <c r="U22" s="6">
        <f t="shared" si="3"/>
        <v>0</v>
      </c>
      <c r="V22" s="2">
        <v>1540501</v>
      </c>
      <c r="W22" s="2">
        <v>1198100</v>
      </c>
      <c r="Y22" s="2">
        <v>342409</v>
      </c>
      <c r="Z22" s="2">
        <f t="shared" si="5"/>
        <v>1540509</v>
      </c>
      <c r="AA22" s="6">
        <f t="shared" si="6"/>
        <v>0.44014542857142858</v>
      </c>
    </row>
    <row r="23" spans="1:27" x14ac:dyDescent="0.25">
      <c r="A23" s="1" t="s">
        <v>69</v>
      </c>
      <c r="B23" s="1" t="s">
        <v>124</v>
      </c>
      <c r="C23" s="1" t="s">
        <v>183</v>
      </c>
      <c r="D23" s="1" t="s">
        <v>24</v>
      </c>
      <c r="E23" s="5">
        <f t="shared" si="0"/>
        <v>192307.69230769231</v>
      </c>
      <c r="F23" s="2">
        <v>5000000</v>
      </c>
      <c r="G23" s="2">
        <f>IFERROR(E23*((NETWORKDAYS.INTL(SUMMARRY!$B$1,SUMMARRY!$B$2,11))),"")</f>
        <v>5000000</v>
      </c>
      <c r="H23" s="2">
        <v>3500000</v>
      </c>
      <c r="I23" s="2">
        <v>1493313.38</v>
      </c>
      <c r="J23" s="2">
        <v>2397105.12</v>
      </c>
      <c r="K23" s="2">
        <v>1988798</v>
      </c>
      <c r="L23" s="2">
        <v>3347992</v>
      </c>
      <c r="M23" s="2">
        <v>4697091</v>
      </c>
      <c r="N23" s="2">
        <v>3803871</v>
      </c>
      <c r="O23" s="2">
        <v>4750530</v>
      </c>
      <c r="P23" s="2">
        <v>1584586</v>
      </c>
      <c r="Q23" s="6">
        <f t="shared" si="1"/>
        <v>0.31691720000000001</v>
      </c>
      <c r="R23" s="6" t="str">
        <f t="shared" si="2"/>
        <v>OTHERS</v>
      </c>
      <c r="S23" s="2">
        <v>204956794.05999994</v>
      </c>
      <c r="T23" s="2">
        <v>279616.74999999994</v>
      </c>
      <c r="U23" s="6">
        <f t="shared" si="3"/>
        <v>1.3642716811726851E-3</v>
      </c>
      <c r="V23" s="2">
        <v>55588658.980000004</v>
      </c>
      <c r="W23" s="2">
        <v>1467305</v>
      </c>
      <c r="X23" s="2">
        <f>IF(W23&gt;(0.5*F23),(W23-0.5*F23)*0.02,0)+IF(AND(V23&gt;20000000,U23&lt;5%),0.1%*(V23-20000000),0)</f>
        <v>35588.658980000007</v>
      </c>
      <c r="Y23" s="2">
        <v>1523286</v>
      </c>
      <c r="Z23" s="2">
        <f t="shared" si="5"/>
        <v>3107872</v>
      </c>
      <c r="AA23" s="6">
        <f t="shared" si="6"/>
        <v>0.62157439999999997</v>
      </c>
    </row>
    <row r="24" spans="1:27" x14ac:dyDescent="0.25">
      <c r="A24" s="1" t="s">
        <v>68</v>
      </c>
      <c r="B24" s="1" t="s">
        <v>147</v>
      </c>
      <c r="C24" s="1" t="s">
        <v>182</v>
      </c>
      <c r="D24" s="1" t="s">
        <v>20</v>
      </c>
      <c r="E24" s="5">
        <f t="shared" si="0"/>
        <v>192307.69230769231</v>
      </c>
      <c r="F24" s="2">
        <v>5000000</v>
      </c>
      <c r="G24" s="2">
        <f>IFERROR(E24*((NETWORKDAYS.INTL(SUMMARRY!$B$1,SUMMARRY!$B$2,11))),"")</f>
        <v>5000000</v>
      </c>
      <c r="H24" s="2">
        <v>0</v>
      </c>
      <c r="I24" s="2">
        <v>0</v>
      </c>
      <c r="J24" s="2">
        <v>0</v>
      </c>
      <c r="K24" s="2">
        <v>0</v>
      </c>
      <c r="L24" s="2">
        <v>21038</v>
      </c>
      <c r="M24" s="2">
        <v>130962</v>
      </c>
      <c r="N24" s="2">
        <v>3334179</v>
      </c>
      <c r="O24" s="2">
        <v>1666841</v>
      </c>
      <c r="P24" s="2">
        <v>1539706</v>
      </c>
      <c r="Q24" s="6">
        <f t="shared" si="1"/>
        <v>0.30794120000000003</v>
      </c>
      <c r="R24" s="6" t="str">
        <f t="shared" si="2"/>
        <v>OTHERS</v>
      </c>
      <c r="S24" s="2">
        <v>23591382.109999996</v>
      </c>
      <c r="T24" s="2">
        <v>2868</v>
      </c>
      <c r="U24" s="6">
        <f t="shared" si="3"/>
        <v>1.2156981675034216E-4</v>
      </c>
      <c r="V24" s="2">
        <v>6244007</v>
      </c>
      <c r="W24" s="2">
        <v>622668.74</v>
      </c>
      <c r="X24" s="2">
        <f>IF(W24&gt;(0.5*F24),(W24-0.5*F24)*0.02,0)+IF(AND(V24&gt;20000000,U24&lt;5%),0.1%*(V24-20000000),0)</f>
        <v>0</v>
      </c>
      <c r="Y24" s="2">
        <v>0</v>
      </c>
      <c r="Z24" s="2">
        <f t="shared" si="5"/>
        <v>1539706</v>
      </c>
      <c r="AA24" s="6">
        <f t="shared" si="6"/>
        <v>0.30794120000000003</v>
      </c>
    </row>
    <row r="25" spans="1:27" x14ac:dyDescent="0.25">
      <c r="A25" s="1" t="s">
        <v>78</v>
      </c>
      <c r="B25" s="1" t="s">
        <v>135</v>
      </c>
      <c r="C25" s="1" t="s">
        <v>190</v>
      </c>
      <c r="D25" s="1" t="s">
        <v>35</v>
      </c>
      <c r="E25" s="5">
        <f t="shared" si="0"/>
        <v>230769.23076923078</v>
      </c>
      <c r="F25" s="2">
        <v>6000000</v>
      </c>
      <c r="G25" s="2">
        <f>IFERROR(E25*((NETWORKDAYS.INTL(SUMMARRY!$B$1,SUMMARRY!$B$2,11))),"")</f>
        <v>6000000</v>
      </c>
      <c r="H25" s="2">
        <v>5000000</v>
      </c>
      <c r="I25" s="2">
        <v>1509790.54</v>
      </c>
      <c r="J25" s="2">
        <v>278026</v>
      </c>
      <c r="K25" s="2">
        <v>335535</v>
      </c>
      <c r="L25" s="2">
        <v>1936657</v>
      </c>
      <c r="M25" s="2">
        <v>1593326</v>
      </c>
      <c r="N25" s="2">
        <v>3534822</v>
      </c>
      <c r="O25" s="2">
        <v>2055412</v>
      </c>
      <c r="P25" s="2">
        <v>1495598</v>
      </c>
      <c r="Q25" s="6">
        <f t="shared" si="1"/>
        <v>0.24926633333333334</v>
      </c>
      <c r="R25" s="6" t="str">
        <f t="shared" si="2"/>
        <v>OTHERS</v>
      </c>
      <c r="S25" s="2">
        <v>66490356.190000005</v>
      </c>
      <c r="T25" s="2">
        <v>296042.54000000004</v>
      </c>
      <c r="U25" s="6">
        <f t="shared" si="3"/>
        <v>4.452413206421116E-3</v>
      </c>
      <c r="V25" s="2">
        <v>16657738.780000001</v>
      </c>
      <c r="W25" s="2">
        <v>1422189</v>
      </c>
      <c r="X25" s="2">
        <f>IF(W25&gt;(0.5*F25),(W25-0.5*F25)*0.02,0)+IF(AND(V25&gt;20000000,U25&lt;5%),0.1%*(V25-20000000),0)</f>
        <v>0</v>
      </c>
      <c r="Y25" s="2">
        <v>1033541</v>
      </c>
      <c r="Z25" s="2">
        <f t="shared" si="5"/>
        <v>2529139</v>
      </c>
      <c r="AA25" s="6">
        <f t="shared" si="6"/>
        <v>0.42152316666666667</v>
      </c>
    </row>
    <row r="26" spans="1:27" x14ac:dyDescent="0.25">
      <c r="A26" s="1" t="s">
        <v>67</v>
      </c>
      <c r="B26" s="1" t="s">
        <v>145</v>
      </c>
      <c r="C26" s="1" t="s">
        <v>181</v>
      </c>
      <c r="D26" s="1" t="s">
        <v>20</v>
      </c>
      <c r="E26" s="5">
        <f t="shared" si="0"/>
        <v>192307.69230769231</v>
      </c>
      <c r="F26" s="2">
        <v>5000000</v>
      </c>
      <c r="G26" s="2">
        <f>IFERROR(E26*((NETWORKDAYS.INTL(SUMMARRY!$B$1,SUMMARRY!$B$2,11))),"")</f>
        <v>5000000</v>
      </c>
      <c r="H26" s="2">
        <v>0</v>
      </c>
      <c r="I26" s="2">
        <v>0</v>
      </c>
      <c r="J26" s="2">
        <v>0</v>
      </c>
      <c r="K26" s="2">
        <v>0</v>
      </c>
      <c r="L26" s="2">
        <v>30000</v>
      </c>
      <c r="M26" s="2">
        <v>715370</v>
      </c>
      <c r="N26" s="2">
        <v>1871565</v>
      </c>
      <c r="O26" s="2">
        <v>0</v>
      </c>
      <c r="P26" s="2">
        <v>1131004</v>
      </c>
      <c r="Q26" s="6">
        <f t="shared" si="1"/>
        <v>0.22620080000000001</v>
      </c>
      <c r="R26" s="6" t="str">
        <f t="shared" si="2"/>
        <v>OTHERS</v>
      </c>
      <c r="S26" s="2">
        <v>14343304.17</v>
      </c>
      <c r="T26" s="2">
        <v>8000</v>
      </c>
      <c r="U26" s="6">
        <f t="shared" si="3"/>
        <v>5.57751540731636E-4</v>
      </c>
      <c r="V26" s="2">
        <v>3837132</v>
      </c>
      <c r="W26" s="2">
        <v>914732.19</v>
      </c>
      <c r="X26" s="2">
        <f>IF(W26&gt;(0.5*F26),(W26-0.5*F26)*0.02,0)+IF(AND(V26&gt;20000000,U26&lt;5%),0.1%*(V26-20000000),0)</f>
        <v>0</v>
      </c>
      <c r="Y26" s="2">
        <v>0</v>
      </c>
      <c r="Z26" s="2">
        <f t="shared" si="5"/>
        <v>1131004</v>
      </c>
      <c r="AA26" s="6">
        <f t="shared" si="6"/>
        <v>0.22620080000000001</v>
      </c>
    </row>
    <row r="27" spans="1:27" x14ac:dyDescent="0.25">
      <c r="A27" s="1" t="s">
        <v>683</v>
      </c>
      <c r="B27" s="1" t="s">
        <v>682</v>
      </c>
      <c r="C27" s="1" t="s">
        <v>700</v>
      </c>
      <c r="D27" s="1" t="s">
        <v>19</v>
      </c>
      <c r="E27" s="5">
        <f t="shared" si="0"/>
        <v>134615.38461538462</v>
      </c>
      <c r="F27" s="2">
        <v>3500000</v>
      </c>
      <c r="G27" s="2">
        <f>IFERROR(E27*((NETWORKDAYS.INTL(SUMMARRY!$B$1,SUMMARRY!$B$2,11))),"")</f>
        <v>3500000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768144</v>
      </c>
      <c r="Q27" s="6">
        <f t="shared" si="1"/>
        <v>0.2194697142857143</v>
      </c>
      <c r="R27" s="2" t="str">
        <f t="shared" si="2"/>
        <v>OTHERS</v>
      </c>
      <c r="S27" s="2">
        <v>4098574.59</v>
      </c>
      <c r="T27" s="2">
        <v>0</v>
      </c>
      <c r="U27" s="6">
        <f t="shared" si="3"/>
        <v>0</v>
      </c>
      <c r="V27" s="2">
        <v>1102244</v>
      </c>
      <c r="W27" s="2">
        <v>661457.32000000007</v>
      </c>
      <c r="Y27" s="2">
        <v>229164</v>
      </c>
      <c r="Z27" s="2">
        <f t="shared" si="5"/>
        <v>997308</v>
      </c>
      <c r="AA27" s="6">
        <f t="shared" si="6"/>
        <v>0.28494514285714284</v>
      </c>
    </row>
    <row r="28" spans="1:27" x14ac:dyDescent="0.25">
      <c r="A28" s="1" t="s">
        <v>52</v>
      </c>
      <c r="B28" s="1" t="s">
        <v>108</v>
      </c>
      <c r="C28" s="1" t="s">
        <v>170</v>
      </c>
      <c r="D28" s="1" t="s">
        <v>4</v>
      </c>
      <c r="E28" s="5">
        <f t="shared" si="0"/>
        <v>192307.69230769231</v>
      </c>
      <c r="F28" s="2">
        <v>5000000</v>
      </c>
      <c r="G28" s="2">
        <f>IFERROR(E28*((NETWORKDAYS.INTL(SUMMARRY!$B$1,SUMMARRY!$B$2,11))),"")</f>
        <v>5000000</v>
      </c>
      <c r="H28" s="2">
        <v>5000000</v>
      </c>
      <c r="I28" s="2">
        <v>1064830</v>
      </c>
      <c r="J28" s="2">
        <v>632339</v>
      </c>
      <c r="K28" s="2">
        <v>2304876</v>
      </c>
      <c r="L28" s="2">
        <v>5243756</v>
      </c>
      <c r="M28" s="2">
        <v>838009</v>
      </c>
      <c r="N28" s="2">
        <v>1942644</v>
      </c>
      <c r="O28" s="2">
        <v>2248127</v>
      </c>
      <c r="P28" s="2">
        <v>936358</v>
      </c>
      <c r="Q28" s="6">
        <f t="shared" si="1"/>
        <v>0.18727160000000001</v>
      </c>
      <c r="R28" s="6" t="str">
        <f t="shared" si="2"/>
        <v>OTHERS</v>
      </c>
      <c r="S28" s="2">
        <v>158342500.61000001</v>
      </c>
      <c r="T28" s="2">
        <v>1533895.9999999998</v>
      </c>
      <c r="U28" s="6">
        <f t="shared" si="3"/>
        <v>9.6872033351172657E-3</v>
      </c>
      <c r="V28" s="2">
        <v>42921062.519999996</v>
      </c>
      <c r="W28" s="2">
        <v>936358</v>
      </c>
      <c r="X28" s="2">
        <f>IF(W28&gt;(0.5*F28),(W28-0.5*F28)*0.02,0)+IF(AND(V28&gt;20000000,U28&lt;5%),0.1%*(V28-20000000),0)</f>
        <v>22921.062519999996</v>
      </c>
      <c r="Y28" s="2">
        <v>359315</v>
      </c>
      <c r="Z28" s="2">
        <f t="shared" si="5"/>
        <v>1295673</v>
      </c>
      <c r="AA28" s="6">
        <f t="shared" si="6"/>
        <v>0.25913459999999999</v>
      </c>
    </row>
    <row r="29" spans="1:27" x14ac:dyDescent="0.25">
      <c r="A29" s="1" t="s">
        <v>75</v>
      </c>
      <c r="B29" s="1" t="s">
        <v>247</v>
      </c>
      <c r="C29" s="1" t="s">
        <v>188</v>
      </c>
      <c r="D29" s="1" t="s">
        <v>30</v>
      </c>
      <c r="E29" s="5">
        <f t="shared" si="0"/>
        <v>134615.38461538462</v>
      </c>
      <c r="F29" s="2">
        <v>3500000</v>
      </c>
      <c r="G29" s="2">
        <f>IFERROR(E29*((NETWORKDAYS.INTL(SUMMARRY!$B$1,SUMMARRY!$B$2,11))),"")</f>
        <v>3500000</v>
      </c>
      <c r="H29" s="2">
        <v>0</v>
      </c>
      <c r="I29" s="2">
        <v>0</v>
      </c>
      <c r="J29" s="2">
        <v>0</v>
      </c>
      <c r="K29" s="2">
        <v>0</v>
      </c>
      <c r="L29" s="2">
        <v>1846678</v>
      </c>
      <c r="M29" s="2">
        <v>1583684</v>
      </c>
      <c r="N29" s="2">
        <v>38816</v>
      </c>
      <c r="O29" s="2">
        <v>1117898</v>
      </c>
      <c r="P29" s="2">
        <v>626039</v>
      </c>
      <c r="Q29" s="6">
        <f t="shared" si="1"/>
        <v>0.1788682857142857</v>
      </c>
      <c r="R29" s="6" t="str">
        <f t="shared" si="2"/>
        <v>OTHERS</v>
      </c>
      <c r="S29" s="2">
        <v>34330394.829999998</v>
      </c>
      <c r="T29" s="2">
        <v>75527.95</v>
      </c>
      <c r="U29" s="6">
        <f t="shared" si="3"/>
        <v>2.2000314990260192E-3</v>
      </c>
      <c r="V29" s="2">
        <v>9205711.6400000006</v>
      </c>
      <c r="W29" s="2">
        <v>626039</v>
      </c>
      <c r="X29" s="2">
        <f>IF(W29&gt;(0.5*F29),(W29-0.5*F29)*0.02,0)+IF(AND(V29&gt;20000000,U29&lt;5%),0.1%*(V29-20000000),0)</f>
        <v>0</v>
      </c>
      <c r="Y29" s="2">
        <v>1153641</v>
      </c>
      <c r="Z29" s="2">
        <f t="shared" si="5"/>
        <v>1779680</v>
      </c>
      <c r="AA29" s="6">
        <f t="shared" si="6"/>
        <v>0.50848000000000004</v>
      </c>
    </row>
    <row r="30" spans="1:27" x14ac:dyDescent="0.25">
      <c r="A30" s="1" t="s">
        <v>53</v>
      </c>
      <c r="B30" s="1" t="s">
        <v>109</v>
      </c>
      <c r="C30" s="1" t="s">
        <v>171</v>
      </c>
      <c r="D30" s="1" t="s">
        <v>9</v>
      </c>
      <c r="E30" s="5">
        <f t="shared" si="0"/>
        <v>153846.15384615384</v>
      </c>
      <c r="F30" s="2">
        <v>4000000</v>
      </c>
      <c r="G30" s="2">
        <f>IFERROR(E30*((NETWORKDAYS.INTL(SUMMARRY!$B$1,SUMMARRY!$B$2,11))),"")</f>
        <v>4000000</v>
      </c>
      <c r="H30" s="2">
        <v>3500000</v>
      </c>
      <c r="I30" s="2">
        <v>374262.85</v>
      </c>
      <c r="J30" s="2">
        <v>1713436</v>
      </c>
      <c r="K30" s="2">
        <v>607509.94999999995</v>
      </c>
      <c r="L30" s="2">
        <v>2136469</v>
      </c>
      <c r="M30" s="2">
        <v>2582209</v>
      </c>
      <c r="N30" s="2">
        <v>379270</v>
      </c>
      <c r="O30" s="2">
        <v>1736497</v>
      </c>
      <c r="P30" s="2">
        <v>694318</v>
      </c>
      <c r="Q30" s="6">
        <f t="shared" si="1"/>
        <v>0.1735795</v>
      </c>
      <c r="R30" s="6" t="str">
        <f t="shared" si="2"/>
        <v>OTHERS</v>
      </c>
      <c r="S30" s="2">
        <v>130375031.21000001</v>
      </c>
      <c r="T30" s="2">
        <v>538754.91999999993</v>
      </c>
      <c r="U30" s="6">
        <f t="shared" si="3"/>
        <v>4.1323473904463113E-3</v>
      </c>
      <c r="V30" s="2">
        <v>35160645.770000003</v>
      </c>
      <c r="W30" s="2">
        <v>104559</v>
      </c>
      <c r="X30" s="2">
        <f>IF(W30&gt;(0.5*F30),(W30-0.5*F30)*0.02,0)+IF(AND(V30&gt;20000000,U30&lt;5%),0.1%*(V30-20000000),0)</f>
        <v>15160.645770000003</v>
      </c>
      <c r="Y30" s="2">
        <v>0</v>
      </c>
      <c r="Z30" s="2">
        <f t="shared" si="5"/>
        <v>694318</v>
      </c>
      <c r="AA30" s="6">
        <f t="shared" si="6"/>
        <v>0.1735795</v>
      </c>
    </row>
    <row r="31" spans="1:27" x14ac:dyDescent="0.25">
      <c r="A31" s="1" t="s">
        <v>600</v>
      </c>
      <c r="B31" s="1" t="s">
        <v>603</v>
      </c>
      <c r="C31" s="1" t="s">
        <v>640</v>
      </c>
      <c r="D31" s="1" t="s">
        <v>39</v>
      </c>
      <c r="E31" s="5">
        <f t="shared" si="0"/>
        <v>192307.69230769231</v>
      </c>
      <c r="F31" s="2">
        <v>5000000</v>
      </c>
      <c r="G31" s="2">
        <f>IFERROR(E31*((NETWORKDAYS.INTL(SUMMARRY!$B$1,SUMMARRY!$B$2,11))),"")</f>
        <v>5000000</v>
      </c>
      <c r="O31" s="2">
        <v>267121</v>
      </c>
      <c r="P31" s="2">
        <v>601254</v>
      </c>
      <c r="Q31" s="6">
        <f t="shared" si="1"/>
        <v>0.1202508</v>
      </c>
      <c r="R31" s="2" t="str">
        <f t="shared" si="2"/>
        <v>OTHERS</v>
      </c>
      <c r="S31" s="2">
        <v>1020754.3</v>
      </c>
      <c r="T31" s="2">
        <v>0</v>
      </c>
      <c r="U31" s="6">
        <f t="shared" si="3"/>
        <v>0</v>
      </c>
      <c r="V31" s="2">
        <v>266179</v>
      </c>
      <c r="W31" s="2">
        <v>601254</v>
      </c>
      <c r="Y31" s="2">
        <v>0</v>
      </c>
      <c r="Z31" s="2">
        <f t="shared" si="5"/>
        <v>601254</v>
      </c>
      <c r="AA31" s="6">
        <f t="shared" si="6"/>
        <v>0.1202508</v>
      </c>
    </row>
    <row r="32" spans="1:27" x14ac:dyDescent="0.25">
      <c r="A32" s="1" t="s">
        <v>689</v>
      </c>
      <c r="B32" s="1" t="s">
        <v>688</v>
      </c>
      <c r="C32" s="1" t="s">
        <v>703</v>
      </c>
      <c r="D32" s="1" t="s">
        <v>26</v>
      </c>
      <c r="E32" s="5">
        <f t="shared" si="0"/>
        <v>192307.69230769231</v>
      </c>
      <c r="F32" s="2">
        <v>5000000</v>
      </c>
      <c r="G32" s="2">
        <f>IFERROR(E32*((NETWORKDAYS.INTL(SUMMARRY!$B$1,SUMMARRY!$B$2,11))),"")</f>
        <v>5000000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313628</v>
      </c>
      <c r="Q32" s="6">
        <f t="shared" si="1"/>
        <v>6.2725600000000006E-2</v>
      </c>
      <c r="R32" s="2" t="str">
        <f t="shared" si="2"/>
        <v>OTHERS</v>
      </c>
      <c r="S32" s="2">
        <v>7069808.46</v>
      </c>
      <c r="T32" s="2">
        <v>0</v>
      </c>
      <c r="U32" s="6">
        <f t="shared" si="3"/>
        <v>0</v>
      </c>
      <c r="V32" s="2">
        <v>1862060</v>
      </c>
      <c r="W32" s="2">
        <v>167687</v>
      </c>
      <c r="Y32" s="2">
        <v>1478222</v>
      </c>
      <c r="Z32" s="2">
        <f t="shared" si="5"/>
        <v>1791850</v>
      </c>
      <c r="AA32" s="6">
        <f t="shared" si="6"/>
        <v>0.35837000000000002</v>
      </c>
    </row>
    <row r="33" spans="1:27" x14ac:dyDescent="0.25">
      <c r="A33" s="1" t="s">
        <v>66</v>
      </c>
      <c r="B33" s="1" t="s">
        <v>146</v>
      </c>
      <c r="C33" s="1" t="s">
        <v>180</v>
      </c>
      <c r="D33" s="1" t="s">
        <v>20</v>
      </c>
      <c r="E33" s="5">
        <f t="shared" si="0"/>
        <v>192307.69230769231</v>
      </c>
      <c r="F33" s="2">
        <v>5000000</v>
      </c>
      <c r="G33" s="2">
        <f>IFERROR(E33*((NETWORKDAYS.INTL(SUMMARRY!$B$1,SUMMARRY!$B$2,11))),"")</f>
        <v>5000000</v>
      </c>
      <c r="H33" s="2">
        <v>0</v>
      </c>
      <c r="I33" s="2">
        <v>0</v>
      </c>
      <c r="J33" s="2">
        <v>0</v>
      </c>
      <c r="K33" s="2">
        <v>0</v>
      </c>
      <c r="L33" s="2">
        <v>100000</v>
      </c>
      <c r="M33" s="2">
        <v>1034330</v>
      </c>
      <c r="N33" s="2">
        <v>342468</v>
      </c>
      <c r="O33" s="2">
        <v>451054</v>
      </c>
      <c r="P33" s="2">
        <v>215256</v>
      </c>
      <c r="Q33" s="6">
        <f t="shared" si="1"/>
        <v>4.3051199999999998E-2</v>
      </c>
      <c r="R33" s="6" t="str">
        <f t="shared" si="2"/>
        <v>OTHERS</v>
      </c>
      <c r="S33" s="2">
        <v>10368621.68</v>
      </c>
      <c r="T33" s="2">
        <v>13800</v>
      </c>
      <c r="U33" s="6">
        <f t="shared" si="3"/>
        <v>1.3309387135436502E-3</v>
      </c>
      <c r="V33" s="2">
        <v>2743898</v>
      </c>
      <c r="W33" s="2">
        <v>215256</v>
      </c>
      <c r="X33" s="2">
        <f>IF(W33&gt;(0.5*F33),(W33-0.5*F33)*0.02,0)+IF(AND(V33&gt;20000000,U33&lt;5%),0.1%*(V33-20000000),0)</f>
        <v>0</v>
      </c>
      <c r="Y33" s="2">
        <v>0</v>
      </c>
      <c r="Z33" s="2">
        <f t="shared" si="5"/>
        <v>215256</v>
      </c>
      <c r="AA33" s="6">
        <f t="shared" si="6"/>
        <v>4.3051199999999998E-2</v>
      </c>
    </row>
    <row r="34" spans="1:27" x14ac:dyDescent="0.25">
      <c r="A34" s="1" t="s">
        <v>681</v>
      </c>
      <c r="B34" s="1" t="s">
        <v>680</v>
      </c>
      <c r="C34" s="1" t="s">
        <v>699</v>
      </c>
      <c r="D34" s="1" t="s">
        <v>590</v>
      </c>
      <c r="E34" s="5">
        <f t="shared" si="0"/>
        <v>192307.69230769231</v>
      </c>
      <c r="F34" s="2">
        <v>5000000</v>
      </c>
      <c r="G34" s="2">
        <f>IFERROR(E34*((NETWORKDAYS.INTL(SUMMARRY!$B$1,SUMMARRY!$B$2,11))),"")</f>
        <v>5000000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85021</v>
      </c>
      <c r="Q34" s="6">
        <f t="shared" si="1"/>
        <v>1.7004200000000001E-2</v>
      </c>
      <c r="R34" s="2" t="str">
        <f t="shared" si="2"/>
        <v>OTHERS</v>
      </c>
      <c r="S34" s="2">
        <v>301821</v>
      </c>
      <c r="T34" s="2">
        <v>0</v>
      </c>
      <c r="U34" s="6">
        <f t="shared" si="3"/>
        <v>0</v>
      </c>
      <c r="V34" s="2">
        <v>85017</v>
      </c>
      <c r="W34" s="2">
        <v>85021</v>
      </c>
      <c r="Y34" s="2">
        <v>0</v>
      </c>
      <c r="Z34" s="2">
        <f t="shared" si="5"/>
        <v>85021</v>
      </c>
      <c r="AA34" s="6">
        <f t="shared" si="6"/>
        <v>1.7004200000000001E-2</v>
      </c>
    </row>
    <row r="35" spans="1:27" x14ac:dyDescent="0.25">
      <c r="A35" s="1" t="s">
        <v>696</v>
      </c>
      <c r="B35" s="1" t="s">
        <v>695</v>
      </c>
      <c r="C35" s="1" t="s">
        <v>705</v>
      </c>
      <c r="D35" s="1" t="s">
        <v>35</v>
      </c>
      <c r="E35" s="5">
        <f t="shared" si="0"/>
        <v>134615.38461538462</v>
      </c>
      <c r="F35" s="2">
        <v>3500000</v>
      </c>
      <c r="G35" s="2">
        <f>IFERROR(E35*((NETWORKDAYS.INTL(SUMMARRY!$B$1,SUMMARRY!$B$2,11))),"")</f>
        <v>3500000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35000</v>
      </c>
      <c r="Q35" s="6">
        <f t="shared" si="1"/>
        <v>0.01</v>
      </c>
      <c r="R35" s="2" t="str">
        <f t="shared" si="2"/>
        <v>OTHERS</v>
      </c>
      <c r="S35" s="2">
        <v>125720</v>
      </c>
      <c r="T35" s="2">
        <v>0</v>
      </c>
      <c r="U35" s="6">
        <f t="shared" si="3"/>
        <v>0</v>
      </c>
      <c r="V35" s="2">
        <v>35000</v>
      </c>
      <c r="W35" s="2">
        <v>35000</v>
      </c>
      <c r="Y35" s="2">
        <v>0</v>
      </c>
      <c r="Z35" s="2">
        <f t="shared" si="5"/>
        <v>35000</v>
      </c>
      <c r="AA35" s="6">
        <f t="shared" si="6"/>
        <v>0.01</v>
      </c>
    </row>
    <row r="36" spans="1:27" x14ac:dyDescent="0.25">
      <c r="A36" s="1" t="s">
        <v>685</v>
      </c>
      <c r="B36" s="1" t="s">
        <v>684</v>
      </c>
      <c r="C36" s="1" t="s">
        <v>701</v>
      </c>
      <c r="D36" s="1" t="s">
        <v>24</v>
      </c>
      <c r="E36" s="5">
        <f t="shared" si="0"/>
        <v>192307.69230769231</v>
      </c>
      <c r="F36" s="2">
        <v>5000000</v>
      </c>
      <c r="G36" s="2">
        <f>IFERROR(E36*((NETWORKDAYS.INTL(SUMMARRY!$B$1,SUMMARRY!$B$2,11))),"")</f>
        <v>5000000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36892</v>
      </c>
      <c r="Q36" s="6">
        <f t="shared" si="1"/>
        <v>7.3784000000000002E-3</v>
      </c>
      <c r="R36" s="2" t="str">
        <f t="shared" si="2"/>
        <v>OTHERS</v>
      </c>
      <c r="S36" s="2">
        <v>3483596</v>
      </c>
      <c r="T36" s="2">
        <v>0</v>
      </c>
      <c r="U36" s="6">
        <f t="shared" si="3"/>
        <v>0</v>
      </c>
      <c r="V36" s="2">
        <v>907076</v>
      </c>
      <c r="W36" s="2">
        <v>36892</v>
      </c>
      <c r="Y36" s="2">
        <v>917129</v>
      </c>
      <c r="Z36" s="2">
        <f t="shared" si="5"/>
        <v>954021</v>
      </c>
      <c r="AA36" s="6">
        <f t="shared" si="6"/>
        <v>0.19080420000000001</v>
      </c>
    </row>
    <row r="37" spans="1:27" x14ac:dyDescent="0.25">
      <c r="A37" s="1" t="s">
        <v>59</v>
      </c>
      <c r="B37" s="1" t="s">
        <v>142</v>
      </c>
      <c r="C37" s="1" t="s">
        <v>175</v>
      </c>
      <c r="D37" s="1" t="s">
        <v>13</v>
      </c>
      <c r="E37" s="5">
        <f t="shared" si="0"/>
        <v>153846.15384615384</v>
      </c>
      <c r="F37" s="2">
        <v>4000000</v>
      </c>
      <c r="G37" s="2">
        <f>IFERROR(E37*((NETWORKDAYS.INTL(SUMMARRY!$B$1,SUMMARRY!$B$2,11))),"")</f>
        <v>4000000</v>
      </c>
      <c r="H37" s="2">
        <v>0</v>
      </c>
      <c r="I37" s="2">
        <v>0</v>
      </c>
      <c r="J37" s="2">
        <v>0</v>
      </c>
      <c r="K37" s="2">
        <v>0</v>
      </c>
      <c r="L37" s="2">
        <v>88294</v>
      </c>
      <c r="M37" s="2">
        <v>246779</v>
      </c>
      <c r="N37" s="2">
        <v>1831996</v>
      </c>
      <c r="O37" s="2">
        <v>2068229</v>
      </c>
      <c r="P37" s="2">
        <v>0</v>
      </c>
      <c r="Q37" s="6">
        <f t="shared" si="1"/>
        <v>0</v>
      </c>
      <c r="R37" s="6" t="str">
        <f t="shared" si="2"/>
        <v>OTHERS</v>
      </c>
      <c r="S37" s="2">
        <v>27696881.009999998</v>
      </c>
      <c r="T37" s="2">
        <v>77535.7</v>
      </c>
      <c r="U37" s="6">
        <f t="shared" si="3"/>
        <v>2.7994379573644274E-3</v>
      </c>
      <c r="V37" s="2">
        <v>7262450</v>
      </c>
      <c r="W37" s="2">
        <v>0</v>
      </c>
      <c r="X37" s="2">
        <f>IF(W37&gt;(0.5*F37),(W37-0.5*F37)*0.02,0)+IF(AND(V37&gt;20000000,U37&lt;5%),0.1%*(V37-20000000),0)</f>
        <v>0</v>
      </c>
      <c r="Y37" s="2">
        <v>1085620</v>
      </c>
      <c r="Z37" s="2">
        <f t="shared" si="5"/>
        <v>1085620</v>
      </c>
      <c r="AA37" s="6">
        <f t="shared" si="6"/>
        <v>0.27140500000000001</v>
      </c>
    </row>
    <row r="38" spans="1:27" x14ac:dyDescent="0.25">
      <c r="A38" s="1" t="s">
        <v>73</v>
      </c>
      <c r="B38" s="1" t="s">
        <v>143</v>
      </c>
      <c r="C38" s="1" t="s">
        <v>186</v>
      </c>
      <c r="D38" s="1" t="s">
        <v>30</v>
      </c>
      <c r="E38" s="5">
        <f t="shared" si="0"/>
        <v>134615.38461538462</v>
      </c>
      <c r="F38" s="2">
        <v>3500000</v>
      </c>
      <c r="G38" s="2">
        <f>IFERROR(E38*((NETWORKDAYS.INTL(SUMMARRY!$B$1,SUMMARRY!$B$2,11))),"")</f>
        <v>3500000</v>
      </c>
      <c r="H38" s="2">
        <v>0</v>
      </c>
      <c r="I38" s="2">
        <v>0</v>
      </c>
      <c r="J38" s="2">
        <v>0</v>
      </c>
      <c r="K38" s="2">
        <v>0</v>
      </c>
      <c r="L38" s="2">
        <v>1515554</v>
      </c>
      <c r="M38" s="2">
        <v>1188183</v>
      </c>
      <c r="N38" s="2">
        <v>905120</v>
      </c>
      <c r="O38" s="2">
        <v>1141790</v>
      </c>
      <c r="P38" s="2">
        <v>0</v>
      </c>
      <c r="Q38" s="6">
        <f t="shared" si="1"/>
        <v>0</v>
      </c>
      <c r="R38" s="6" t="str">
        <f t="shared" si="2"/>
        <v>OTHERS</v>
      </c>
      <c r="S38" s="2">
        <v>25229887.850000001</v>
      </c>
      <c r="T38" s="2">
        <v>7599.05</v>
      </c>
      <c r="U38" s="6">
        <f t="shared" si="3"/>
        <v>3.0119238124159953E-4</v>
      </c>
      <c r="V38" s="2">
        <v>6792339</v>
      </c>
      <c r="W38" s="2">
        <v>0</v>
      </c>
      <c r="X38" s="2">
        <f>IF(W38&gt;(0.5*F38),(W38-0.5*F38)*0.02,0)+IF(AND(V38&gt;20000000,U38&lt;5%),0.1%*(V38-20000000),0)</f>
        <v>0</v>
      </c>
      <c r="Y38" s="2">
        <v>1334304</v>
      </c>
      <c r="Z38" s="2">
        <f t="shared" si="5"/>
        <v>1334304</v>
      </c>
      <c r="AA38" s="6">
        <f t="shared" si="6"/>
        <v>0.38122971428571428</v>
      </c>
    </row>
    <row r="39" spans="1:27" x14ac:dyDescent="0.25">
      <c r="A39" s="1" t="s">
        <v>243</v>
      </c>
      <c r="B39" s="1" t="s">
        <v>242</v>
      </c>
      <c r="C39" s="1" t="s">
        <v>249</v>
      </c>
      <c r="D39" s="1" t="s">
        <v>9</v>
      </c>
      <c r="E39" s="5">
        <f t="shared" si="0"/>
        <v>153846.15384615384</v>
      </c>
      <c r="F39" s="2">
        <v>4000000</v>
      </c>
      <c r="G39" s="2">
        <f>IFERROR(E39*((NETWORKDAYS.INTL(SUMMARRY!$B$1,SUMMARRY!$B$2,11))),"")</f>
        <v>4000000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1373474</v>
      </c>
      <c r="N39" s="2">
        <v>392122</v>
      </c>
      <c r="O39" s="2">
        <v>932908</v>
      </c>
      <c r="P39" s="2">
        <v>0</v>
      </c>
      <c r="Q39" s="6">
        <f t="shared" si="1"/>
        <v>0</v>
      </c>
      <c r="R39" s="6" t="str">
        <f t="shared" si="2"/>
        <v>OTHERS</v>
      </c>
      <c r="S39" s="2">
        <v>13800845.66</v>
      </c>
      <c r="T39" s="2">
        <v>21412</v>
      </c>
      <c r="U39" s="6">
        <f t="shared" si="3"/>
        <v>1.5514991274817285E-3</v>
      </c>
      <c r="V39" s="2">
        <v>3613800</v>
      </c>
      <c r="W39" s="2">
        <v>0</v>
      </c>
      <c r="X39" s="2">
        <f>IF(W39&gt;(0.5*F39),(W39-0.5*F39)*0.02,0)+IF(AND(V39&gt;20000000,U39&lt;5%),0.1%*(V39-20000000),0)</f>
        <v>0</v>
      </c>
      <c r="Y39" s="2">
        <v>0</v>
      </c>
      <c r="Z39" s="2">
        <f t="shared" si="5"/>
        <v>0</v>
      </c>
      <c r="AA39" s="6">
        <f t="shared" si="6"/>
        <v>0</v>
      </c>
    </row>
    <row r="40" spans="1:27" x14ac:dyDescent="0.25">
      <c r="A40" s="1" t="s">
        <v>694</v>
      </c>
      <c r="B40" s="1" t="s">
        <v>601</v>
      </c>
      <c r="C40" s="1" t="s">
        <v>641</v>
      </c>
      <c r="D40" s="1" t="s">
        <v>30</v>
      </c>
      <c r="E40" s="5">
        <f t="shared" si="0"/>
        <v>192307.69230769231</v>
      </c>
      <c r="F40" s="2">
        <v>5000000</v>
      </c>
      <c r="G40" s="2">
        <f>IFERROR(E40*((NETWORKDAYS.INTL(SUMMARRY!$B$1,SUMMARRY!$B$2,11))),"")</f>
        <v>5000000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6">
        <f t="shared" si="1"/>
        <v>0</v>
      </c>
      <c r="R40" s="2" t="str">
        <f t="shared" si="2"/>
        <v>OTHERS</v>
      </c>
      <c r="S40" s="2">
        <v>7865909</v>
      </c>
      <c r="T40" s="2">
        <v>25370</v>
      </c>
      <c r="U40" s="6">
        <f t="shared" si="3"/>
        <v>3.225310641147768E-3</v>
      </c>
      <c r="V40" s="2">
        <v>2054699</v>
      </c>
      <c r="W40" s="2">
        <v>0</v>
      </c>
      <c r="Y40" s="2">
        <v>1904698</v>
      </c>
      <c r="Z40" s="2">
        <f t="shared" si="5"/>
        <v>1904698</v>
      </c>
      <c r="AA40" s="6">
        <f t="shared" si="6"/>
        <v>0.38093959999999999</v>
      </c>
    </row>
    <row r="41" spans="1:27" x14ac:dyDescent="0.25">
      <c r="A41" s="1" t="s">
        <v>677</v>
      </c>
      <c r="B41" s="1" t="s">
        <v>676</v>
      </c>
      <c r="C41" s="1" t="s">
        <v>697</v>
      </c>
      <c r="D41" s="1" t="s">
        <v>9</v>
      </c>
      <c r="E41" s="5">
        <f t="shared" si="0"/>
        <v>134615.38461538462</v>
      </c>
      <c r="F41" s="2">
        <v>3500000</v>
      </c>
      <c r="G41" s="2">
        <f>IFERROR(E41*((NETWORKDAYS.INTL(SUMMARRY!$B$1,SUMMARRY!$B$2,11))),"")</f>
        <v>3500000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6">
        <f t="shared" si="1"/>
        <v>0</v>
      </c>
      <c r="R41" s="2" t="str">
        <f t="shared" si="2"/>
        <v>OTHERS</v>
      </c>
      <c r="S41" s="2">
        <v>0</v>
      </c>
      <c r="T41" s="2">
        <v>0</v>
      </c>
      <c r="U41" s="6">
        <f t="shared" si="3"/>
        <v>0</v>
      </c>
      <c r="V41" s="2">
        <v>0</v>
      </c>
      <c r="W41" s="2">
        <v>0</v>
      </c>
      <c r="Y41" s="2">
        <v>0</v>
      </c>
      <c r="Z41" s="2">
        <f t="shared" si="5"/>
        <v>0</v>
      </c>
      <c r="AA41" s="6">
        <f t="shared" si="6"/>
        <v>0</v>
      </c>
    </row>
    <row r="42" spans="1:27" x14ac:dyDescent="0.25">
      <c r="A42" s="1" t="s">
        <v>687</v>
      </c>
      <c r="B42" s="1" t="s">
        <v>686</v>
      </c>
      <c r="C42" s="1" t="s">
        <v>702</v>
      </c>
      <c r="D42" s="1" t="s">
        <v>26</v>
      </c>
      <c r="E42" s="5">
        <f t="shared" si="0"/>
        <v>134615.38461538462</v>
      </c>
      <c r="F42" s="2">
        <v>3500000</v>
      </c>
      <c r="G42" s="2">
        <f>IFERROR(E42*((NETWORKDAYS.INTL(SUMMARRY!$B$1,SUMMARRY!$B$2,11))),"")</f>
        <v>3500000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6">
        <f t="shared" si="1"/>
        <v>0</v>
      </c>
      <c r="R42" s="2" t="str">
        <f t="shared" si="2"/>
        <v>OTHERS</v>
      </c>
      <c r="S42" s="2">
        <v>0</v>
      </c>
      <c r="T42" s="2">
        <v>0</v>
      </c>
      <c r="U42" s="6">
        <f t="shared" si="3"/>
        <v>0</v>
      </c>
      <c r="V42" s="2">
        <v>0</v>
      </c>
      <c r="W42" s="2">
        <v>0</v>
      </c>
      <c r="Y42" s="2">
        <v>0</v>
      </c>
      <c r="Z42" s="2">
        <f t="shared" si="5"/>
        <v>0</v>
      </c>
      <c r="AA42" s="6">
        <f t="shared" si="6"/>
        <v>0</v>
      </c>
    </row>
    <row r="43" spans="1:27" x14ac:dyDescent="0.25">
      <c r="A43" s="1" t="s">
        <v>691</v>
      </c>
      <c r="B43" s="1" t="s">
        <v>690</v>
      </c>
      <c r="D43" s="1" t="s">
        <v>30</v>
      </c>
      <c r="E43" s="5">
        <f t="shared" si="0"/>
        <v>134615.38461538462</v>
      </c>
      <c r="F43" s="2">
        <v>3500000</v>
      </c>
      <c r="G43" s="2">
        <f>IFERROR(E43*((NETWORKDAYS.INTL(SUMMARRY!$B$1,SUMMARRY!$B$2,11))),"")</f>
        <v>3500000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6">
        <f t="shared" si="1"/>
        <v>0</v>
      </c>
      <c r="R43" s="2" t="str">
        <f t="shared" si="2"/>
        <v>OTHERS</v>
      </c>
      <c r="S43" s="2">
        <v>0</v>
      </c>
      <c r="T43" s="2">
        <v>0</v>
      </c>
      <c r="U43" s="6">
        <f t="shared" si="3"/>
        <v>0</v>
      </c>
      <c r="V43" s="2">
        <v>0</v>
      </c>
      <c r="W43" s="2">
        <v>0</v>
      </c>
      <c r="Y43" s="2">
        <v>0</v>
      </c>
      <c r="Z43" s="2">
        <f t="shared" si="5"/>
        <v>0</v>
      </c>
      <c r="AA43" s="6">
        <f t="shared" si="6"/>
        <v>0</v>
      </c>
    </row>
    <row r="44" spans="1:27" x14ac:dyDescent="0.25">
      <c r="A44" s="1" t="s">
        <v>693</v>
      </c>
      <c r="B44" s="1" t="s">
        <v>692</v>
      </c>
      <c r="C44" s="1" t="s">
        <v>704</v>
      </c>
      <c r="D44" s="1" t="s">
        <v>30</v>
      </c>
      <c r="E44" s="5">
        <f t="shared" si="0"/>
        <v>134615.38461538462</v>
      </c>
      <c r="F44" s="2">
        <v>3500000</v>
      </c>
      <c r="G44" s="2">
        <f>IFERROR(E44*((NETWORKDAYS.INTL(SUMMARRY!$B$1,SUMMARRY!$B$2,11))),"")</f>
        <v>3500000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6">
        <f t="shared" si="1"/>
        <v>0</v>
      </c>
      <c r="R44" s="2" t="str">
        <f t="shared" si="2"/>
        <v>OTHERS</v>
      </c>
      <c r="S44" s="2">
        <v>0</v>
      </c>
      <c r="T44" s="2">
        <v>0</v>
      </c>
      <c r="U44" s="6">
        <f t="shared" si="3"/>
        <v>0</v>
      </c>
      <c r="V44" s="2">
        <v>0</v>
      </c>
      <c r="W44" s="2">
        <v>0</v>
      </c>
      <c r="Y44" s="2">
        <v>0</v>
      </c>
      <c r="Z44" s="2">
        <f t="shared" si="5"/>
        <v>0</v>
      </c>
      <c r="AA44" s="6">
        <f t="shared" si="6"/>
        <v>0</v>
      </c>
    </row>
  </sheetData>
  <sortState ref="A2:AA44">
    <sortCondition descending="1" ref="Q2:Q44"/>
  </sortState>
  <conditionalFormatting sqref="A1:A1048576">
    <cfRule type="duplicateValues" dxfId="11" priority="6"/>
  </conditionalFormatting>
  <conditionalFormatting sqref="AA2:AA44 Q2:Q44">
    <cfRule type="cellIs" dxfId="10" priority="4" operator="between">
      <formula>0.31</formula>
      <formula>0.49</formula>
    </cfRule>
    <cfRule type="cellIs" dxfId="9" priority="5" operator="between">
      <formula>0</formula>
      <formula>0.3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BB32-4222-47DB-9555-99A943642974}">
  <dimension ref="A1:Z27"/>
  <sheetViews>
    <sheetView topLeftCell="A22" workbookViewId="0">
      <selection activeCell="J24" sqref="J24"/>
    </sheetView>
  </sheetViews>
  <sheetFormatPr defaultColWidth="9.140625" defaultRowHeight="15" x14ac:dyDescent="0.25"/>
  <cols>
    <col min="1" max="1" width="23.5703125" style="1" bestFit="1" customWidth="1"/>
    <col min="2" max="2" width="8.7109375" style="1" bestFit="1" customWidth="1"/>
    <col min="3" max="3" width="11.7109375" style="1" bestFit="1" customWidth="1"/>
    <col min="4" max="4" width="10.85546875" style="1" bestFit="1" customWidth="1"/>
    <col min="5" max="5" width="12.28515625" style="1" bestFit="1" customWidth="1"/>
    <col min="6" max="6" width="12.42578125" style="1" bestFit="1" customWidth="1"/>
    <col min="7" max="7" width="12.7109375" style="1" bestFit="1" customWidth="1"/>
    <col min="8" max="10" width="12.28515625" style="1" bestFit="1" customWidth="1"/>
    <col min="11" max="14" width="12.28515625" style="2" bestFit="1" customWidth="1"/>
    <col min="15" max="15" width="12.28515625" style="2" customWidth="1"/>
    <col min="16" max="16" width="11.42578125" style="1" bestFit="1" customWidth="1"/>
    <col min="17" max="17" width="7.5703125" style="1" bestFit="1" customWidth="1"/>
    <col min="18" max="18" width="13.42578125" style="1" bestFit="1" customWidth="1"/>
    <col min="19" max="19" width="12.28515625" style="1" bestFit="1" customWidth="1"/>
    <col min="20" max="20" width="7" style="1" bestFit="1" customWidth="1"/>
    <col min="21" max="21" width="13.42578125" style="1" bestFit="1" customWidth="1"/>
    <col min="22" max="22" width="12.85546875" style="2" bestFit="1" customWidth="1"/>
    <col min="23" max="23" width="17.7109375" style="1" bestFit="1" customWidth="1"/>
    <col min="24" max="24" width="12.28515625" style="1" bestFit="1" customWidth="1"/>
    <col min="25" max="25" width="11.140625" style="1" bestFit="1" customWidth="1"/>
    <col min="26" max="26" width="12.28515625" style="1" bestFit="1" customWidth="1"/>
    <col min="27" max="16384" width="9.140625" style="1"/>
  </cols>
  <sheetData>
    <row r="1" spans="1:26" s="9" customFormat="1" ht="45" x14ac:dyDescent="0.25">
      <c r="A1" s="8" t="s">
        <v>81</v>
      </c>
      <c r="B1" s="8" t="s">
        <v>100</v>
      </c>
      <c r="C1" s="8" t="s">
        <v>150</v>
      </c>
      <c r="D1" s="8" t="s">
        <v>327</v>
      </c>
      <c r="E1" s="8" t="s">
        <v>240</v>
      </c>
      <c r="F1" s="8" t="s">
        <v>257</v>
      </c>
      <c r="G1" s="7" t="s">
        <v>43</v>
      </c>
      <c r="H1" s="7" t="s">
        <v>46</v>
      </c>
      <c r="I1" s="7" t="s">
        <v>45</v>
      </c>
      <c r="J1" s="7" t="s">
        <v>44</v>
      </c>
      <c r="K1" s="8" t="s">
        <v>42</v>
      </c>
      <c r="L1" s="8" t="s">
        <v>225</v>
      </c>
      <c r="M1" s="8" t="s">
        <v>326</v>
      </c>
      <c r="N1" s="8" t="s">
        <v>595</v>
      </c>
      <c r="O1" s="8" t="s">
        <v>651</v>
      </c>
      <c r="P1" s="7" t="s">
        <v>649</v>
      </c>
      <c r="Q1" s="7" t="s">
        <v>584</v>
      </c>
      <c r="R1" s="7" t="s">
        <v>209</v>
      </c>
      <c r="S1" s="7" t="s">
        <v>210</v>
      </c>
      <c r="T1" s="7" t="s">
        <v>212</v>
      </c>
      <c r="U1" s="7" t="s">
        <v>211</v>
      </c>
      <c r="V1" s="8" t="s">
        <v>710</v>
      </c>
      <c r="W1" s="8" t="s">
        <v>308</v>
      </c>
      <c r="X1" s="8" t="s">
        <v>325</v>
      </c>
      <c r="Y1" s="7" t="s">
        <v>230</v>
      </c>
      <c r="Z1" s="8" t="s">
        <v>216</v>
      </c>
    </row>
    <row r="2" spans="1:26" x14ac:dyDescent="0.25">
      <c r="A2" s="1" t="s">
        <v>85</v>
      </c>
      <c r="B2" s="1" t="s">
        <v>111</v>
      </c>
      <c r="C2" s="1" t="s">
        <v>152</v>
      </c>
      <c r="D2" s="5">
        <f t="shared" ref="D2:D27" si="0">E2/26</f>
        <v>76923.076923076922</v>
      </c>
      <c r="E2" s="2">
        <v>2000000</v>
      </c>
      <c r="F2" s="2">
        <f>IFERROR(D2*((NETWORKDAYS.INTL(SUMMARRY!$B$1,SUMMARRY!$B$2,11))),"")</f>
        <v>2000000</v>
      </c>
      <c r="G2" s="2">
        <v>3000000</v>
      </c>
      <c r="H2" s="2">
        <v>1961819</v>
      </c>
      <c r="I2" s="2">
        <v>1395000</v>
      </c>
      <c r="J2" s="2">
        <v>1750000</v>
      </c>
      <c r="K2" s="2">
        <v>2110000</v>
      </c>
      <c r="L2" s="2">
        <v>2730000</v>
      </c>
      <c r="M2" s="2">
        <v>2700000</v>
      </c>
      <c r="N2" s="2">
        <v>2700000</v>
      </c>
      <c r="O2" s="2">
        <v>3280000</v>
      </c>
      <c r="P2" s="6">
        <f>O2/F2</f>
        <v>1.64</v>
      </c>
      <c r="Q2" s="6" t="str">
        <f t="shared" ref="Q2:Q27" si="1">IF(P2&gt;=80%,"TEAM A","OTHERS")</f>
        <v>TEAM A</v>
      </c>
      <c r="R2" s="2">
        <v>11208966.82</v>
      </c>
      <c r="S2" s="2">
        <v>4568313.3999999994</v>
      </c>
      <c r="T2" s="6">
        <f t="shared" ref="T2:T27" si="2">IFERROR(S2/R2,0)</f>
        <v>0.40755882976197438</v>
      </c>
      <c r="U2" s="2">
        <v>6881959.5999999996</v>
      </c>
      <c r="V2" s="2">
        <v>261489</v>
      </c>
      <c r="W2" s="2">
        <f t="shared" ref="W2:W27" si="3">IF(V2&gt;E2,V2-E2,0)</f>
        <v>0</v>
      </c>
      <c r="X2" s="5">
        <f t="shared" ref="X2:X27" si="4">V2-W2</f>
        <v>261489</v>
      </c>
      <c r="Y2" s="1">
        <v>1</v>
      </c>
      <c r="Z2" s="5">
        <f t="shared" ref="Z2:Z27" si="5">IFERROR((X2*2%)+(W2*3%)+IF(AND(U2&gt;10000000,T2&lt;5%),0.1%*(U2-10000000),0),0)+(Y2*500)</f>
        <v>5729.78</v>
      </c>
    </row>
    <row r="3" spans="1:26" x14ac:dyDescent="0.25">
      <c r="A3" s="1" t="s">
        <v>88</v>
      </c>
      <c r="B3" s="1" t="s">
        <v>106</v>
      </c>
      <c r="C3" s="1" t="s">
        <v>155</v>
      </c>
      <c r="D3" s="5">
        <f t="shared" si="0"/>
        <v>96153.846153846156</v>
      </c>
      <c r="E3" s="2">
        <v>2500000</v>
      </c>
      <c r="F3" s="2">
        <f>IFERROR(D3*((NETWORKDAYS.INTL(SUMMARRY!$B$1,SUMMARRY!$B$2,11))),"")</f>
        <v>2500000</v>
      </c>
      <c r="G3" s="2">
        <v>3000000</v>
      </c>
      <c r="H3" s="2">
        <v>1753000</v>
      </c>
      <c r="I3" s="2">
        <v>2756300</v>
      </c>
      <c r="J3" s="2">
        <v>4321800</v>
      </c>
      <c r="K3" s="2">
        <v>1152000</v>
      </c>
      <c r="L3" s="2">
        <v>2352000</v>
      </c>
      <c r="M3" s="2">
        <v>2118874</v>
      </c>
      <c r="N3" s="2">
        <v>1750000</v>
      </c>
      <c r="O3" s="2">
        <v>3339500</v>
      </c>
      <c r="P3" s="6">
        <f t="shared" ref="P3:P27" si="6">O3/F3</f>
        <v>1.3358000000000001</v>
      </c>
      <c r="Q3" s="6" t="str">
        <f t="shared" si="1"/>
        <v>TEAM A</v>
      </c>
      <c r="R3" s="2">
        <v>32351219.149999995</v>
      </c>
      <c r="S3" s="2">
        <v>2634515.8399999994</v>
      </c>
      <c r="T3" s="6">
        <f t="shared" si="2"/>
        <v>8.1434824072155562E-2</v>
      </c>
      <c r="U3" s="2">
        <v>18356475.709999997</v>
      </c>
      <c r="V3" s="2">
        <v>3339500</v>
      </c>
      <c r="W3" s="2">
        <f t="shared" si="3"/>
        <v>839500</v>
      </c>
      <c r="X3" s="5">
        <f t="shared" si="4"/>
        <v>2500000</v>
      </c>
      <c r="Y3" s="1">
        <v>3</v>
      </c>
      <c r="Z3" s="5">
        <f t="shared" si="5"/>
        <v>76685</v>
      </c>
    </row>
    <row r="4" spans="1:26" x14ac:dyDescent="0.25">
      <c r="A4" s="1" t="s">
        <v>86</v>
      </c>
      <c r="B4" s="1" t="s">
        <v>137</v>
      </c>
      <c r="C4" s="1" t="s">
        <v>153</v>
      </c>
      <c r="D4" s="5">
        <f t="shared" si="0"/>
        <v>96153.846153846156</v>
      </c>
      <c r="E4" s="2">
        <v>2500000</v>
      </c>
      <c r="F4" s="2">
        <f>IFERROR(D4*((NETWORKDAYS.INTL(SUMMARRY!$B$1,SUMMARRY!$B$2,11))),"")</f>
        <v>2500000</v>
      </c>
      <c r="G4" s="2">
        <v>0</v>
      </c>
      <c r="H4" s="2">
        <v>0</v>
      </c>
      <c r="I4" s="2">
        <v>1899310</v>
      </c>
      <c r="J4" s="2">
        <v>1339499</v>
      </c>
      <c r="K4" s="2">
        <v>1749500</v>
      </c>
      <c r="L4" s="2">
        <v>1705016</v>
      </c>
      <c r="M4" s="2">
        <v>1665497</v>
      </c>
      <c r="N4" s="2">
        <v>5070866</v>
      </c>
      <c r="O4" s="2">
        <v>2314000</v>
      </c>
      <c r="P4" s="6">
        <f t="shared" si="6"/>
        <v>0.92559999999999998</v>
      </c>
      <c r="Q4" s="6" t="str">
        <f t="shared" si="1"/>
        <v>TEAM A</v>
      </c>
      <c r="R4" s="2">
        <v>19979268.130000003</v>
      </c>
      <c r="S4" s="2">
        <v>230749.34</v>
      </c>
      <c r="T4" s="6">
        <f t="shared" si="2"/>
        <v>1.1549439073472206E-2</v>
      </c>
      <c r="U4" s="2">
        <v>10679122.640000001</v>
      </c>
      <c r="V4" s="2">
        <v>2314000</v>
      </c>
      <c r="W4" s="2">
        <f t="shared" si="3"/>
        <v>0</v>
      </c>
      <c r="X4" s="5">
        <f t="shared" si="4"/>
        <v>2314000</v>
      </c>
      <c r="Y4" s="1">
        <v>3</v>
      </c>
      <c r="Z4" s="5">
        <f t="shared" si="5"/>
        <v>48459.122640000001</v>
      </c>
    </row>
    <row r="5" spans="1:26" x14ac:dyDescent="0.25">
      <c r="A5" s="1" t="s">
        <v>234</v>
      </c>
      <c r="B5" s="1" t="s">
        <v>128</v>
      </c>
      <c r="C5" s="1" t="s">
        <v>167</v>
      </c>
      <c r="D5" s="5">
        <f t="shared" si="0"/>
        <v>76923.076923076922</v>
      </c>
      <c r="E5" s="2">
        <v>2000000</v>
      </c>
      <c r="F5" s="2">
        <f>IFERROR(D5*((NETWORKDAYS.INTL(SUMMARRY!$B$1,SUMMARRY!$B$2,11))),"")</f>
        <v>2000000</v>
      </c>
      <c r="G5" s="2">
        <v>3000000</v>
      </c>
      <c r="H5" s="2">
        <v>2749187</v>
      </c>
      <c r="I5" s="2">
        <v>2617607</v>
      </c>
      <c r="J5" s="2">
        <v>2635757</v>
      </c>
      <c r="K5" s="2">
        <v>2281998</v>
      </c>
      <c r="L5" s="2">
        <v>1454551</v>
      </c>
      <c r="M5" s="2">
        <v>1430000</v>
      </c>
      <c r="N5" s="2">
        <v>651140</v>
      </c>
      <c r="O5" s="2">
        <v>1784831</v>
      </c>
      <c r="P5" s="6">
        <f t="shared" si="6"/>
        <v>0.89241550000000003</v>
      </c>
      <c r="Q5" s="6" t="str">
        <f t="shared" si="1"/>
        <v>TEAM A</v>
      </c>
      <c r="R5" s="2">
        <v>11565932.920000002</v>
      </c>
      <c r="S5" s="2">
        <v>591490.49</v>
      </c>
      <c r="T5" s="6">
        <f t="shared" si="2"/>
        <v>5.114075052062466E-2</v>
      </c>
      <c r="U5" s="2">
        <v>6762748.2999999998</v>
      </c>
      <c r="V5" s="2">
        <v>1010718</v>
      </c>
      <c r="W5" s="2">
        <f t="shared" si="3"/>
        <v>0</v>
      </c>
      <c r="X5" s="5">
        <f t="shared" si="4"/>
        <v>1010718</v>
      </c>
      <c r="Y5" s="1">
        <v>1</v>
      </c>
      <c r="Z5" s="5">
        <f t="shared" si="5"/>
        <v>20714.36</v>
      </c>
    </row>
    <row r="6" spans="1:26" x14ac:dyDescent="0.25">
      <c r="A6" s="1" t="s">
        <v>94</v>
      </c>
      <c r="B6" s="1" t="s">
        <v>130</v>
      </c>
      <c r="C6" s="1" t="s">
        <v>161</v>
      </c>
      <c r="D6" s="5">
        <f t="shared" si="0"/>
        <v>96153.846153846156</v>
      </c>
      <c r="E6" s="2">
        <v>2500000</v>
      </c>
      <c r="F6" s="2">
        <f>IFERROR(D6*((NETWORKDAYS.INTL(SUMMARRY!$B$1,SUMMARRY!$B$2,11))),"")</f>
        <v>2500000</v>
      </c>
      <c r="G6" s="2">
        <v>3000000</v>
      </c>
      <c r="H6" s="2">
        <v>875000</v>
      </c>
      <c r="I6" s="2">
        <v>2072790</v>
      </c>
      <c r="J6" s="2">
        <v>1935388</v>
      </c>
      <c r="K6" s="2">
        <v>350000</v>
      </c>
      <c r="L6" s="2">
        <v>3507291</v>
      </c>
      <c r="M6" s="2">
        <v>3317500</v>
      </c>
      <c r="N6" s="2">
        <v>1762000</v>
      </c>
      <c r="O6" s="2">
        <v>1676395</v>
      </c>
      <c r="P6" s="6">
        <f t="shared" si="6"/>
        <v>0.67055799999999999</v>
      </c>
      <c r="Q6" s="6" t="str">
        <f t="shared" si="1"/>
        <v>OTHERS</v>
      </c>
      <c r="R6" s="2">
        <v>21696036.210000005</v>
      </c>
      <c r="S6" s="2">
        <v>2590529.6699999995</v>
      </c>
      <c r="T6" s="6">
        <f t="shared" si="2"/>
        <v>0.11940105763678567</v>
      </c>
      <c r="U6" s="2">
        <v>12683342.57</v>
      </c>
      <c r="V6" s="2">
        <v>1542000</v>
      </c>
      <c r="W6" s="2">
        <f t="shared" si="3"/>
        <v>0</v>
      </c>
      <c r="X6" s="5">
        <f t="shared" si="4"/>
        <v>1542000</v>
      </c>
      <c r="Y6" s="1">
        <v>4</v>
      </c>
      <c r="Z6" s="5">
        <f t="shared" si="5"/>
        <v>32840</v>
      </c>
    </row>
    <row r="7" spans="1:26" x14ac:dyDescent="0.25">
      <c r="A7" s="1" t="s">
        <v>89</v>
      </c>
      <c r="B7" s="1" t="s">
        <v>114</v>
      </c>
      <c r="C7" s="1" t="s">
        <v>156</v>
      </c>
      <c r="D7" s="5">
        <f t="shared" si="0"/>
        <v>96153.846153846156</v>
      </c>
      <c r="E7" s="2">
        <v>2500000</v>
      </c>
      <c r="F7" s="2">
        <f>IFERROR(D7*((NETWORKDAYS.INTL(SUMMARRY!$B$1,SUMMARRY!$B$2,11))),"")</f>
        <v>2500000</v>
      </c>
      <c r="G7" s="2">
        <v>3000000</v>
      </c>
      <c r="H7" s="2">
        <v>1291000</v>
      </c>
      <c r="I7" s="2">
        <v>1358000</v>
      </c>
      <c r="J7" s="2">
        <v>1546000</v>
      </c>
      <c r="K7" s="2">
        <v>1332000</v>
      </c>
      <c r="L7" s="2">
        <v>1421999</v>
      </c>
      <c r="M7" s="2">
        <v>1259922</v>
      </c>
      <c r="N7" s="2">
        <v>1692000</v>
      </c>
      <c r="O7" s="2">
        <v>1555187</v>
      </c>
      <c r="P7" s="6">
        <f t="shared" si="6"/>
        <v>0.62207480000000004</v>
      </c>
      <c r="Q7" s="6" t="str">
        <f t="shared" si="1"/>
        <v>OTHERS</v>
      </c>
      <c r="R7" s="2">
        <v>18582586.170000002</v>
      </c>
      <c r="S7" s="2">
        <v>1240888.9400000002</v>
      </c>
      <c r="T7" s="6">
        <f t="shared" si="2"/>
        <v>6.6776977577174337E-2</v>
      </c>
      <c r="U7" s="2">
        <v>10251160.299999999</v>
      </c>
      <c r="V7" s="2">
        <v>1555187</v>
      </c>
      <c r="W7" s="2">
        <f t="shared" si="3"/>
        <v>0</v>
      </c>
      <c r="X7" s="5">
        <f t="shared" si="4"/>
        <v>1555187</v>
      </c>
      <c r="Y7" s="1">
        <v>1</v>
      </c>
      <c r="Z7" s="5">
        <f t="shared" si="5"/>
        <v>31603.74</v>
      </c>
    </row>
    <row r="8" spans="1:26" x14ac:dyDescent="0.25">
      <c r="A8" s="1" t="s">
        <v>82</v>
      </c>
      <c r="B8" s="1" t="s">
        <v>107</v>
      </c>
      <c r="C8" s="1" t="s">
        <v>221</v>
      </c>
      <c r="D8" s="5">
        <f t="shared" si="0"/>
        <v>76923.076923076922</v>
      </c>
      <c r="E8" s="2">
        <v>2000000</v>
      </c>
      <c r="F8" s="2">
        <f>IFERROR(D8*((NETWORKDAYS.INTL(SUMMARRY!$B$1,SUMMARRY!$B$2,11))),"")</f>
        <v>2000000</v>
      </c>
      <c r="G8" s="2">
        <v>3000000</v>
      </c>
      <c r="H8" s="2">
        <v>590000</v>
      </c>
      <c r="I8" s="2">
        <v>3029000</v>
      </c>
      <c r="J8" s="2">
        <v>4240000</v>
      </c>
      <c r="K8" s="2">
        <v>1678000</v>
      </c>
      <c r="L8" s="2">
        <v>3032000</v>
      </c>
      <c r="M8" s="2">
        <v>2562000</v>
      </c>
      <c r="N8" s="2">
        <v>1920000</v>
      </c>
      <c r="O8" s="2">
        <v>1170000</v>
      </c>
      <c r="P8" s="6">
        <f t="shared" si="6"/>
        <v>0.58499999999999996</v>
      </c>
      <c r="Q8" s="6" t="str">
        <f t="shared" si="1"/>
        <v>OTHERS</v>
      </c>
      <c r="R8" s="2">
        <v>19425291.750000004</v>
      </c>
      <c r="S8" s="2">
        <v>3283120.08</v>
      </c>
      <c r="T8" s="6">
        <f t="shared" si="2"/>
        <v>0.16901265228101398</v>
      </c>
      <c r="U8" s="2">
        <v>11646432.890000002</v>
      </c>
      <c r="V8" s="2">
        <v>1081806.3399999999</v>
      </c>
      <c r="W8" s="2">
        <f t="shared" si="3"/>
        <v>0</v>
      </c>
      <c r="X8" s="5">
        <f t="shared" si="4"/>
        <v>1081806.3399999999</v>
      </c>
      <c r="Y8" s="1">
        <v>2</v>
      </c>
      <c r="Z8" s="5">
        <f t="shared" si="5"/>
        <v>22636.126799999998</v>
      </c>
    </row>
    <row r="9" spans="1:26" x14ac:dyDescent="0.25">
      <c r="A9" s="1" t="s">
        <v>253</v>
      </c>
      <c r="B9" s="1" t="s">
        <v>606</v>
      </c>
      <c r="C9" s="1" t="s">
        <v>256</v>
      </c>
      <c r="D9" s="5">
        <f t="shared" si="0"/>
        <v>96153.846153846156</v>
      </c>
      <c r="E9" s="2">
        <v>2500000</v>
      </c>
      <c r="F9" s="2">
        <f>IFERROR(D9*((NETWORKDAYS.INTL(SUMMARRY!$B$1,SUMMARRY!$B$2,11))),"")</f>
        <v>2500000</v>
      </c>
      <c r="L9" s="2">
        <v>300000</v>
      </c>
      <c r="M9" s="2">
        <v>265000</v>
      </c>
      <c r="N9" s="2">
        <v>1099437</v>
      </c>
      <c r="O9" s="2">
        <v>1419000</v>
      </c>
      <c r="P9" s="6">
        <f t="shared" si="6"/>
        <v>0.56759999999999999</v>
      </c>
      <c r="Q9" s="6" t="str">
        <f t="shared" si="1"/>
        <v>OTHERS</v>
      </c>
      <c r="R9" s="2">
        <v>4898427.8499999996</v>
      </c>
      <c r="S9" s="2">
        <v>161050.63</v>
      </c>
      <c r="T9" s="6">
        <f t="shared" si="2"/>
        <v>3.2878024323661319E-2</v>
      </c>
      <c r="U9" s="2">
        <v>2972992</v>
      </c>
      <c r="V9" s="2">
        <v>1419000</v>
      </c>
      <c r="W9" s="2">
        <f t="shared" si="3"/>
        <v>0</v>
      </c>
      <c r="X9" s="5">
        <f t="shared" si="4"/>
        <v>1419000</v>
      </c>
      <c r="Y9" s="1">
        <v>0</v>
      </c>
      <c r="Z9" s="5">
        <f t="shared" si="5"/>
        <v>28380</v>
      </c>
    </row>
    <row r="10" spans="1:26" x14ac:dyDescent="0.25">
      <c r="A10" s="1" t="s">
        <v>95</v>
      </c>
      <c r="B10" s="1" t="s">
        <v>101</v>
      </c>
      <c r="C10" s="1" t="s">
        <v>162</v>
      </c>
      <c r="D10" s="5">
        <f t="shared" si="0"/>
        <v>96153.846153846156</v>
      </c>
      <c r="E10" s="2">
        <v>2500000</v>
      </c>
      <c r="F10" s="2">
        <f>IFERROR(D10*((NETWORKDAYS.INTL(SUMMARRY!$B$1,SUMMARRY!$B$2,11))),"")</f>
        <v>2500000</v>
      </c>
      <c r="G10" s="2">
        <v>3000000</v>
      </c>
      <c r="H10" s="2">
        <v>310135</v>
      </c>
      <c r="I10" s="2">
        <v>521428</v>
      </c>
      <c r="J10" s="2">
        <v>853635</v>
      </c>
      <c r="K10" s="2">
        <v>896294</v>
      </c>
      <c r="L10" s="2">
        <v>1290000</v>
      </c>
      <c r="M10" s="2">
        <v>2128000</v>
      </c>
      <c r="N10" s="2">
        <v>1652000</v>
      </c>
      <c r="O10" s="2">
        <v>1300000</v>
      </c>
      <c r="P10" s="6">
        <f t="shared" si="6"/>
        <v>0.52</v>
      </c>
      <c r="Q10" s="6" t="str">
        <f t="shared" si="1"/>
        <v>OTHERS</v>
      </c>
      <c r="R10" s="2">
        <v>15334713.58</v>
      </c>
      <c r="S10" s="2">
        <v>541100.97</v>
      </c>
      <c r="T10" s="6">
        <f t="shared" si="2"/>
        <v>3.5286017386442763E-2</v>
      </c>
      <c r="U10" s="2">
        <v>8369274.4900000002</v>
      </c>
      <c r="V10" s="2">
        <v>1300000</v>
      </c>
      <c r="W10" s="2">
        <f t="shared" si="3"/>
        <v>0</v>
      </c>
      <c r="X10" s="5">
        <f t="shared" si="4"/>
        <v>1300000</v>
      </c>
      <c r="Y10" s="1">
        <v>3</v>
      </c>
      <c r="Z10" s="5">
        <f t="shared" si="5"/>
        <v>27500</v>
      </c>
    </row>
    <row r="11" spans="1:26" x14ac:dyDescent="0.25">
      <c r="A11" s="1" t="s">
        <v>90</v>
      </c>
      <c r="B11" s="1" t="s">
        <v>116</v>
      </c>
      <c r="C11" s="1" t="s">
        <v>157</v>
      </c>
      <c r="D11" s="5">
        <f t="shared" si="0"/>
        <v>96153.846153846156</v>
      </c>
      <c r="E11" s="2">
        <v>2500000</v>
      </c>
      <c r="F11" s="2">
        <f>IFERROR(D11*((NETWORKDAYS.INTL(SUMMARRY!$B$1,SUMMARRY!$B$2,11))),"")</f>
        <v>2500000</v>
      </c>
      <c r="G11" s="2">
        <v>3000000</v>
      </c>
      <c r="H11" s="2">
        <v>1825000</v>
      </c>
      <c r="I11" s="2">
        <v>783356</v>
      </c>
      <c r="J11" s="2">
        <v>987000</v>
      </c>
      <c r="K11" s="2">
        <v>2200880</v>
      </c>
      <c r="L11" s="2">
        <v>2487000</v>
      </c>
      <c r="M11" s="2">
        <v>1005034</v>
      </c>
      <c r="N11" s="2">
        <v>1615000</v>
      </c>
      <c r="O11" s="2">
        <v>1266230</v>
      </c>
      <c r="P11" s="6">
        <f t="shared" si="6"/>
        <v>0.50649200000000005</v>
      </c>
      <c r="Q11" s="6" t="str">
        <f t="shared" si="1"/>
        <v>OTHERS</v>
      </c>
      <c r="R11" s="2">
        <v>3272301.78</v>
      </c>
      <c r="S11" s="2">
        <v>121064.85</v>
      </c>
      <c r="T11" s="6">
        <f t="shared" si="2"/>
        <v>3.6996847521807728E-2</v>
      </c>
      <c r="U11" s="2">
        <v>1842454.1400000001</v>
      </c>
      <c r="V11" s="2">
        <v>1166609</v>
      </c>
      <c r="W11" s="2">
        <f t="shared" si="3"/>
        <v>0</v>
      </c>
      <c r="X11" s="5">
        <f t="shared" si="4"/>
        <v>1166609</v>
      </c>
      <c r="Y11" s="1">
        <v>2</v>
      </c>
      <c r="Z11" s="5">
        <f t="shared" si="5"/>
        <v>24332.18</v>
      </c>
    </row>
    <row r="12" spans="1:26" x14ac:dyDescent="0.25">
      <c r="A12" s="1" t="s">
        <v>92</v>
      </c>
      <c r="B12" s="1" t="s">
        <v>125</v>
      </c>
      <c r="C12" s="1" t="s">
        <v>159</v>
      </c>
      <c r="D12" s="5">
        <f t="shared" si="0"/>
        <v>96153.846153846156</v>
      </c>
      <c r="E12" s="2">
        <v>2500000</v>
      </c>
      <c r="F12" s="2">
        <f>IFERROR(D12*((NETWORKDAYS.INTL(SUMMARRY!$B$1,SUMMARRY!$B$2,11))),"")</f>
        <v>2500000</v>
      </c>
      <c r="G12" s="2">
        <v>3000000</v>
      </c>
      <c r="H12" s="2">
        <v>1763500</v>
      </c>
      <c r="I12" s="2">
        <v>1453231</v>
      </c>
      <c r="J12" s="2">
        <v>1726125</v>
      </c>
      <c r="K12" s="2">
        <v>0</v>
      </c>
      <c r="L12" s="2">
        <v>2457000</v>
      </c>
      <c r="M12" s="2">
        <v>4691501.6900000004</v>
      </c>
      <c r="N12" s="2">
        <v>2427982</v>
      </c>
      <c r="O12" s="2">
        <v>1149308</v>
      </c>
      <c r="P12" s="6">
        <f t="shared" si="6"/>
        <v>0.4597232</v>
      </c>
      <c r="Q12" s="6" t="str">
        <f t="shared" si="1"/>
        <v>OTHERS</v>
      </c>
      <c r="R12" s="2">
        <v>31325801.830000002</v>
      </c>
      <c r="S12" s="2">
        <v>1459220.99</v>
      </c>
      <c r="T12" s="6">
        <f t="shared" si="2"/>
        <v>4.6582079460214726E-2</v>
      </c>
      <c r="U12" s="2">
        <v>13404654.710000001</v>
      </c>
      <c r="V12" s="2">
        <v>1091244</v>
      </c>
      <c r="W12" s="2">
        <f t="shared" si="3"/>
        <v>0</v>
      </c>
      <c r="X12" s="5">
        <f t="shared" si="4"/>
        <v>1091244</v>
      </c>
      <c r="Y12" s="1">
        <v>5</v>
      </c>
      <c r="Z12" s="5">
        <f t="shared" si="5"/>
        <v>27729.534710000004</v>
      </c>
    </row>
    <row r="13" spans="1:26" x14ac:dyDescent="0.25">
      <c r="A13" s="1" t="s">
        <v>83</v>
      </c>
      <c r="B13" s="1" t="s">
        <v>119</v>
      </c>
      <c r="C13" s="1" t="s">
        <v>151</v>
      </c>
      <c r="D13" s="5">
        <f t="shared" si="0"/>
        <v>134615.38461538462</v>
      </c>
      <c r="E13" s="2">
        <v>3500000</v>
      </c>
      <c r="F13" s="2">
        <f>IFERROR(D13*((NETWORKDAYS.INTL(SUMMARRY!$B$1,SUMMARRY!$B$2,11))),"")</f>
        <v>3500000</v>
      </c>
      <c r="G13" s="2">
        <v>3000000</v>
      </c>
      <c r="H13" s="2">
        <v>1711000</v>
      </c>
      <c r="I13" s="2">
        <v>2510195</v>
      </c>
      <c r="J13" s="2">
        <v>2259000</v>
      </c>
      <c r="K13" s="2">
        <v>1008734</v>
      </c>
      <c r="L13" s="2">
        <v>2146334</v>
      </c>
      <c r="M13" s="2">
        <v>2486267</v>
      </c>
      <c r="N13" s="2">
        <v>2743320</v>
      </c>
      <c r="O13" s="2">
        <v>1580000</v>
      </c>
      <c r="P13" s="6">
        <f t="shared" si="6"/>
        <v>0.4514285714285714</v>
      </c>
      <c r="Q13" s="6" t="str">
        <f t="shared" si="1"/>
        <v>OTHERS</v>
      </c>
      <c r="R13" s="2">
        <v>32351183.419999998</v>
      </c>
      <c r="S13" s="2">
        <v>2091317.12</v>
      </c>
      <c r="T13" s="6">
        <f t="shared" si="2"/>
        <v>6.4644223144774221E-2</v>
      </c>
      <c r="U13" s="2">
        <v>14511730.520000001</v>
      </c>
      <c r="V13" s="2">
        <v>1386246</v>
      </c>
      <c r="W13" s="2">
        <f t="shared" si="3"/>
        <v>0</v>
      </c>
      <c r="X13" s="5">
        <f t="shared" si="4"/>
        <v>1386246</v>
      </c>
      <c r="Y13" s="1">
        <v>0</v>
      </c>
      <c r="Z13" s="5">
        <f t="shared" si="5"/>
        <v>27724.920000000002</v>
      </c>
    </row>
    <row r="14" spans="1:26" x14ac:dyDescent="0.25">
      <c r="A14" s="1" t="s">
        <v>93</v>
      </c>
      <c r="B14" s="1" t="s">
        <v>131</v>
      </c>
      <c r="C14" s="1" t="s">
        <v>160</v>
      </c>
      <c r="D14" s="5">
        <f t="shared" si="0"/>
        <v>96153.846153846156</v>
      </c>
      <c r="E14" s="2">
        <v>2500000</v>
      </c>
      <c r="F14" s="2">
        <f>IFERROR(D14*((NETWORKDAYS.INTL(SUMMARRY!$B$1,SUMMARRY!$B$2,11))),"")</f>
        <v>2500000</v>
      </c>
      <c r="G14" s="2">
        <v>3000000</v>
      </c>
      <c r="H14" s="2">
        <v>340000</v>
      </c>
      <c r="I14" s="2">
        <v>2213000</v>
      </c>
      <c r="J14" s="2">
        <v>400000</v>
      </c>
      <c r="K14" s="2">
        <v>1552000</v>
      </c>
      <c r="L14" s="2">
        <v>3283000</v>
      </c>
      <c r="M14" s="2">
        <v>0</v>
      </c>
      <c r="N14" s="2">
        <v>580000</v>
      </c>
      <c r="O14" s="2">
        <v>1000000</v>
      </c>
      <c r="P14" s="6">
        <f t="shared" si="6"/>
        <v>0.4</v>
      </c>
      <c r="Q14" s="6" t="str">
        <f t="shared" si="1"/>
        <v>OTHERS</v>
      </c>
      <c r="R14" s="2">
        <v>11809274.450000001</v>
      </c>
      <c r="S14" s="2">
        <v>4408449.8499999996</v>
      </c>
      <c r="T14" s="6">
        <f t="shared" si="2"/>
        <v>0.37330403901316728</v>
      </c>
      <c r="U14" s="2">
        <v>6117395.9500000011</v>
      </c>
      <c r="V14" s="2">
        <v>1000000</v>
      </c>
      <c r="W14" s="2">
        <f t="shared" si="3"/>
        <v>0</v>
      </c>
      <c r="X14" s="5">
        <f t="shared" si="4"/>
        <v>1000000</v>
      </c>
      <c r="Y14" s="1">
        <v>2</v>
      </c>
      <c r="Z14" s="5">
        <f t="shared" si="5"/>
        <v>21000</v>
      </c>
    </row>
    <row r="15" spans="1:26" x14ac:dyDescent="0.25">
      <c r="A15" s="1" t="s">
        <v>96</v>
      </c>
      <c r="B15" s="1" t="s">
        <v>140</v>
      </c>
      <c r="C15" s="1" t="s">
        <v>163</v>
      </c>
      <c r="D15" s="5">
        <f t="shared" si="0"/>
        <v>96153.846153846156</v>
      </c>
      <c r="E15" s="2">
        <v>2500000</v>
      </c>
      <c r="F15" s="2">
        <f>IFERROR(D15*((NETWORKDAYS.INTL(SUMMARRY!$B$1,SUMMARRY!$B$2,11))),"")</f>
        <v>2500000</v>
      </c>
      <c r="G15" s="2">
        <v>0</v>
      </c>
      <c r="H15" s="2">
        <v>0</v>
      </c>
      <c r="I15" s="2">
        <v>0</v>
      </c>
      <c r="J15" s="2">
        <v>0</v>
      </c>
      <c r="K15" s="2">
        <v>288000</v>
      </c>
      <c r="L15" s="2">
        <v>678633</v>
      </c>
      <c r="M15" s="2">
        <v>2368500</v>
      </c>
      <c r="N15" s="2">
        <v>1380646</v>
      </c>
      <c r="O15" s="2">
        <v>991302</v>
      </c>
      <c r="P15" s="6">
        <f t="shared" si="6"/>
        <v>0.39652080000000001</v>
      </c>
      <c r="Q15" s="6" t="str">
        <f t="shared" si="1"/>
        <v>OTHERS</v>
      </c>
      <c r="R15" s="2">
        <v>10089654.300000001</v>
      </c>
      <c r="S15" s="2">
        <v>10500</v>
      </c>
      <c r="T15" s="6">
        <f t="shared" si="2"/>
        <v>1.0406699464420698E-3</v>
      </c>
      <c r="U15" s="2">
        <v>5077925.43</v>
      </c>
      <c r="V15" s="2">
        <v>991302</v>
      </c>
      <c r="W15" s="2">
        <f t="shared" si="3"/>
        <v>0</v>
      </c>
      <c r="X15" s="5">
        <f t="shared" si="4"/>
        <v>991302</v>
      </c>
      <c r="Y15" s="1">
        <v>2</v>
      </c>
      <c r="Z15" s="5">
        <f t="shared" si="5"/>
        <v>20826.04</v>
      </c>
    </row>
    <row r="16" spans="1:26" x14ac:dyDescent="0.25">
      <c r="A16" s="1" t="s">
        <v>84</v>
      </c>
      <c r="B16" s="1" t="s">
        <v>103</v>
      </c>
      <c r="C16" s="1">
        <v>66</v>
      </c>
      <c r="D16" s="5">
        <f t="shared" si="0"/>
        <v>115384.61538461539</v>
      </c>
      <c r="E16" s="2">
        <v>3000000</v>
      </c>
      <c r="F16" s="2">
        <f>IFERROR(D16*((NETWORKDAYS.INTL(SUMMARRY!$B$1,SUMMARRY!$B$2,11))),"")</f>
        <v>3000000</v>
      </c>
      <c r="G16" s="2">
        <v>3000000</v>
      </c>
      <c r="H16" s="2">
        <v>1717846</v>
      </c>
      <c r="I16" s="2">
        <v>1535116</v>
      </c>
      <c r="J16" s="2">
        <v>852329</v>
      </c>
      <c r="K16" s="2">
        <v>1001198</v>
      </c>
      <c r="L16" s="2">
        <v>1715267</v>
      </c>
      <c r="M16" s="2">
        <v>2026399</v>
      </c>
      <c r="N16" s="2">
        <v>1810094</v>
      </c>
      <c r="O16" s="2">
        <v>923104</v>
      </c>
      <c r="P16" s="6">
        <f t="shared" si="6"/>
        <v>0.30770133333333333</v>
      </c>
      <c r="Q16" s="6" t="str">
        <f t="shared" si="1"/>
        <v>OTHERS</v>
      </c>
      <c r="R16" s="2">
        <v>29135309.99000001</v>
      </c>
      <c r="S16" s="2">
        <v>88013.19</v>
      </c>
      <c r="T16" s="6">
        <f t="shared" si="2"/>
        <v>3.0208427516373914E-3</v>
      </c>
      <c r="U16" s="2">
        <v>9053565.870000001</v>
      </c>
      <c r="V16" s="2">
        <v>607170</v>
      </c>
      <c r="W16" s="2">
        <f t="shared" si="3"/>
        <v>0</v>
      </c>
      <c r="X16" s="5">
        <f t="shared" si="4"/>
        <v>607170</v>
      </c>
      <c r="Y16" s="1">
        <v>0</v>
      </c>
      <c r="Z16" s="5">
        <f t="shared" si="5"/>
        <v>12143.4</v>
      </c>
    </row>
    <row r="17" spans="1:26" x14ac:dyDescent="0.25">
      <c r="A17" s="1" t="s">
        <v>87</v>
      </c>
      <c r="B17" s="1" t="s">
        <v>104</v>
      </c>
      <c r="C17" s="1" t="s">
        <v>154</v>
      </c>
      <c r="D17" s="5">
        <f t="shared" si="0"/>
        <v>96153.846153846156</v>
      </c>
      <c r="E17" s="2">
        <v>2500000</v>
      </c>
      <c r="F17" s="2">
        <f>IFERROR(D17*((NETWORKDAYS.INTL(SUMMARRY!$B$1,SUMMARRY!$B$2,11))),"")</f>
        <v>2500000</v>
      </c>
      <c r="G17" s="2">
        <v>0</v>
      </c>
      <c r="H17" s="2">
        <v>0</v>
      </c>
      <c r="I17" s="2">
        <v>1833996</v>
      </c>
      <c r="J17" s="2">
        <v>1997504</v>
      </c>
      <c r="K17" s="2">
        <v>2352000</v>
      </c>
      <c r="L17" s="2">
        <v>1013139</v>
      </c>
      <c r="M17" s="2">
        <v>3336259</v>
      </c>
      <c r="N17" s="2">
        <v>1442000</v>
      </c>
      <c r="O17" s="2">
        <v>740750</v>
      </c>
      <c r="P17" s="6">
        <f t="shared" si="6"/>
        <v>0.29630000000000001</v>
      </c>
      <c r="Q17" s="6" t="str">
        <f t="shared" si="1"/>
        <v>OTHERS</v>
      </c>
      <c r="R17" s="2">
        <v>12994523.449999999</v>
      </c>
      <c r="S17" s="2">
        <v>72848.753333333327</v>
      </c>
      <c r="T17" s="6">
        <f t="shared" si="2"/>
        <v>5.6061119604454085E-3</v>
      </c>
      <c r="U17" s="2">
        <v>4680825.71</v>
      </c>
      <c r="V17" s="2">
        <v>740750</v>
      </c>
      <c r="W17" s="2">
        <f t="shared" si="3"/>
        <v>0</v>
      </c>
      <c r="X17" s="5">
        <f t="shared" si="4"/>
        <v>740750</v>
      </c>
      <c r="Y17" s="1">
        <v>3</v>
      </c>
      <c r="Z17" s="5">
        <f t="shared" si="5"/>
        <v>16315</v>
      </c>
    </row>
    <row r="18" spans="1:26" x14ac:dyDescent="0.25">
      <c r="A18" s="1" t="s">
        <v>227</v>
      </c>
      <c r="B18" s="11" t="s">
        <v>254</v>
      </c>
      <c r="C18" s="1" t="s">
        <v>229</v>
      </c>
      <c r="D18" s="5">
        <f t="shared" si="0"/>
        <v>96153.846153846156</v>
      </c>
      <c r="E18" s="2">
        <v>2500000</v>
      </c>
      <c r="F18" s="2">
        <f>IFERROR(D18*((NETWORKDAYS.INTL(SUMMARRY!$B$1,SUMMARRY!$B$2,11))),"")</f>
        <v>2500000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565000</v>
      </c>
      <c r="M18" s="2">
        <v>232871</v>
      </c>
      <c r="N18" s="2">
        <v>1125000</v>
      </c>
      <c r="O18" s="2">
        <v>644000</v>
      </c>
      <c r="P18" s="6">
        <f t="shared" si="6"/>
        <v>0.2576</v>
      </c>
      <c r="Q18" s="6" t="str">
        <f t="shared" si="1"/>
        <v>OTHERS</v>
      </c>
      <c r="R18" s="2">
        <v>3358984.1100000003</v>
      </c>
      <c r="S18" s="2">
        <v>32127.43</v>
      </c>
      <c r="T18" s="6">
        <f t="shared" si="2"/>
        <v>9.5646269669313784E-3</v>
      </c>
      <c r="U18" s="2">
        <v>2112040.5599999996</v>
      </c>
      <c r="V18" s="2">
        <v>644000</v>
      </c>
      <c r="W18" s="2">
        <f t="shared" si="3"/>
        <v>0</v>
      </c>
      <c r="X18" s="5">
        <f t="shared" si="4"/>
        <v>644000</v>
      </c>
      <c r="Y18" s="1">
        <v>4</v>
      </c>
      <c r="Z18" s="5">
        <f t="shared" si="5"/>
        <v>14880</v>
      </c>
    </row>
    <row r="19" spans="1:26" x14ac:dyDescent="0.25">
      <c r="A19" s="1" t="s">
        <v>252</v>
      </c>
      <c r="B19" s="1" t="s">
        <v>605</v>
      </c>
      <c r="C19" s="1" t="s">
        <v>643</v>
      </c>
      <c r="D19" s="5">
        <f t="shared" si="0"/>
        <v>96153.846153846156</v>
      </c>
      <c r="E19" s="2">
        <v>2500000</v>
      </c>
      <c r="F19" s="2">
        <f>IFERROR(D19*((NETWORKDAYS.INTL(SUMMARRY!$B$1,SUMMARRY!$B$2,11))),"")</f>
        <v>2500000</v>
      </c>
      <c r="L19" s="2">
        <v>0</v>
      </c>
      <c r="M19" s="2">
        <v>896303</v>
      </c>
      <c r="N19" s="2">
        <v>243053</v>
      </c>
      <c r="O19" s="2">
        <v>463000</v>
      </c>
      <c r="P19" s="6">
        <f t="shared" si="6"/>
        <v>0.1852</v>
      </c>
      <c r="Q19" s="6" t="str">
        <f t="shared" si="1"/>
        <v>OTHERS</v>
      </c>
      <c r="R19" s="2">
        <v>1374520</v>
      </c>
      <c r="S19" s="2">
        <v>0</v>
      </c>
      <c r="T19" s="6">
        <f t="shared" si="2"/>
        <v>0</v>
      </c>
      <c r="U19" s="2">
        <v>359356</v>
      </c>
      <c r="V19" s="2">
        <v>463000</v>
      </c>
      <c r="W19" s="2">
        <f t="shared" si="3"/>
        <v>0</v>
      </c>
      <c r="X19" s="5">
        <f t="shared" si="4"/>
        <v>463000</v>
      </c>
      <c r="Y19" s="1">
        <v>2</v>
      </c>
      <c r="Z19" s="5">
        <f t="shared" si="5"/>
        <v>10260</v>
      </c>
    </row>
    <row r="20" spans="1:26" x14ac:dyDescent="0.25">
      <c r="A20" s="1" t="s">
        <v>99</v>
      </c>
      <c r="B20" s="1" t="s">
        <v>139</v>
      </c>
      <c r="C20" s="1" t="s">
        <v>166</v>
      </c>
      <c r="D20" s="5">
        <f t="shared" si="0"/>
        <v>96153.846153846156</v>
      </c>
      <c r="E20" s="2">
        <v>2500000</v>
      </c>
      <c r="F20" s="2">
        <f>IFERROR(D20*((NETWORKDAYS.INTL(SUMMARRY!$B$1,SUMMARRY!$B$2,11))),"")</f>
        <v>2500000</v>
      </c>
      <c r="G20" s="2">
        <v>0</v>
      </c>
      <c r="H20" s="2">
        <v>0</v>
      </c>
      <c r="I20" s="2">
        <v>0</v>
      </c>
      <c r="J20" s="2">
        <v>0</v>
      </c>
      <c r="K20" s="2">
        <v>635000</v>
      </c>
      <c r="L20" s="2">
        <v>1714000</v>
      </c>
      <c r="M20" s="2">
        <v>1389500</v>
      </c>
      <c r="N20" s="2">
        <v>4625963</v>
      </c>
      <c r="O20" s="2">
        <v>430000</v>
      </c>
      <c r="P20" s="6">
        <f t="shared" si="6"/>
        <v>0.17199999999999999</v>
      </c>
      <c r="Q20" s="6" t="str">
        <f t="shared" si="1"/>
        <v>OTHERS</v>
      </c>
      <c r="R20" s="2">
        <v>7694106.2400000002</v>
      </c>
      <c r="S20" s="2">
        <v>180916.55</v>
      </c>
      <c r="T20" s="6">
        <f t="shared" si="2"/>
        <v>2.3513653744401636E-2</v>
      </c>
      <c r="U20" s="2">
        <v>5641189.7800000003</v>
      </c>
      <c r="V20" s="2">
        <v>430000</v>
      </c>
      <c r="W20" s="2">
        <f t="shared" si="3"/>
        <v>0</v>
      </c>
      <c r="X20" s="5">
        <f t="shared" si="4"/>
        <v>430000</v>
      </c>
      <c r="Y20" s="1">
        <v>3</v>
      </c>
      <c r="Z20" s="5">
        <f t="shared" si="5"/>
        <v>10100</v>
      </c>
    </row>
    <row r="21" spans="1:26" x14ac:dyDescent="0.25">
      <c r="A21" s="1" t="s">
        <v>97</v>
      </c>
      <c r="B21" s="1" t="s">
        <v>141</v>
      </c>
      <c r="C21" s="1" t="s">
        <v>164</v>
      </c>
      <c r="D21" s="5">
        <f t="shared" si="0"/>
        <v>96153.846153846156</v>
      </c>
      <c r="E21" s="2">
        <v>2500000</v>
      </c>
      <c r="F21" s="2">
        <f>IFERROR(D21*((NETWORKDAYS.INTL(SUMMARRY!$B$1,SUMMARRY!$B$2,11))),"")</f>
        <v>2500000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1640000</v>
      </c>
      <c r="M21" s="2">
        <v>710000</v>
      </c>
      <c r="N21" s="2">
        <v>1708000</v>
      </c>
      <c r="O21" s="2">
        <v>195887</v>
      </c>
      <c r="P21" s="6">
        <f t="shared" si="6"/>
        <v>7.8354800000000002E-2</v>
      </c>
      <c r="Q21" s="6" t="str">
        <f t="shared" si="1"/>
        <v>OTHERS</v>
      </c>
      <c r="R21" s="2">
        <v>5926525.6299999999</v>
      </c>
      <c r="S21" s="2">
        <v>227516.18999999997</v>
      </c>
      <c r="T21" s="6">
        <f t="shared" si="2"/>
        <v>3.8389472045529643E-2</v>
      </c>
      <c r="U21" s="2">
        <v>3630678.92</v>
      </c>
      <c r="V21" s="2">
        <v>195887</v>
      </c>
      <c r="W21" s="2">
        <f t="shared" si="3"/>
        <v>0</v>
      </c>
      <c r="X21" s="5">
        <f t="shared" si="4"/>
        <v>195887</v>
      </c>
      <c r="Y21" s="1">
        <v>0</v>
      </c>
      <c r="Z21" s="5">
        <f t="shared" si="5"/>
        <v>3917.7400000000002</v>
      </c>
    </row>
    <row r="22" spans="1:26" x14ac:dyDescent="0.25">
      <c r="A22" s="1" t="s">
        <v>226</v>
      </c>
      <c r="B22" s="1" t="s">
        <v>255</v>
      </c>
      <c r="C22" s="1" t="s">
        <v>228</v>
      </c>
      <c r="D22" s="5">
        <f t="shared" si="0"/>
        <v>96153.846153846156</v>
      </c>
      <c r="E22" s="2">
        <v>2500000</v>
      </c>
      <c r="F22" s="2">
        <f>IFERROR(D22*((NETWORKDAYS.INTL(SUMMARRY!$B$1,SUMMARRY!$B$2,11))),"")</f>
        <v>2500000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1464000</v>
      </c>
      <c r="M22" s="2">
        <v>2340773</v>
      </c>
      <c r="N22" s="2">
        <v>570625</v>
      </c>
      <c r="O22" s="2">
        <v>173986</v>
      </c>
      <c r="P22" s="6">
        <f t="shared" si="6"/>
        <v>6.9594400000000001E-2</v>
      </c>
      <c r="Q22" s="6" t="str">
        <f t="shared" si="1"/>
        <v>OTHERS</v>
      </c>
      <c r="R22" s="2">
        <v>5077002.1300000008</v>
      </c>
      <c r="S22" s="2">
        <v>511948.19999999995</v>
      </c>
      <c r="T22" s="6">
        <f t="shared" si="2"/>
        <v>0.10083671168363285</v>
      </c>
      <c r="U22" s="2">
        <v>3272355.9299999997</v>
      </c>
      <c r="V22" s="2">
        <v>173986</v>
      </c>
      <c r="W22" s="2">
        <f t="shared" si="3"/>
        <v>0</v>
      </c>
      <c r="X22" s="5">
        <f t="shared" si="4"/>
        <v>173986</v>
      </c>
      <c r="Y22" s="1">
        <v>0</v>
      </c>
      <c r="Z22" s="5">
        <f t="shared" si="5"/>
        <v>3479.7200000000003</v>
      </c>
    </row>
    <row r="23" spans="1:26" x14ac:dyDescent="0.25">
      <c r="A23" s="1" t="s">
        <v>707</v>
      </c>
      <c r="B23" s="1" t="s">
        <v>712</v>
      </c>
      <c r="C23" s="1" t="s">
        <v>709</v>
      </c>
      <c r="D23" s="5">
        <f t="shared" si="0"/>
        <v>96153.846153846156</v>
      </c>
      <c r="E23" s="2">
        <v>2500000</v>
      </c>
      <c r="F23" s="2">
        <f>IFERROR(D23*((NETWORKDAYS.INTL(SUMMARRY!$B$1,SUMMARRY!$B$2,11))),"")</f>
        <v>2500000</v>
      </c>
      <c r="G23" s="2">
        <v>3000000</v>
      </c>
      <c r="H23" s="2">
        <v>2168307.7999999998</v>
      </c>
      <c r="I23" s="2">
        <v>3550000</v>
      </c>
      <c r="J23" s="2">
        <v>1775230</v>
      </c>
      <c r="K23" s="2">
        <v>300000</v>
      </c>
      <c r="L23" s="2">
        <v>0</v>
      </c>
      <c r="M23" s="2">
        <v>1395000</v>
      </c>
      <c r="N23" s="2">
        <v>220000</v>
      </c>
      <c r="O23" s="2">
        <v>142968</v>
      </c>
      <c r="P23" s="6">
        <f t="shared" si="6"/>
        <v>5.7187200000000001E-2</v>
      </c>
      <c r="Q23" s="6" t="str">
        <f t="shared" si="1"/>
        <v>OTHERS</v>
      </c>
      <c r="R23" s="2">
        <v>544824</v>
      </c>
      <c r="S23" s="2">
        <v>0</v>
      </c>
      <c r="T23" s="6">
        <f t="shared" si="2"/>
        <v>0</v>
      </c>
      <c r="U23" s="2">
        <v>142968</v>
      </c>
      <c r="V23" s="2">
        <v>142968</v>
      </c>
      <c r="W23" s="2">
        <f t="shared" si="3"/>
        <v>0</v>
      </c>
      <c r="X23" s="5">
        <f t="shared" si="4"/>
        <v>142968</v>
      </c>
      <c r="Y23" s="1">
        <v>2</v>
      </c>
      <c r="Z23" s="5">
        <f t="shared" si="5"/>
        <v>3859.36</v>
      </c>
    </row>
    <row r="24" spans="1:26" x14ac:dyDescent="0.25">
      <c r="A24" s="1" t="s">
        <v>98</v>
      </c>
      <c r="B24" s="1" t="s">
        <v>138</v>
      </c>
      <c r="C24" s="1" t="s">
        <v>165</v>
      </c>
      <c r="D24" s="5">
        <f t="shared" si="0"/>
        <v>96153.846153846156</v>
      </c>
      <c r="E24" s="2">
        <v>2500000</v>
      </c>
      <c r="F24" s="2">
        <f>IFERROR(D24*((NETWORKDAYS.INTL(SUMMARRY!$B$1,SUMMARRY!$B$2,11))),"")</f>
        <v>2500000</v>
      </c>
      <c r="G24" s="2">
        <v>0</v>
      </c>
      <c r="H24" s="2">
        <v>0</v>
      </c>
      <c r="I24" s="2">
        <v>0</v>
      </c>
      <c r="J24" s="2">
        <v>0</v>
      </c>
      <c r="K24" s="2">
        <v>420000</v>
      </c>
      <c r="L24" s="2">
        <v>936392</v>
      </c>
      <c r="M24" s="2">
        <v>6526809</v>
      </c>
      <c r="N24" s="2">
        <v>2162223</v>
      </c>
      <c r="O24" s="2">
        <v>0</v>
      </c>
      <c r="P24" s="6">
        <f t="shared" si="6"/>
        <v>0</v>
      </c>
      <c r="Q24" s="6" t="str">
        <f t="shared" si="1"/>
        <v>OTHERS</v>
      </c>
      <c r="R24" s="2">
        <v>15946772.120000001</v>
      </c>
      <c r="S24" s="2">
        <v>1033338.81</v>
      </c>
      <c r="T24" s="6">
        <f t="shared" si="2"/>
        <v>6.4799246030738417E-2</v>
      </c>
      <c r="U24" s="2">
        <v>8824775.6699999999</v>
      </c>
      <c r="V24" s="2">
        <v>0</v>
      </c>
      <c r="W24" s="2">
        <f t="shared" si="3"/>
        <v>0</v>
      </c>
      <c r="X24" s="5">
        <f t="shared" si="4"/>
        <v>0</v>
      </c>
      <c r="Y24" s="1">
        <v>1</v>
      </c>
      <c r="Z24" s="5">
        <f t="shared" si="5"/>
        <v>500</v>
      </c>
    </row>
    <row r="25" spans="1:26" x14ac:dyDescent="0.25">
      <c r="A25" s="1" t="s">
        <v>251</v>
      </c>
      <c r="B25" s="1" t="s">
        <v>604</v>
      </c>
      <c r="C25" s="1" t="s">
        <v>642</v>
      </c>
      <c r="D25" s="5">
        <f t="shared" si="0"/>
        <v>96153.846153846156</v>
      </c>
      <c r="E25" s="2">
        <v>2500000</v>
      </c>
      <c r="F25" s="2">
        <f>IFERROR(D25*((NETWORKDAYS.INTL(SUMMARRY!$B$1,SUMMARRY!$B$2,11))),"")</f>
        <v>2500000</v>
      </c>
      <c r="L25" s="2">
        <v>0</v>
      </c>
      <c r="M25" s="2">
        <v>448455</v>
      </c>
      <c r="N25" s="2">
        <v>1794318</v>
      </c>
      <c r="O25" s="2">
        <v>0</v>
      </c>
      <c r="P25" s="6">
        <f t="shared" si="6"/>
        <v>0</v>
      </c>
      <c r="Q25" s="6" t="str">
        <f t="shared" si="1"/>
        <v>OTHERS</v>
      </c>
      <c r="R25" s="2">
        <v>3666237.33</v>
      </c>
      <c r="S25" s="2">
        <v>13156.97</v>
      </c>
      <c r="T25" s="6">
        <f t="shared" si="2"/>
        <v>3.5886847510769302E-3</v>
      </c>
      <c r="U25" s="2">
        <v>2228328.9699999997</v>
      </c>
      <c r="V25" s="2">
        <v>0</v>
      </c>
      <c r="W25" s="2">
        <f t="shared" si="3"/>
        <v>0</v>
      </c>
      <c r="X25" s="5">
        <f t="shared" si="4"/>
        <v>0</v>
      </c>
      <c r="Y25" s="1">
        <v>0</v>
      </c>
      <c r="Z25" s="5">
        <f t="shared" si="5"/>
        <v>0</v>
      </c>
    </row>
    <row r="26" spans="1:26" x14ac:dyDescent="0.25">
      <c r="A26" s="1" t="s">
        <v>91</v>
      </c>
      <c r="B26" s="1" t="s">
        <v>121</v>
      </c>
      <c r="C26" s="1" t="s">
        <v>158</v>
      </c>
      <c r="D26" s="5">
        <f t="shared" si="0"/>
        <v>96153.846153846156</v>
      </c>
      <c r="E26" s="2">
        <v>2500000</v>
      </c>
      <c r="F26" s="2">
        <f>IFERROR(D26*((NETWORKDAYS.INTL(SUMMARRY!$B$1,SUMMARRY!$B$2,11))),"")</f>
        <v>2500000</v>
      </c>
      <c r="G26" s="2">
        <v>3000000</v>
      </c>
      <c r="H26" s="2">
        <v>2168307.7999999998</v>
      </c>
      <c r="I26" s="2">
        <v>3550000</v>
      </c>
      <c r="J26" s="2">
        <v>1775230</v>
      </c>
      <c r="K26" s="2">
        <v>300000</v>
      </c>
      <c r="L26" s="2">
        <v>0</v>
      </c>
      <c r="M26" s="2">
        <v>1395000</v>
      </c>
      <c r="N26" s="2">
        <v>220000</v>
      </c>
      <c r="O26" s="2">
        <v>0</v>
      </c>
      <c r="P26" s="6">
        <f t="shared" si="6"/>
        <v>0</v>
      </c>
      <c r="Q26" s="6" t="str">
        <f t="shared" si="1"/>
        <v>OTHERS</v>
      </c>
      <c r="R26" s="2">
        <v>13115887.210000001</v>
      </c>
      <c r="S26" s="2">
        <v>118682.04999999999</v>
      </c>
      <c r="T26" s="6">
        <f t="shared" si="2"/>
        <v>9.0487245048518506E-3</v>
      </c>
      <c r="U26" s="2">
        <v>6236631.8500000006</v>
      </c>
      <c r="V26" s="2">
        <v>0</v>
      </c>
      <c r="W26" s="2">
        <f t="shared" si="3"/>
        <v>0</v>
      </c>
      <c r="X26" s="5">
        <f t="shared" si="4"/>
        <v>0</v>
      </c>
      <c r="Y26" s="1">
        <v>0</v>
      </c>
      <c r="Z26" s="5">
        <f t="shared" si="5"/>
        <v>0</v>
      </c>
    </row>
    <row r="27" spans="1:26" x14ac:dyDescent="0.25">
      <c r="A27" s="1" t="s">
        <v>706</v>
      </c>
      <c r="B27" s="1" t="s">
        <v>711</v>
      </c>
      <c r="C27" s="1" t="s">
        <v>708</v>
      </c>
      <c r="D27" s="5">
        <f t="shared" si="0"/>
        <v>96153.846153846156</v>
      </c>
      <c r="E27" s="2">
        <v>2500000</v>
      </c>
      <c r="F27" s="2">
        <f>IFERROR(D27*((NETWORKDAYS.INTL(SUMMARRY!$B$1,SUMMARRY!$B$2,11))),"")</f>
        <v>2500000</v>
      </c>
      <c r="G27" s="2">
        <v>3000000</v>
      </c>
      <c r="H27" s="2">
        <v>2168307.7999999998</v>
      </c>
      <c r="I27" s="2">
        <v>3550000</v>
      </c>
      <c r="J27" s="2">
        <v>1775230</v>
      </c>
      <c r="K27" s="2">
        <v>300000</v>
      </c>
      <c r="L27" s="2">
        <v>0</v>
      </c>
      <c r="M27" s="2">
        <v>1395000</v>
      </c>
      <c r="N27" s="2">
        <v>220000</v>
      </c>
      <c r="O27" s="2">
        <v>0</v>
      </c>
      <c r="P27" s="6">
        <f t="shared" si="6"/>
        <v>0</v>
      </c>
      <c r="Q27" s="6" t="str">
        <f t="shared" si="1"/>
        <v>OTHERS</v>
      </c>
      <c r="R27" s="2">
        <v>0</v>
      </c>
      <c r="S27" s="2">
        <v>0</v>
      </c>
      <c r="T27" s="6">
        <f t="shared" si="2"/>
        <v>0</v>
      </c>
      <c r="U27" s="2">
        <v>0</v>
      </c>
      <c r="V27" s="2">
        <v>0</v>
      </c>
      <c r="W27" s="2">
        <f t="shared" si="3"/>
        <v>0</v>
      </c>
      <c r="X27" s="5">
        <f t="shared" si="4"/>
        <v>0</v>
      </c>
      <c r="Y27" s="1">
        <v>1</v>
      </c>
      <c r="Z27" s="5">
        <f t="shared" si="5"/>
        <v>500</v>
      </c>
    </row>
  </sheetData>
  <sortState ref="A2:Z27">
    <sortCondition descending="1" ref="P2:P27"/>
  </sortState>
  <conditionalFormatting sqref="A1:A1048576">
    <cfRule type="duplicateValues" dxfId="8" priority="6"/>
  </conditionalFormatting>
  <conditionalFormatting sqref="W28:W1048576 A1:A1048576">
    <cfRule type="duplicateValues" dxfId="7" priority="5"/>
  </conditionalFormatting>
  <conditionalFormatting sqref="P2:P27">
    <cfRule type="cellIs" dxfId="6" priority="3" operator="between">
      <formula>0.31</formula>
      <formula>0.49</formula>
    </cfRule>
    <cfRule type="cellIs" dxfId="5" priority="4" operator="between">
      <formula>0</formula>
      <formula>0.3</formula>
    </cfRule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F103-C2E5-45CC-9A79-EFB6178000FA}">
  <dimension ref="A1:P138"/>
  <sheetViews>
    <sheetView tabSelected="1" topLeftCell="A13" workbookViewId="0">
      <selection activeCell="O21" sqref="O21"/>
    </sheetView>
  </sheetViews>
  <sheetFormatPr defaultColWidth="9.140625" defaultRowHeight="15" x14ac:dyDescent="0.25"/>
  <cols>
    <col min="1" max="1" width="29.28515625" style="1" bestFit="1" customWidth="1"/>
    <col min="2" max="2" width="16.28515625" style="1" bestFit="1" customWidth="1"/>
    <col min="3" max="3" width="21" style="1" bestFit="1" customWidth="1"/>
    <col min="4" max="4" width="16.42578125" style="1" bestFit="1" customWidth="1"/>
    <col min="5" max="6" width="16.28515625" style="1" bestFit="1" customWidth="1"/>
    <col min="7" max="7" width="16.140625" style="1" bestFit="1" customWidth="1"/>
    <col min="8" max="9" width="17.5703125" style="1" bestFit="1" customWidth="1"/>
    <col min="10" max="10" width="16.85546875" style="1" bestFit="1" customWidth="1"/>
    <col min="11" max="11" width="16.85546875" style="1" customWidth="1"/>
    <col min="12" max="12" width="14.7109375" style="1" bestFit="1" customWidth="1"/>
    <col min="13" max="13" width="15.28515625" style="1" bestFit="1" customWidth="1"/>
    <col min="14" max="15" width="15.28515625" style="1" customWidth="1"/>
    <col min="16" max="16" width="14" style="1" customWidth="1"/>
    <col min="17" max="16384" width="9.140625" style="1"/>
  </cols>
  <sheetData>
    <row r="1" spans="1:16" s="9" customFormat="1" ht="30" x14ac:dyDescent="0.25">
      <c r="A1" s="7" t="s">
        <v>258</v>
      </c>
      <c r="B1" s="7" t="s">
        <v>100</v>
      </c>
      <c r="C1" s="7" t="s">
        <v>1</v>
      </c>
      <c r="D1" s="7" t="s">
        <v>327</v>
      </c>
      <c r="E1" s="8" t="s">
        <v>240</v>
      </c>
      <c r="F1" s="8" t="s">
        <v>257</v>
      </c>
      <c r="G1" s="7" t="s">
        <v>43</v>
      </c>
      <c r="H1" s="7" t="s">
        <v>46</v>
      </c>
      <c r="I1" s="7" t="s">
        <v>45</v>
      </c>
      <c r="J1" s="7" t="s">
        <v>44</v>
      </c>
      <c r="K1" s="7" t="s">
        <v>42</v>
      </c>
      <c r="L1" s="7" t="s">
        <v>225</v>
      </c>
      <c r="M1" s="7" t="s">
        <v>326</v>
      </c>
      <c r="N1" s="7" t="s">
        <v>595</v>
      </c>
      <c r="O1" s="7" t="s">
        <v>651</v>
      </c>
      <c r="P1" s="8" t="s">
        <v>223</v>
      </c>
    </row>
    <row r="2" spans="1:16" x14ac:dyDescent="0.25">
      <c r="A2" s="1" t="s">
        <v>259</v>
      </c>
      <c r="B2" s="1" t="s">
        <v>288</v>
      </c>
      <c r="C2" s="1" t="s">
        <v>26</v>
      </c>
      <c r="D2" s="5">
        <f>E2/24</f>
        <v>5437500</v>
      </c>
      <c r="E2" s="2">
        <v>130500000</v>
      </c>
      <c r="F2" s="2">
        <f>E2</f>
        <v>130500000</v>
      </c>
      <c r="G2" s="2">
        <v>81719999.99999997</v>
      </c>
      <c r="H2" s="2">
        <v>111740856</v>
      </c>
      <c r="I2" s="2">
        <v>99381504</v>
      </c>
      <c r="J2" s="2">
        <v>42057331</v>
      </c>
      <c r="K2" s="2">
        <v>82244093</v>
      </c>
      <c r="L2" s="2">
        <v>95136560</v>
      </c>
      <c r="M2" s="2">
        <v>85917755</v>
      </c>
      <c r="N2" s="2">
        <v>63160893</v>
      </c>
      <c r="O2" s="2">
        <v>85618478</v>
      </c>
      <c r="P2" s="6">
        <f>O2/F2</f>
        <v>0.65608029118773947</v>
      </c>
    </row>
    <row r="3" spans="1:16" x14ac:dyDescent="0.25">
      <c r="A3" s="1" t="s">
        <v>276</v>
      </c>
      <c r="B3" s="1" t="s">
        <v>289</v>
      </c>
      <c r="C3" s="1" t="s">
        <v>30</v>
      </c>
      <c r="D3" s="5">
        <f>E3/24</f>
        <v>3104166.6666666665</v>
      </c>
      <c r="E3" s="2">
        <v>74500000</v>
      </c>
      <c r="F3" s="2">
        <f t="shared" ref="F3:F14" si="0">E3</f>
        <v>74500000</v>
      </c>
      <c r="G3" s="2">
        <v>67919999.99999997</v>
      </c>
      <c r="H3" s="2">
        <v>14400036</v>
      </c>
      <c r="I3" s="2">
        <v>9651238</v>
      </c>
      <c r="J3" s="2">
        <v>35325267.670000002</v>
      </c>
      <c r="K3" s="2">
        <v>18272720</v>
      </c>
      <c r="L3" s="2">
        <v>41590236</v>
      </c>
      <c r="M3" s="2">
        <v>22991076</v>
      </c>
      <c r="N3" s="2">
        <v>29350298</v>
      </c>
      <c r="O3" s="2">
        <v>36939896</v>
      </c>
      <c r="P3" s="6">
        <f t="shared" ref="P3:P14" si="1">O3/F3</f>
        <v>0.4958375302013423</v>
      </c>
    </row>
    <row r="4" spans="1:16" x14ac:dyDescent="0.25">
      <c r="A4" s="1" t="s">
        <v>713</v>
      </c>
      <c r="C4" s="1" t="s">
        <v>4</v>
      </c>
      <c r="D4" s="5">
        <f t="shared" ref="D4:D14" si="2">E4/26</f>
        <v>7307692.307692308</v>
      </c>
      <c r="E4" s="2">
        <v>190000000</v>
      </c>
      <c r="F4" s="2">
        <f t="shared" si="0"/>
        <v>190000000</v>
      </c>
      <c r="G4" s="2">
        <v>74819999.999999985</v>
      </c>
      <c r="H4" s="2">
        <v>126146555</v>
      </c>
      <c r="I4" s="2">
        <v>121345612</v>
      </c>
      <c r="J4" s="2">
        <v>126604099</v>
      </c>
      <c r="K4" s="2">
        <v>137076282</v>
      </c>
      <c r="L4" s="2">
        <v>186851013</v>
      </c>
      <c r="M4" s="2">
        <v>122546898</v>
      </c>
      <c r="N4" s="2">
        <v>32494917</v>
      </c>
      <c r="O4" s="2">
        <v>108126910.3</v>
      </c>
      <c r="P4" s="6">
        <f t="shared" si="1"/>
        <v>0.56908900157894737</v>
      </c>
    </row>
    <row r="5" spans="1:16" x14ac:dyDescent="0.25">
      <c r="A5" s="1" t="s">
        <v>260</v>
      </c>
      <c r="B5" s="1" t="s">
        <v>290</v>
      </c>
      <c r="C5" s="1" t="s">
        <v>20</v>
      </c>
      <c r="D5" s="5">
        <f t="shared" si="2"/>
        <v>3653846.153846154</v>
      </c>
      <c r="E5" s="2">
        <v>95000000</v>
      </c>
      <c r="F5" s="2">
        <f t="shared" si="0"/>
        <v>95000000</v>
      </c>
      <c r="G5" s="2">
        <v>50640000</v>
      </c>
      <c r="H5" s="2">
        <v>29325004.800000001</v>
      </c>
      <c r="I5" s="2">
        <v>27624610.670000002</v>
      </c>
      <c r="J5" s="2">
        <v>23366602</v>
      </c>
      <c r="K5" s="2">
        <v>21479141</v>
      </c>
      <c r="L5" s="2">
        <v>25819811.989999998</v>
      </c>
      <c r="M5" s="2">
        <v>19751557</v>
      </c>
      <c r="N5" s="2">
        <v>14565294</v>
      </c>
      <c r="O5" s="2">
        <v>16397881</v>
      </c>
      <c r="P5" s="6">
        <f t="shared" si="1"/>
        <v>0.17260927368421053</v>
      </c>
    </row>
    <row r="6" spans="1:16" x14ac:dyDescent="0.25">
      <c r="A6" s="1" t="s">
        <v>261</v>
      </c>
      <c r="B6" s="1" t="s">
        <v>291</v>
      </c>
      <c r="C6" s="1" t="s">
        <v>24</v>
      </c>
      <c r="D6" s="5">
        <f t="shared" si="2"/>
        <v>1730769.2307692308</v>
      </c>
      <c r="E6" s="2">
        <v>45000000</v>
      </c>
      <c r="F6" s="2">
        <f t="shared" si="0"/>
        <v>45000000</v>
      </c>
      <c r="G6" s="2">
        <v>30240000</v>
      </c>
      <c r="H6" s="2">
        <v>11555639</v>
      </c>
      <c r="I6" s="2">
        <v>11928350</v>
      </c>
      <c r="J6" s="2">
        <v>7393687</v>
      </c>
      <c r="K6" s="2">
        <v>8483847</v>
      </c>
      <c r="L6" s="2">
        <v>8528695</v>
      </c>
      <c r="M6" s="2">
        <v>5727080</v>
      </c>
      <c r="N6" s="2">
        <v>7074825</v>
      </c>
      <c r="O6" s="2">
        <v>7016325</v>
      </c>
      <c r="P6" s="6">
        <f t="shared" si="1"/>
        <v>0.15591833333333333</v>
      </c>
    </row>
    <row r="7" spans="1:16" x14ac:dyDescent="0.25">
      <c r="A7" s="1" t="s">
        <v>262</v>
      </c>
      <c r="B7" s="1" t="s">
        <v>292</v>
      </c>
      <c r="C7" s="1" t="s">
        <v>17</v>
      </c>
      <c r="D7" s="5">
        <f t="shared" si="2"/>
        <v>3000000</v>
      </c>
      <c r="E7" s="2">
        <v>78000000</v>
      </c>
      <c r="F7" s="2">
        <f t="shared" si="0"/>
        <v>78000000</v>
      </c>
      <c r="G7" s="2">
        <v>49259999.999999993</v>
      </c>
      <c r="H7" s="2">
        <v>40722208</v>
      </c>
      <c r="I7" s="2">
        <v>32811862</v>
      </c>
      <c r="J7" s="2">
        <v>20708021</v>
      </c>
      <c r="K7" s="2">
        <v>20150825</v>
      </c>
      <c r="L7" s="2">
        <v>16540361</v>
      </c>
      <c r="M7" s="2">
        <v>16472249</v>
      </c>
      <c r="N7" s="2">
        <v>21898234</v>
      </c>
      <c r="O7" s="2">
        <v>29245269</v>
      </c>
      <c r="P7" s="6">
        <f t="shared" si="1"/>
        <v>0.37493934615384616</v>
      </c>
    </row>
    <row r="8" spans="1:16" x14ac:dyDescent="0.25">
      <c r="C8" s="1" t="s">
        <v>13</v>
      </c>
      <c r="D8" s="5">
        <f t="shared" si="2"/>
        <v>2692307.6923076925</v>
      </c>
      <c r="E8" s="2">
        <v>70000000</v>
      </c>
      <c r="F8" s="2">
        <f t="shared" si="0"/>
        <v>70000000</v>
      </c>
      <c r="G8" s="2">
        <v>57899999.999999985</v>
      </c>
      <c r="H8" s="2">
        <v>15374897</v>
      </c>
      <c r="I8" s="2">
        <v>19825873.5</v>
      </c>
      <c r="J8" s="2">
        <v>17275405</v>
      </c>
      <c r="K8" s="2">
        <v>12030172</v>
      </c>
      <c r="L8" s="2">
        <v>17103995</v>
      </c>
      <c r="M8" s="2">
        <v>19021122</v>
      </c>
      <c r="N8" s="2">
        <v>15978599</v>
      </c>
      <c r="O8" s="2">
        <v>16633004</v>
      </c>
      <c r="P8" s="6">
        <f t="shared" si="1"/>
        <v>0.23761434285714286</v>
      </c>
    </row>
    <row r="9" spans="1:16" x14ac:dyDescent="0.25">
      <c r="A9" s="1" t="s">
        <v>263</v>
      </c>
      <c r="B9" s="1" t="s">
        <v>293</v>
      </c>
      <c r="C9" s="1" t="s">
        <v>12</v>
      </c>
      <c r="D9" s="5">
        <f t="shared" si="2"/>
        <v>1538461.5384615385</v>
      </c>
      <c r="E9" s="2">
        <v>40000000</v>
      </c>
      <c r="F9" s="2">
        <f t="shared" si="0"/>
        <v>40000000</v>
      </c>
      <c r="G9" s="2">
        <v>26699999.999999993</v>
      </c>
      <c r="H9" s="2">
        <v>5121268</v>
      </c>
      <c r="I9" s="2">
        <v>3885222</v>
      </c>
      <c r="J9" s="2">
        <v>10168569</v>
      </c>
      <c r="K9" s="2">
        <v>7244475</v>
      </c>
      <c r="L9" s="2">
        <v>5927856</v>
      </c>
      <c r="M9" s="2">
        <v>5830806</v>
      </c>
      <c r="N9" s="2">
        <v>6089895</v>
      </c>
      <c r="O9" s="2">
        <v>5028893</v>
      </c>
      <c r="P9" s="6">
        <f t="shared" si="1"/>
        <v>0.125722325</v>
      </c>
    </row>
    <row r="10" spans="1:16" x14ac:dyDescent="0.25">
      <c r="A10" s="1" t="s">
        <v>714</v>
      </c>
      <c r="C10" s="1" t="s">
        <v>35</v>
      </c>
      <c r="D10" s="5">
        <f t="shared" si="2"/>
        <v>4826923.076923077</v>
      </c>
      <c r="E10" s="2">
        <v>125500000</v>
      </c>
      <c r="F10" s="2">
        <f t="shared" si="0"/>
        <v>125500000</v>
      </c>
      <c r="G10" s="2">
        <v>85680000.000000015</v>
      </c>
      <c r="H10" s="2">
        <v>104836207</v>
      </c>
      <c r="I10" s="2">
        <v>32858263</v>
      </c>
      <c r="J10" s="2">
        <v>50033605.670000002</v>
      </c>
      <c r="K10" s="2">
        <v>95897835.549999997</v>
      </c>
      <c r="L10" s="2">
        <v>73200337.719999999</v>
      </c>
      <c r="M10" s="2">
        <v>115593743.55</v>
      </c>
      <c r="N10" s="2">
        <v>73583520.670000002</v>
      </c>
      <c r="O10" s="2">
        <v>73699843.109999999</v>
      </c>
      <c r="P10" s="6">
        <f t="shared" si="1"/>
        <v>0.58724974589641432</v>
      </c>
    </row>
    <row r="11" spans="1:16" x14ac:dyDescent="0.25">
      <c r="A11" s="1" t="s">
        <v>264</v>
      </c>
      <c r="B11" s="1" t="s">
        <v>294</v>
      </c>
      <c r="C11" s="1" t="s">
        <v>9</v>
      </c>
      <c r="D11" s="5">
        <f t="shared" si="2"/>
        <v>2750000</v>
      </c>
      <c r="E11" s="2">
        <v>71500000</v>
      </c>
      <c r="F11" s="2">
        <f t="shared" si="0"/>
        <v>71500000</v>
      </c>
      <c r="G11" s="2">
        <v>51060000</v>
      </c>
      <c r="H11" s="2">
        <v>16636473</v>
      </c>
      <c r="I11" s="2">
        <v>12932134</v>
      </c>
      <c r="J11" s="2">
        <v>12130590.550000001</v>
      </c>
      <c r="K11" s="2">
        <v>10642513</v>
      </c>
      <c r="L11" s="2">
        <v>11901701</v>
      </c>
      <c r="M11" s="2">
        <v>12084699</v>
      </c>
      <c r="N11" s="2">
        <v>14463945.359999999</v>
      </c>
      <c r="O11" s="2">
        <v>11403885</v>
      </c>
      <c r="P11" s="6">
        <f t="shared" si="1"/>
        <v>0.15949489510489512</v>
      </c>
    </row>
    <row r="12" spans="1:16" x14ac:dyDescent="0.25">
      <c r="A12" s="1" t="s">
        <v>38</v>
      </c>
      <c r="C12" s="1" t="s">
        <v>39</v>
      </c>
      <c r="D12" s="5">
        <f t="shared" si="2"/>
        <v>1538461.5384615385</v>
      </c>
      <c r="E12" s="2">
        <v>40000000</v>
      </c>
      <c r="F12" s="2">
        <f>E12</f>
        <v>40000000</v>
      </c>
      <c r="G12" s="2">
        <v>24059999.999999996</v>
      </c>
      <c r="H12" s="2">
        <v>3488295.92</v>
      </c>
      <c r="I12" s="2">
        <v>3021773.83</v>
      </c>
      <c r="J12" s="2">
        <v>1206925</v>
      </c>
      <c r="K12" s="2">
        <v>2460627</v>
      </c>
      <c r="L12" s="2">
        <v>3026338</v>
      </c>
      <c r="M12" s="2">
        <v>4380860</v>
      </c>
      <c r="N12" s="2">
        <v>1615394</v>
      </c>
      <c r="O12" s="2">
        <v>3286756</v>
      </c>
      <c r="P12" s="6">
        <f t="shared" si="1"/>
        <v>8.2168900000000003E-2</v>
      </c>
    </row>
    <row r="13" spans="1:16" x14ac:dyDescent="0.25">
      <c r="A13" s="1" t="s">
        <v>715</v>
      </c>
      <c r="C13" s="1" t="s">
        <v>590</v>
      </c>
      <c r="D13" s="5">
        <f t="shared" si="2"/>
        <v>769230.76923076925</v>
      </c>
      <c r="E13" s="2">
        <v>20000000</v>
      </c>
      <c r="F13" s="2">
        <f>E13</f>
        <v>20000000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5212388</v>
      </c>
      <c r="P13" s="6">
        <f t="shared" si="1"/>
        <v>0.2606194</v>
      </c>
    </row>
    <row r="14" spans="1:16" x14ac:dyDescent="0.25">
      <c r="A14" s="1" t="s">
        <v>265</v>
      </c>
      <c r="B14" s="1" t="s">
        <v>295</v>
      </c>
      <c r="C14" s="1" t="s">
        <v>19</v>
      </c>
      <c r="D14" s="5">
        <f t="shared" si="2"/>
        <v>1538461.5384615385</v>
      </c>
      <c r="E14" s="2">
        <v>40000000</v>
      </c>
      <c r="F14" s="2">
        <f t="shared" si="0"/>
        <v>40000000</v>
      </c>
      <c r="G14" s="2">
        <v>10000000</v>
      </c>
      <c r="H14" s="2">
        <v>752950</v>
      </c>
      <c r="I14" s="2">
        <v>5922785</v>
      </c>
      <c r="J14" s="2">
        <v>9565420</v>
      </c>
      <c r="K14" s="2">
        <v>4118873</v>
      </c>
      <c r="L14" s="2">
        <v>14793043</v>
      </c>
      <c r="M14" s="2">
        <v>5213285</v>
      </c>
      <c r="N14" s="2">
        <v>9493285</v>
      </c>
      <c r="O14" s="2">
        <v>13268905</v>
      </c>
      <c r="P14" s="6">
        <f t="shared" si="1"/>
        <v>0.33172262499999999</v>
      </c>
    </row>
    <row r="15" spans="1:16" x14ac:dyDescent="0.25">
      <c r="A15" s="3" t="s">
        <v>284</v>
      </c>
      <c r="B15" s="3"/>
      <c r="C15" s="3" t="s">
        <v>79</v>
      </c>
      <c r="D15" s="18">
        <f>SUM(D2:D14)</f>
        <v>39887820.512820512</v>
      </c>
      <c r="E15" s="4">
        <v>1000000000</v>
      </c>
      <c r="F15" s="4">
        <f>SUM(F2:F14)</f>
        <v>1020000000</v>
      </c>
      <c r="G15" s="4">
        <f>SUM(G2:G14)</f>
        <v>610000000</v>
      </c>
      <c r="H15" s="4">
        <f t="shared" ref="H15:J15" si="3">SUM(H2:H14)</f>
        <v>480100389.72000003</v>
      </c>
      <c r="I15" s="4">
        <f t="shared" si="3"/>
        <v>381189228</v>
      </c>
      <c r="J15" s="4">
        <f t="shared" si="3"/>
        <v>355835522.89000005</v>
      </c>
      <c r="K15" s="4">
        <f>SUM(K2:K14)</f>
        <v>420101403.55000001</v>
      </c>
      <c r="L15" s="4">
        <f>SUM(L2:L14)</f>
        <v>500419947.71000004</v>
      </c>
      <c r="M15" s="4">
        <f>SUM(M2:M14)</f>
        <v>435531130.55000001</v>
      </c>
      <c r="N15" s="4">
        <f>SUM(N2:N14)</f>
        <v>289769100.03000003</v>
      </c>
      <c r="O15" s="4">
        <f>SUM(O2:O14)</f>
        <v>411878433.41000003</v>
      </c>
      <c r="P15" s="10">
        <f>O15/F15</f>
        <v>0.40380238569607846</v>
      </c>
    </row>
    <row r="17" spans="1:13" x14ac:dyDescent="0.25">
      <c r="A17" s="7" t="s">
        <v>278</v>
      </c>
      <c r="B17" s="7" t="s">
        <v>100</v>
      </c>
      <c r="C17" s="7" t="s">
        <v>266</v>
      </c>
      <c r="D17" s="7" t="s">
        <v>327</v>
      </c>
      <c r="E17" s="7" t="s">
        <v>224</v>
      </c>
      <c r="F17" s="7" t="s">
        <v>398</v>
      </c>
      <c r="G17" s="7" t="s">
        <v>267</v>
      </c>
      <c r="H17" s="3" t="s">
        <v>42</v>
      </c>
      <c r="I17" s="3" t="s">
        <v>225</v>
      </c>
      <c r="J17" s="3" t="s">
        <v>326</v>
      </c>
      <c r="K17" s="8" t="s">
        <v>595</v>
      </c>
      <c r="L17" s="8" t="s">
        <v>651</v>
      </c>
      <c r="M17" s="7" t="s">
        <v>223</v>
      </c>
    </row>
    <row r="18" spans="1:13" x14ac:dyDescent="0.25">
      <c r="A18" s="1" t="s">
        <v>279</v>
      </c>
      <c r="C18" s="1" t="s">
        <v>268</v>
      </c>
      <c r="D18" s="5">
        <f>E18/24</f>
        <v>1000000</v>
      </c>
      <c r="E18" s="2">
        <v>24000000</v>
      </c>
      <c r="F18" s="2">
        <v>24000000</v>
      </c>
      <c r="G18" s="2">
        <v>3241181</v>
      </c>
      <c r="H18" s="2">
        <v>9109012</v>
      </c>
      <c r="I18" s="2">
        <v>4173633</v>
      </c>
      <c r="J18" s="2">
        <v>5173317</v>
      </c>
      <c r="K18" s="2">
        <v>3281160</v>
      </c>
      <c r="L18" s="2">
        <v>4415424</v>
      </c>
      <c r="M18" s="6">
        <f>L18/F18</f>
        <v>0.183976</v>
      </c>
    </row>
    <row r="19" spans="1:13" x14ac:dyDescent="0.25">
      <c r="A19" s="1" t="s">
        <v>280</v>
      </c>
      <c r="B19" s="1" t="s">
        <v>235</v>
      </c>
      <c r="C19" s="1" t="s">
        <v>269</v>
      </c>
      <c r="D19" s="5">
        <f t="shared" ref="D19:D25" si="4">E19/24</f>
        <v>3125000</v>
      </c>
      <c r="E19" s="2">
        <v>75000000</v>
      </c>
      <c r="F19" s="2">
        <v>75000000</v>
      </c>
      <c r="G19" s="2">
        <v>8620449</v>
      </c>
      <c r="H19" s="2">
        <v>17456728.689999998</v>
      </c>
      <c r="I19" s="2">
        <v>13618682.850000001</v>
      </c>
      <c r="J19" s="2">
        <v>20554272.18</v>
      </c>
      <c r="K19" s="2">
        <v>15527133</v>
      </c>
      <c r="L19" s="2">
        <v>10288167.1</v>
      </c>
      <c r="M19" s="6">
        <f t="shared" ref="M19:M25" si="5">L19/F19</f>
        <v>0.13717556133333333</v>
      </c>
    </row>
    <row r="20" spans="1:13" x14ac:dyDescent="0.25">
      <c r="A20" s="1" t="s">
        <v>279</v>
      </c>
      <c r="C20" s="1" t="s">
        <v>270</v>
      </c>
      <c r="D20" s="5">
        <f t="shared" si="4"/>
        <v>1250000</v>
      </c>
      <c r="E20" s="2">
        <v>30000000</v>
      </c>
      <c r="F20" s="2">
        <v>30000000</v>
      </c>
      <c r="G20" s="2">
        <v>4393518</v>
      </c>
      <c r="H20" s="2">
        <v>11551139</v>
      </c>
      <c r="I20" s="2">
        <v>18120815</v>
      </c>
      <c r="J20" s="2">
        <v>13324763</v>
      </c>
      <c r="K20" s="2">
        <v>11552882</v>
      </c>
      <c r="L20" s="2">
        <v>8121291</v>
      </c>
      <c r="M20" s="6">
        <f t="shared" si="5"/>
        <v>0.2707097</v>
      </c>
    </row>
    <row r="21" spans="1:13" x14ac:dyDescent="0.25">
      <c r="A21" s="1" t="s">
        <v>279</v>
      </c>
      <c r="C21" s="1" t="s">
        <v>271</v>
      </c>
      <c r="D21" s="5">
        <f t="shared" si="4"/>
        <v>1000000</v>
      </c>
      <c r="E21" s="2">
        <v>24000000</v>
      </c>
      <c r="F21" s="2">
        <v>24000000</v>
      </c>
      <c r="G21" s="2">
        <v>3739706</v>
      </c>
      <c r="H21" s="2">
        <v>9210548</v>
      </c>
      <c r="I21" s="2">
        <v>5384141</v>
      </c>
      <c r="J21" s="2">
        <v>6228085</v>
      </c>
      <c r="K21" s="2">
        <v>9203358</v>
      </c>
      <c r="L21" s="2">
        <v>10189926.43</v>
      </c>
      <c r="M21" s="6">
        <f t="shared" si="5"/>
        <v>0.42458026791666664</v>
      </c>
    </row>
    <row r="22" spans="1:13" x14ac:dyDescent="0.25">
      <c r="A22" s="1" t="s">
        <v>281</v>
      </c>
      <c r="B22" s="1" t="s">
        <v>287</v>
      </c>
      <c r="C22" s="1" t="s">
        <v>272</v>
      </c>
      <c r="D22" s="5">
        <f t="shared" si="4"/>
        <v>1875000</v>
      </c>
      <c r="E22" s="2">
        <v>45000000</v>
      </c>
      <c r="F22" s="2">
        <v>45000000</v>
      </c>
      <c r="G22" s="2">
        <v>2267680</v>
      </c>
      <c r="H22" s="2">
        <v>7134443</v>
      </c>
      <c r="I22" s="2">
        <v>12535461.9</v>
      </c>
      <c r="J22" s="2">
        <v>13184321</v>
      </c>
      <c r="K22" s="2">
        <v>6850172</v>
      </c>
      <c r="L22" s="2">
        <v>11385687</v>
      </c>
      <c r="M22" s="6">
        <f t="shared" si="5"/>
        <v>0.25301526666666668</v>
      </c>
    </row>
    <row r="23" spans="1:13" x14ac:dyDescent="0.25">
      <c r="A23" s="1" t="s">
        <v>282</v>
      </c>
      <c r="B23" s="1" t="s">
        <v>286</v>
      </c>
      <c r="C23" s="1" t="s">
        <v>273</v>
      </c>
      <c r="D23" s="5">
        <f t="shared" si="4"/>
        <v>1895833.3333333333</v>
      </c>
      <c r="E23" s="2">
        <v>45500000</v>
      </c>
      <c r="F23" s="2">
        <v>45500000</v>
      </c>
      <c r="G23" s="2">
        <v>10137430</v>
      </c>
      <c r="H23" s="2">
        <v>10511380</v>
      </c>
      <c r="I23" s="2">
        <v>15718877</v>
      </c>
      <c r="J23" s="2">
        <v>11933767</v>
      </c>
      <c r="K23" s="2">
        <v>12247608</v>
      </c>
      <c r="L23" s="2">
        <v>11361023</v>
      </c>
      <c r="M23" s="6">
        <f t="shared" si="5"/>
        <v>0.24969281318681319</v>
      </c>
    </row>
    <row r="24" spans="1:13" x14ac:dyDescent="0.25">
      <c r="A24" s="1" t="s">
        <v>279</v>
      </c>
      <c r="C24" s="1" t="s">
        <v>274</v>
      </c>
      <c r="D24" s="5">
        <f t="shared" si="4"/>
        <v>666666.66666666663</v>
      </c>
      <c r="E24" s="2">
        <v>16000000</v>
      </c>
      <c r="F24" s="2">
        <v>16000000</v>
      </c>
      <c r="G24" s="2">
        <v>6945193</v>
      </c>
      <c r="H24" s="2">
        <v>6103815</v>
      </c>
      <c r="I24" s="2">
        <v>8831025</v>
      </c>
      <c r="J24" s="2">
        <v>8156215</v>
      </c>
      <c r="K24" s="2">
        <v>7057946</v>
      </c>
      <c r="L24" s="2">
        <v>6536375</v>
      </c>
      <c r="M24" s="6">
        <f t="shared" si="5"/>
        <v>0.40852343749999998</v>
      </c>
    </row>
    <row r="25" spans="1:13" x14ac:dyDescent="0.25">
      <c r="A25" s="1" t="s">
        <v>279</v>
      </c>
      <c r="C25" s="1" t="s">
        <v>275</v>
      </c>
      <c r="D25" s="5">
        <f t="shared" si="4"/>
        <v>1250000</v>
      </c>
      <c r="E25" s="2">
        <v>30000000</v>
      </c>
      <c r="F25" s="2">
        <v>30000000</v>
      </c>
      <c r="G25" s="2">
        <v>3740873</v>
      </c>
      <c r="H25" s="2">
        <v>10275284</v>
      </c>
      <c r="I25" s="2">
        <v>11578956</v>
      </c>
      <c r="J25" s="2">
        <v>11768474</v>
      </c>
      <c r="K25" s="2">
        <v>10958983</v>
      </c>
      <c r="L25" s="2">
        <v>8572224</v>
      </c>
      <c r="M25" s="6">
        <f t="shared" si="5"/>
        <v>0.28574080000000002</v>
      </c>
    </row>
    <row r="26" spans="1:13" x14ac:dyDescent="0.25">
      <c r="A26" s="3" t="s">
        <v>283</v>
      </c>
      <c r="B26" s="3" t="s">
        <v>285</v>
      </c>
      <c r="C26" s="3" t="s">
        <v>277</v>
      </c>
      <c r="D26" s="18">
        <f>E26/24</f>
        <v>16041666.666666666</v>
      </c>
      <c r="E26" s="4">
        <v>385000000</v>
      </c>
      <c r="F26" s="4">
        <f>E26</f>
        <v>385000000</v>
      </c>
      <c r="G26" s="4">
        <f t="shared" ref="G26:L26" si="6">SUM(G18:G25)</f>
        <v>43086030</v>
      </c>
      <c r="H26" s="4">
        <f t="shared" si="6"/>
        <v>81352349.689999998</v>
      </c>
      <c r="I26" s="4">
        <f t="shared" si="6"/>
        <v>89961591.75</v>
      </c>
      <c r="J26" s="18">
        <f t="shared" si="6"/>
        <v>90323214.180000007</v>
      </c>
      <c r="K26" s="4">
        <f t="shared" si="6"/>
        <v>76679242</v>
      </c>
      <c r="L26" s="4">
        <f t="shared" si="6"/>
        <v>70870117.530000001</v>
      </c>
      <c r="M26" s="10">
        <f>L26/F26</f>
        <v>0.18407822735064935</v>
      </c>
    </row>
    <row r="27" spans="1:13" x14ac:dyDescent="0.25">
      <c r="E27" s="2"/>
    </row>
    <row r="28" spans="1:13" x14ac:dyDescent="0.25">
      <c r="A28" s="7" t="s">
        <v>332</v>
      </c>
      <c r="B28" s="7" t="s">
        <v>327</v>
      </c>
      <c r="C28" s="8" t="s">
        <v>240</v>
      </c>
      <c r="D28" s="8" t="s">
        <v>257</v>
      </c>
      <c r="E28" s="4" t="s">
        <v>335</v>
      </c>
      <c r="F28" s="4" t="s">
        <v>225</v>
      </c>
      <c r="G28" s="4" t="s">
        <v>326</v>
      </c>
      <c r="H28" s="4" t="s">
        <v>595</v>
      </c>
      <c r="I28" s="4" t="s">
        <v>651</v>
      </c>
      <c r="J28" s="4" t="s">
        <v>418</v>
      </c>
    </row>
    <row r="29" spans="1:13" x14ac:dyDescent="0.25">
      <c r="A29" s="7" t="s">
        <v>729</v>
      </c>
      <c r="B29" s="5">
        <f>C29/26</f>
        <v>3076923.076923077</v>
      </c>
      <c r="C29" s="2">
        <v>80000000</v>
      </c>
      <c r="D29" s="2">
        <f>IFERROR(B29*((NETWORKDAYS.INTL(SUMMARRY!$B$1,SUMMARRY!$B$2,11))),"")</f>
        <v>80000000</v>
      </c>
      <c r="E29" s="2">
        <v>27381214</v>
      </c>
      <c r="F29" s="2">
        <v>39576409</v>
      </c>
      <c r="G29" s="2">
        <v>41191190</v>
      </c>
      <c r="H29" s="2">
        <v>42745667</v>
      </c>
      <c r="I29" s="2">
        <v>27539448</v>
      </c>
      <c r="J29" s="6">
        <f>I29/D29</f>
        <v>0.34424310000000002</v>
      </c>
    </row>
    <row r="30" spans="1:13" x14ac:dyDescent="0.25">
      <c r="A30" s="7" t="s">
        <v>334</v>
      </c>
      <c r="E30" s="2"/>
    </row>
    <row r="31" spans="1:13" x14ac:dyDescent="0.25">
      <c r="E31" s="2"/>
      <c r="I31" s="19"/>
    </row>
    <row r="32" spans="1:13" x14ac:dyDescent="0.25">
      <c r="A32" s="20" t="s">
        <v>716</v>
      </c>
      <c r="B32" s="20" t="s">
        <v>717</v>
      </c>
      <c r="C32" s="20" t="s">
        <v>718</v>
      </c>
      <c r="D32" s="20" t="s">
        <v>719</v>
      </c>
      <c r="E32" s="24" t="s">
        <v>720</v>
      </c>
      <c r="F32" s="20" t="s">
        <v>721</v>
      </c>
      <c r="G32" s="20" t="s">
        <v>722</v>
      </c>
      <c r="H32" s="20" t="s">
        <v>723</v>
      </c>
      <c r="I32" s="20" t="s">
        <v>724</v>
      </c>
    </row>
    <row r="33" spans="1:9" x14ac:dyDescent="0.25">
      <c r="A33" s="1" t="s">
        <v>725</v>
      </c>
      <c r="B33" s="1">
        <v>30</v>
      </c>
      <c r="C33" s="2">
        <v>300000000</v>
      </c>
      <c r="D33" s="2">
        <v>234267849.63000003</v>
      </c>
      <c r="E33" s="2">
        <v>281500000</v>
      </c>
      <c r="F33" s="2">
        <v>-18500000</v>
      </c>
      <c r="G33" s="59">
        <v>-3.7</v>
      </c>
      <c r="H33" s="6">
        <v>0.83221260969804622</v>
      </c>
      <c r="I33" s="6">
        <v>0.78089283210000004</v>
      </c>
    </row>
    <row r="34" spans="1:9" x14ac:dyDescent="0.25">
      <c r="A34" s="1" t="s">
        <v>283</v>
      </c>
      <c r="B34" s="49">
        <v>43</v>
      </c>
      <c r="C34" s="55">
        <v>385000000</v>
      </c>
      <c r="D34" s="56">
        <v>72888802</v>
      </c>
      <c r="E34" s="52">
        <v>189000000</v>
      </c>
      <c r="F34" s="55">
        <v>-196000000</v>
      </c>
      <c r="G34" s="60">
        <v>-39.200000000000003</v>
      </c>
      <c r="H34" s="6">
        <v>0.38565503703703702</v>
      </c>
      <c r="I34" s="6">
        <v>0.18932156363636363</v>
      </c>
    </row>
    <row r="35" spans="1:9" x14ac:dyDescent="0.25">
      <c r="A35" s="1" t="s">
        <v>726</v>
      </c>
      <c r="B35" s="49">
        <v>17</v>
      </c>
      <c r="C35" s="55">
        <v>150000000</v>
      </c>
      <c r="D35" s="56">
        <v>13766599.779999999</v>
      </c>
      <c r="E35" s="52">
        <v>85000000</v>
      </c>
      <c r="F35" s="55">
        <v>-65000000</v>
      </c>
      <c r="G35" s="60">
        <v>-13</v>
      </c>
      <c r="H35" s="6">
        <v>0.1619599974117647</v>
      </c>
      <c r="I35" s="6">
        <v>9.1777331866666659E-2</v>
      </c>
    </row>
    <row r="36" spans="1:9" x14ac:dyDescent="0.25">
      <c r="A36" s="1" t="s">
        <v>727</v>
      </c>
      <c r="B36" s="49">
        <v>26</v>
      </c>
      <c r="C36" s="55">
        <v>80000000</v>
      </c>
      <c r="D36" s="56">
        <v>27539448</v>
      </c>
      <c r="E36" s="52">
        <v>64999992</v>
      </c>
      <c r="F36" s="55">
        <v>-15000008</v>
      </c>
      <c r="G36" s="60">
        <v>-6.0000032000000001</v>
      </c>
      <c r="H36" s="6">
        <v>0.42368386753032217</v>
      </c>
      <c r="I36" s="6">
        <v>0.34424310000000002</v>
      </c>
    </row>
    <row r="37" spans="1:9" x14ac:dyDescent="0.25">
      <c r="A37" s="1" t="s">
        <v>728</v>
      </c>
      <c r="B37" s="49"/>
      <c r="C37" s="55"/>
      <c r="D37" s="56">
        <v>61415734</v>
      </c>
      <c r="E37" s="52"/>
      <c r="F37" s="55"/>
      <c r="G37" s="60"/>
      <c r="H37" s="6"/>
      <c r="I37" s="6"/>
    </row>
    <row r="38" spans="1:9" x14ac:dyDescent="0.25">
      <c r="A38" s="20" t="s">
        <v>80</v>
      </c>
      <c r="B38" s="53">
        <v>116</v>
      </c>
      <c r="C38" s="57">
        <v>1000000000</v>
      </c>
      <c r="D38" s="58">
        <v>409878433.40999997</v>
      </c>
      <c r="E38" s="54">
        <v>620499992</v>
      </c>
      <c r="F38" s="57">
        <v>-379500008</v>
      </c>
      <c r="G38" s="61">
        <v>-61.900003200000008</v>
      </c>
      <c r="H38" s="62">
        <v>0.66056154503544295</v>
      </c>
      <c r="I38" s="62">
        <v>0.40987843340999996</v>
      </c>
    </row>
    <row r="39" spans="1:9" x14ac:dyDescent="0.25">
      <c r="B39" s="49"/>
      <c r="C39" s="50"/>
      <c r="D39" s="51"/>
      <c r="E39" s="52"/>
      <c r="F39" s="50"/>
      <c r="G39" s="51"/>
    </row>
    <row r="40" spans="1:9" x14ac:dyDescent="0.25">
      <c r="B40" s="49"/>
      <c r="C40" s="50"/>
      <c r="D40" s="51"/>
      <c r="E40" s="52"/>
      <c r="F40" s="50"/>
      <c r="G40" s="51"/>
    </row>
    <row r="41" spans="1:9" ht="14.45" customHeight="1" x14ac:dyDescent="0.25">
      <c r="A41" s="3"/>
      <c r="B41" s="88" t="s">
        <v>296</v>
      </c>
      <c r="C41" s="89"/>
      <c r="D41" s="89"/>
      <c r="E41" s="90"/>
      <c r="F41" s="88" t="s">
        <v>307</v>
      </c>
      <c r="G41" s="89"/>
      <c r="H41" s="90"/>
    </row>
    <row r="42" spans="1:9" x14ac:dyDescent="0.25">
      <c r="A42" s="3" t="s">
        <v>1</v>
      </c>
      <c r="B42" s="3" t="s">
        <v>730</v>
      </c>
      <c r="C42" s="3" t="s">
        <v>731</v>
      </c>
      <c r="D42" s="3" t="s">
        <v>297</v>
      </c>
      <c r="E42" s="3" t="s">
        <v>732</v>
      </c>
      <c r="F42" s="3" t="s">
        <v>730</v>
      </c>
      <c r="G42" s="3" t="s">
        <v>731</v>
      </c>
      <c r="H42" s="3" t="s">
        <v>297</v>
      </c>
    </row>
    <row r="43" spans="1:9" x14ac:dyDescent="0.25">
      <c r="A43" s="1" t="s">
        <v>35</v>
      </c>
      <c r="B43" s="2">
        <v>642915946.55999911</v>
      </c>
      <c r="C43" s="2">
        <v>652278129.72000015</v>
      </c>
      <c r="D43" s="2">
        <v>9362183.1600010395</v>
      </c>
      <c r="E43" s="2">
        <v>40049006.149999999</v>
      </c>
      <c r="F43" s="2">
        <v>708759652.86999989</v>
      </c>
      <c r="G43" s="2">
        <v>772598554.23000014</v>
      </c>
      <c r="H43" s="2">
        <v>63838901.360000253</v>
      </c>
    </row>
    <row r="44" spans="1:9" x14ac:dyDescent="0.25">
      <c r="A44" s="1" t="s">
        <v>4</v>
      </c>
      <c r="B44" s="2">
        <v>860927784.62857068</v>
      </c>
      <c r="C44" s="2">
        <v>843892932.07285738</v>
      </c>
      <c r="D44" s="2">
        <v>-17034852.555713296</v>
      </c>
      <c r="E44" s="2">
        <v>23037831.98</v>
      </c>
      <c r="F44" s="2">
        <v>732801564.78999937</v>
      </c>
      <c r="G44" s="2">
        <v>784660108.16000009</v>
      </c>
      <c r="H44" s="2">
        <v>51858543.37000072</v>
      </c>
    </row>
    <row r="45" spans="1:9" x14ac:dyDescent="0.25">
      <c r="A45" s="1" t="s">
        <v>26</v>
      </c>
      <c r="B45" s="2">
        <v>290137147.62999994</v>
      </c>
      <c r="C45" s="2">
        <v>280805017.60000002</v>
      </c>
      <c r="D45" s="2">
        <v>-9332130.0299999118</v>
      </c>
      <c r="E45" s="2">
        <v>2147273.54</v>
      </c>
      <c r="F45" s="2">
        <v>483014432.04999995</v>
      </c>
      <c r="G45" s="2">
        <v>493095727.08999985</v>
      </c>
      <c r="H45" s="2">
        <v>10081295.039999902</v>
      </c>
    </row>
    <row r="46" spans="1:9" x14ac:dyDescent="0.25">
      <c r="A46" s="1" t="s">
        <v>9</v>
      </c>
      <c r="B46" s="2">
        <v>161925340.17000008</v>
      </c>
      <c r="C46" s="2">
        <v>163486385.89000016</v>
      </c>
      <c r="D46" s="2">
        <v>1561045.7200000882</v>
      </c>
      <c r="E46" s="2">
        <v>1124391.76</v>
      </c>
      <c r="F46" s="2">
        <v>209410617.65000015</v>
      </c>
      <c r="G46" s="2">
        <v>218628018.19999996</v>
      </c>
      <c r="H46" s="2">
        <v>9217400.5499998033</v>
      </c>
    </row>
    <row r="47" spans="1:9" x14ac:dyDescent="0.25">
      <c r="A47" s="1" t="s">
        <v>20</v>
      </c>
      <c r="B47" s="2">
        <v>202575827.33999997</v>
      </c>
      <c r="C47" s="2">
        <v>205365026.17000014</v>
      </c>
      <c r="D47" s="2">
        <v>2789198.8300001621</v>
      </c>
      <c r="E47" s="2">
        <v>614102.67000000004</v>
      </c>
      <c r="F47" s="2">
        <v>281498129.74000025</v>
      </c>
      <c r="G47" s="2">
        <v>285107651.19999993</v>
      </c>
      <c r="H47" s="2">
        <v>3609521.4599996805</v>
      </c>
    </row>
    <row r="48" spans="1:9" x14ac:dyDescent="0.25">
      <c r="A48" s="1" t="s">
        <v>13</v>
      </c>
      <c r="B48" s="2">
        <v>88703409.905000076</v>
      </c>
      <c r="C48" s="2">
        <v>90192787.395833358</v>
      </c>
      <c r="D48" s="2">
        <v>1489377.4908332825</v>
      </c>
      <c r="E48" s="2">
        <v>701658.38333333319</v>
      </c>
      <c r="F48" s="2">
        <v>244996915.56000018</v>
      </c>
      <c r="G48" s="2">
        <v>254663966.16999999</v>
      </c>
      <c r="H48" s="2">
        <v>9667050.6099998057</v>
      </c>
    </row>
    <row r="49" spans="1:8" x14ac:dyDescent="0.25">
      <c r="A49" s="1" t="s">
        <v>30</v>
      </c>
      <c r="B49" s="2">
        <v>62329243.499999985</v>
      </c>
      <c r="C49" s="2">
        <v>59017186.049999975</v>
      </c>
      <c r="D49" s="2">
        <v>-3312057.4500000104</v>
      </c>
      <c r="E49" s="2">
        <v>496949.66999999993</v>
      </c>
      <c r="F49" s="2">
        <v>216740742.30999997</v>
      </c>
      <c r="G49" s="2">
        <v>238190658.47999993</v>
      </c>
      <c r="H49" s="2">
        <v>21449916.169999957</v>
      </c>
    </row>
    <row r="50" spans="1:8" x14ac:dyDescent="0.25">
      <c r="A50" s="1" t="s">
        <v>39</v>
      </c>
      <c r="B50" s="2">
        <v>5314311.6666666651</v>
      </c>
      <c r="C50" s="2">
        <v>5934263.1533333324</v>
      </c>
      <c r="D50" s="2">
        <v>619951.48666666728</v>
      </c>
      <c r="E50" s="2">
        <v>59524.2</v>
      </c>
      <c r="F50" s="2">
        <v>37811968.749999993</v>
      </c>
      <c r="G50" s="2">
        <v>41322831.330000006</v>
      </c>
      <c r="H50" s="2">
        <v>3510862.5800000131</v>
      </c>
    </row>
    <row r="51" spans="1:8" x14ac:dyDescent="0.25">
      <c r="A51" s="1" t="s">
        <v>17</v>
      </c>
      <c r="B51" s="2">
        <v>109339718.32999998</v>
      </c>
      <c r="C51" s="2">
        <v>112041714.7</v>
      </c>
      <c r="D51" s="2">
        <v>2701996.3700000197</v>
      </c>
      <c r="E51" s="2">
        <v>1672366.17</v>
      </c>
      <c r="F51" s="2">
        <v>242707552.8300001</v>
      </c>
      <c r="G51" s="2">
        <v>254932185.99000004</v>
      </c>
      <c r="H51" s="2">
        <v>12224633.159999937</v>
      </c>
    </row>
    <row r="52" spans="1:8" x14ac:dyDescent="0.25">
      <c r="A52" s="1" t="s">
        <v>12</v>
      </c>
      <c r="B52" s="2">
        <v>14577154.920000004</v>
      </c>
      <c r="C52" s="2">
        <v>14389129.350000001</v>
      </c>
      <c r="D52" s="2">
        <v>-188025.57000000216</v>
      </c>
      <c r="E52" s="2">
        <v>112034.92</v>
      </c>
      <c r="F52" s="2">
        <v>84062187.569999978</v>
      </c>
      <c r="G52" s="2">
        <v>88031795.62999998</v>
      </c>
      <c r="H52" s="2">
        <v>3969608.0600000024</v>
      </c>
    </row>
    <row r="53" spans="1:8" x14ac:dyDescent="0.25">
      <c r="A53" s="1" t="s">
        <v>19</v>
      </c>
      <c r="B53" s="2">
        <v>591360.28</v>
      </c>
      <c r="C53" s="2">
        <v>766897.07000000007</v>
      </c>
      <c r="D53" s="2">
        <v>175536.79000000004</v>
      </c>
      <c r="E53" s="2">
        <v>25627.3</v>
      </c>
      <c r="F53" s="2">
        <v>43886708.540000007</v>
      </c>
      <c r="G53" s="2">
        <v>52639612.029999994</v>
      </c>
      <c r="H53" s="2">
        <v>8752903.4899999872</v>
      </c>
    </row>
    <row r="54" spans="1:8" x14ac:dyDescent="0.25">
      <c r="A54" s="1" t="s">
        <v>590</v>
      </c>
      <c r="B54" s="2">
        <v>0</v>
      </c>
      <c r="C54" s="2">
        <v>21012.15</v>
      </c>
      <c r="D54" s="2">
        <v>21012.15</v>
      </c>
      <c r="E54" s="2">
        <v>21012.15</v>
      </c>
      <c r="F54" s="2">
        <v>0</v>
      </c>
      <c r="G54" s="2">
        <v>7049447</v>
      </c>
      <c r="H54" s="2">
        <v>7049447</v>
      </c>
    </row>
    <row r="55" spans="1:8" x14ac:dyDescent="0.25">
      <c r="A55" s="1" t="s">
        <v>24</v>
      </c>
      <c r="B55" s="2">
        <v>17948776.679999996</v>
      </c>
      <c r="C55" s="2">
        <v>17916775.710000008</v>
      </c>
      <c r="D55" s="2">
        <v>-32000.969999987632</v>
      </c>
      <c r="E55" s="2">
        <v>151496.4</v>
      </c>
      <c r="F55" s="2">
        <v>99477153.329999998</v>
      </c>
      <c r="G55" s="2">
        <v>102649939.97</v>
      </c>
      <c r="H55" s="2">
        <v>3172786.6400000006</v>
      </c>
    </row>
    <row r="56" spans="1:8" x14ac:dyDescent="0.25">
      <c r="A56" s="3" t="s">
        <v>298</v>
      </c>
      <c r="B56" s="4">
        <v>2457286021.6102366</v>
      </c>
      <c r="C56" s="4">
        <v>2446107257.0320244</v>
      </c>
      <c r="D56" s="4">
        <v>-11178764.578212261</v>
      </c>
      <c r="E56" s="4">
        <v>70213275.293333352</v>
      </c>
      <c r="F56" s="4">
        <v>3385167625.9899998</v>
      </c>
      <c r="G56" s="4">
        <v>3593570495.4800005</v>
      </c>
      <c r="H56" s="4">
        <v>208402869.49000072</v>
      </c>
    </row>
    <row r="58" spans="1:8" ht="14.45" customHeight="1" x14ac:dyDescent="0.25">
      <c r="A58" s="3" t="s">
        <v>310</v>
      </c>
      <c r="B58" s="88" t="s">
        <v>296</v>
      </c>
      <c r="C58" s="89"/>
      <c r="D58" s="89"/>
      <c r="E58" s="90"/>
      <c r="F58" s="63" t="s">
        <v>307</v>
      </c>
      <c r="G58" s="64"/>
      <c r="H58" s="65"/>
    </row>
    <row r="59" spans="1:8" x14ac:dyDescent="0.25">
      <c r="A59" s="3"/>
      <c r="B59" s="3" t="s">
        <v>730</v>
      </c>
      <c r="C59" s="3" t="s">
        <v>731</v>
      </c>
      <c r="D59" s="3" t="s">
        <v>297</v>
      </c>
      <c r="E59" s="3" t="s">
        <v>732</v>
      </c>
      <c r="F59" s="3" t="s">
        <v>730</v>
      </c>
      <c r="G59" s="3" t="s">
        <v>731</v>
      </c>
      <c r="H59" s="3" t="s">
        <v>297</v>
      </c>
    </row>
    <row r="60" spans="1:8" x14ac:dyDescent="0.25">
      <c r="A60" s="1" t="s">
        <v>311</v>
      </c>
      <c r="B60" s="2">
        <v>61644021.100000024</v>
      </c>
      <c r="C60" s="2">
        <v>57960438.480000034</v>
      </c>
      <c r="D60" s="2">
        <v>-3683582.6199999899</v>
      </c>
      <c r="E60" s="2">
        <v>2628818.0499999998</v>
      </c>
      <c r="F60" s="2">
        <v>78367044.680000007</v>
      </c>
      <c r="G60" s="2">
        <v>81930536.810000017</v>
      </c>
      <c r="H60" s="2">
        <v>3563492.1300000101</v>
      </c>
    </row>
    <row r="61" spans="1:8" x14ac:dyDescent="0.25">
      <c r="A61" s="1" t="s">
        <v>312</v>
      </c>
      <c r="B61" s="2">
        <v>126719151.41999996</v>
      </c>
      <c r="C61" s="2">
        <v>137168631.17999998</v>
      </c>
      <c r="D61" s="2">
        <v>10449479.76000002</v>
      </c>
      <c r="E61" s="2">
        <v>12363259.689999999</v>
      </c>
      <c r="F61" s="2">
        <v>232685592.31</v>
      </c>
      <c r="G61" s="2">
        <v>249132123.53</v>
      </c>
      <c r="H61" s="2">
        <v>16446531.219999999</v>
      </c>
    </row>
    <row r="62" spans="1:8" x14ac:dyDescent="0.25">
      <c r="A62" s="1" t="s">
        <v>313</v>
      </c>
      <c r="B62" s="2">
        <v>984040493.16999948</v>
      </c>
      <c r="C62" s="2">
        <v>965650826.22999954</v>
      </c>
      <c r="D62" s="2">
        <v>-18389666.939999938</v>
      </c>
      <c r="E62" s="2">
        <v>14538225.100000001</v>
      </c>
      <c r="F62" s="2">
        <v>801537698.88</v>
      </c>
      <c r="G62" s="2">
        <v>852313080.4799999</v>
      </c>
      <c r="H62" s="2">
        <v>50775381.599999905</v>
      </c>
    </row>
    <row r="63" spans="1:8" x14ac:dyDescent="0.25">
      <c r="A63" s="1" t="s">
        <v>314</v>
      </c>
      <c r="B63" s="2">
        <v>136045806.6935716</v>
      </c>
      <c r="C63" s="2">
        <v>138673932.845357</v>
      </c>
      <c r="D63" s="2">
        <v>2628126.1517854035</v>
      </c>
      <c r="E63" s="2">
        <v>1202036.3399999999</v>
      </c>
      <c r="F63" s="2">
        <v>1370856536.7299986</v>
      </c>
      <c r="G63" s="2">
        <v>1439113519.97</v>
      </c>
      <c r="H63" s="2">
        <v>68256983.24000144</v>
      </c>
    </row>
    <row r="64" spans="1:8" x14ac:dyDescent="0.25">
      <c r="A64" s="1" t="s">
        <v>315</v>
      </c>
      <c r="B64" s="2">
        <v>150000</v>
      </c>
      <c r="C64" s="2">
        <v>0</v>
      </c>
      <c r="D64" s="2">
        <v>-150000</v>
      </c>
      <c r="E64" s="2">
        <v>0</v>
      </c>
      <c r="F64" s="2">
        <v>16264583</v>
      </c>
      <c r="G64" s="2">
        <v>65347583</v>
      </c>
      <c r="H64" s="2">
        <v>49083000</v>
      </c>
    </row>
    <row r="65" spans="1:8" x14ac:dyDescent="0.25">
      <c r="A65" s="1" t="s">
        <v>316</v>
      </c>
      <c r="B65" s="2">
        <v>1114070492.2166665</v>
      </c>
      <c r="C65" s="2">
        <v>1088487771.8066661</v>
      </c>
      <c r="D65" s="2">
        <v>-25582720.410000324</v>
      </c>
      <c r="E65" s="2">
        <v>12835377.533333335</v>
      </c>
      <c r="F65" s="2">
        <v>841144114.04999959</v>
      </c>
      <c r="G65" s="2">
        <v>843577445.69000041</v>
      </c>
      <c r="H65" s="2">
        <v>2433331.6400008202</v>
      </c>
    </row>
    <row r="66" spans="1:8" x14ac:dyDescent="0.25">
      <c r="A66" s="1" t="s">
        <v>317</v>
      </c>
      <c r="B66" s="2">
        <v>0</v>
      </c>
      <c r="C66" s="2">
        <v>26549807.649999999</v>
      </c>
      <c r="D66" s="2">
        <v>26549807.649999999</v>
      </c>
      <c r="E66" s="2">
        <v>26549807.649999999</v>
      </c>
      <c r="F66" s="2">
        <v>0</v>
      </c>
      <c r="G66" s="2">
        <v>21060000</v>
      </c>
      <c r="H66" s="2">
        <v>21060000</v>
      </c>
    </row>
    <row r="67" spans="1:8" x14ac:dyDescent="0.25">
      <c r="A67" s="1" t="s">
        <v>318</v>
      </c>
      <c r="B67" s="2">
        <v>4574358.71</v>
      </c>
      <c r="C67" s="2">
        <v>5019351.5299999993</v>
      </c>
      <c r="D67" s="2">
        <v>444992.81999999937</v>
      </c>
      <c r="E67" s="2">
        <v>22495.86</v>
      </c>
      <c r="F67" s="2">
        <v>14948003.219999999</v>
      </c>
      <c r="G67" s="2">
        <v>14389398.869999999</v>
      </c>
      <c r="H67" s="2">
        <v>-558604.34999999963</v>
      </c>
    </row>
    <row r="68" spans="1:8" x14ac:dyDescent="0.25">
      <c r="A68" s="1" t="s">
        <v>319</v>
      </c>
      <c r="B68" s="2">
        <v>8406644.6799999997</v>
      </c>
      <c r="C68" s="2">
        <v>8613924.0800000001</v>
      </c>
      <c r="D68" s="2">
        <v>207279.40000000037</v>
      </c>
      <c r="E68" s="2">
        <v>0</v>
      </c>
      <c r="F68" s="2">
        <v>5613308.0999999996</v>
      </c>
      <c r="G68" s="2">
        <v>5374457.1200000001</v>
      </c>
      <c r="H68" s="2">
        <v>-238850.97999999952</v>
      </c>
    </row>
    <row r="69" spans="1:8" x14ac:dyDescent="0.25">
      <c r="A69" s="1" t="s">
        <v>320</v>
      </c>
      <c r="B69" s="2">
        <v>2587369.1099999994</v>
      </c>
      <c r="C69" s="2">
        <v>2507059.06</v>
      </c>
      <c r="D69" s="2">
        <v>-80310.049999999348</v>
      </c>
      <c r="E69" s="2">
        <v>37356.65</v>
      </c>
      <c r="F69" s="2">
        <v>3823600.46</v>
      </c>
      <c r="G69" s="2">
        <v>3547831.46</v>
      </c>
      <c r="H69" s="2">
        <v>-275769</v>
      </c>
    </row>
    <row r="70" spans="1:8" x14ac:dyDescent="0.25">
      <c r="A70" s="1" t="s">
        <v>321</v>
      </c>
      <c r="B70" s="2">
        <v>11117002.889999999</v>
      </c>
      <c r="C70" s="2">
        <v>11123759.889999999</v>
      </c>
      <c r="D70" s="2">
        <v>6757</v>
      </c>
      <c r="E70" s="2">
        <v>0</v>
      </c>
      <c r="F70" s="2">
        <v>7488620.8999999994</v>
      </c>
      <c r="G70" s="2">
        <v>7487080.8999999994</v>
      </c>
      <c r="H70" s="2">
        <v>-1540</v>
      </c>
    </row>
    <row r="71" spans="1:8" x14ac:dyDescent="0.25">
      <c r="A71" s="1" t="s">
        <v>322</v>
      </c>
      <c r="B71" s="2">
        <v>6154525.1899999995</v>
      </c>
      <c r="C71" s="2">
        <v>2636625.19</v>
      </c>
      <c r="D71" s="2">
        <v>-3517899.9999999995</v>
      </c>
      <c r="E71" s="2">
        <v>0</v>
      </c>
      <c r="F71" s="2">
        <v>8474715.5800000001</v>
      </c>
      <c r="G71" s="2">
        <v>6209087.5800000001</v>
      </c>
      <c r="H71" s="2">
        <v>-2265628</v>
      </c>
    </row>
    <row r="72" spans="1:8" x14ac:dyDescent="0.25">
      <c r="A72" s="1" t="s">
        <v>323</v>
      </c>
      <c r="B72" s="2">
        <v>1776156.43</v>
      </c>
      <c r="C72" s="2">
        <v>1715129.0900000003</v>
      </c>
      <c r="D72" s="2">
        <v>-61027.339999999618</v>
      </c>
      <c r="E72" s="2">
        <v>35898.42</v>
      </c>
      <c r="F72" s="2">
        <v>3963808.0800000005</v>
      </c>
      <c r="G72" s="2">
        <v>4088350.07</v>
      </c>
      <c r="H72" s="2">
        <v>124541.98999999929</v>
      </c>
    </row>
    <row r="73" spans="1:8" x14ac:dyDescent="0.25">
      <c r="A73" s="4" t="s">
        <v>298</v>
      </c>
      <c r="B73" s="4">
        <v>2457286021.6102376</v>
      </c>
      <c r="C73" s="4">
        <v>2446107257.032023</v>
      </c>
      <c r="D73" s="4">
        <v>-11178764.578214645</v>
      </c>
      <c r="E73" s="4">
        <v>70213275.293333352</v>
      </c>
      <c r="F73" s="4">
        <v>3385167625.9899979</v>
      </c>
      <c r="G73" s="4">
        <v>3593570495.4800005</v>
      </c>
      <c r="H73" s="4">
        <v>208402869.49000263</v>
      </c>
    </row>
    <row r="75" spans="1:8" x14ac:dyDescent="0.25">
      <c r="A75" s="3" t="s">
        <v>314</v>
      </c>
    </row>
    <row r="76" spans="1:8" x14ac:dyDescent="0.25">
      <c r="A76" s="3" t="s">
        <v>733</v>
      </c>
    </row>
    <row r="77" spans="1:8" x14ac:dyDescent="0.25">
      <c r="A77" s="3" t="s">
        <v>273</v>
      </c>
      <c r="B77" s="88" t="s">
        <v>296</v>
      </c>
      <c r="C77" s="89"/>
      <c r="D77" s="89"/>
      <c r="E77" s="90"/>
      <c r="F77" s="88" t="s">
        <v>307</v>
      </c>
      <c r="G77" s="89"/>
      <c r="H77" s="90"/>
    </row>
    <row r="78" spans="1:8" x14ac:dyDescent="0.25">
      <c r="A78" s="3" t="s">
        <v>1</v>
      </c>
      <c r="B78" s="4" t="s">
        <v>730</v>
      </c>
      <c r="C78" s="4" t="s">
        <v>731</v>
      </c>
      <c r="D78" s="4" t="s">
        <v>297</v>
      </c>
      <c r="E78" s="4" t="s">
        <v>732</v>
      </c>
      <c r="F78" s="4" t="s">
        <v>730</v>
      </c>
      <c r="G78" s="4" t="s">
        <v>731</v>
      </c>
      <c r="H78" s="4" t="s">
        <v>297</v>
      </c>
    </row>
    <row r="79" spans="1:8" x14ac:dyDescent="0.25">
      <c r="A79" s="1" t="s">
        <v>30</v>
      </c>
      <c r="B79" s="2">
        <v>9142029.7399999965</v>
      </c>
      <c r="C79" s="2">
        <v>9659623.7900000028</v>
      </c>
      <c r="D79" s="2">
        <v>517594.05000000633</v>
      </c>
      <c r="E79" s="2">
        <v>151747.79999999999</v>
      </c>
      <c r="F79" s="2">
        <v>132517210.83000001</v>
      </c>
      <c r="G79" s="2">
        <v>150861307.14000002</v>
      </c>
      <c r="H79" s="2">
        <v>18344096.310000002</v>
      </c>
    </row>
    <row r="80" spans="1:8" x14ac:dyDescent="0.25">
      <c r="A80" s="3" t="s">
        <v>298</v>
      </c>
      <c r="B80" s="4">
        <v>9142029.7399999965</v>
      </c>
      <c r="C80" s="4">
        <v>9659623.7900000028</v>
      </c>
      <c r="D80" s="4">
        <v>517594.05000000633</v>
      </c>
      <c r="E80" s="4">
        <v>151747.79999999999</v>
      </c>
      <c r="F80" s="4">
        <v>132517210.83000001</v>
      </c>
      <c r="G80" s="4">
        <v>150861307.14000002</v>
      </c>
      <c r="H80" s="4">
        <v>18344096.310000002</v>
      </c>
    </row>
    <row r="81" spans="1:8" x14ac:dyDescent="0.25">
      <c r="B81" s="2"/>
      <c r="C81" s="2"/>
      <c r="D81" s="2"/>
      <c r="E81" s="2"/>
      <c r="F81" s="2"/>
      <c r="G81" s="2"/>
      <c r="H81" s="2"/>
    </row>
    <row r="82" spans="1:8" x14ac:dyDescent="0.25">
      <c r="A82" s="3" t="s">
        <v>314</v>
      </c>
      <c r="B82" s="2"/>
      <c r="C82" s="2"/>
      <c r="D82" s="2"/>
      <c r="E82" s="2"/>
      <c r="F82" s="2"/>
      <c r="G82" s="2"/>
      <c r="H82" s="2"/>
    </row>
    <row r="83" spans="1:8" x14ac:dyDescent="0.25">
      <c r="A83" s="3" t="s">
        <v>281</v>
      </c>
      <c r="B83" s="2"/>
      <c r="C83" s="2"/>
      <c r="D83" s="2"/>
      <c r="E83" s="2"/>
      <c r="F83" s="2"/>
      <c r="G83" s="2"/>
      <c r="H83" s="2"/>
    </row>
    <row r="84" spans="1:8" x14ac:dyDescent="0.25">
      <c r="A84" s="3" t="s">
        <v>734</v>
      </c>
      <c r="B84" s="85" t="s">
        <v>296</v>
      </c>
      <c r="C84" s="86"/>
      <c r="D84" s="86"/>
      <c r="E84" s="87"/>
      <c r="F84" s="85" t="s">
        <v>307</v>
      </c>
      <c r="G84" s="86"/>
      <c r="H84" s="87"/>
    </row>
    <row r="85" spans="1:8" x14ac:dyDescent="0.25">
      <c r="A85" s="3" t="s">
        <v>1</v>
      </c>
      <c r="B85" s="4" t="s">
        <v>730</v>
      </c>
      <c r="C85" s="4" t="s">
        <v>731</v>
      </c>
      <c r="D85" s="4" t="s">
        <v>297</v>
      </c>
      <c r="E85" s="4" t="s">
        <v>732</v>
      </c>
      <c r="F85" s="4" t="s">
        <v>730</v>
      </c>
      <c r="G85" s="4" t="s">
        <v>731</v>
      </c>
      <c r="H85" s="4" t="s">
        <v>297</v>
      </c>
    </row>
    <row r="86" spans="1:8" x14ac:dyDescent="0.25">
      <c r="A86" s="1" t="s">
        <v>20</v>
      </c>
      <c r="B86" s="2">
        <v>9065764.7400000021</v>
      </c>
      <c r="C86" s="2">
        <v>9312213.7600000035</v>
      </c>
      <c r="D86" s="2">
        <v>246449.02000000142</v>
      </c>
      <c r="E86" s="2">
        <v>187567.75000000003</v>
      </c>
      <c r="F86" s="2">
        <v>120207834.01000001</v>
      </c>
      <c r="G86" s="2">
        <v>127215775.68000001</v>
      </c>
      <c r="H86" s="2">
        <v>7007941.6700000018</v>
      </c>
    </row>
    <row r="87" spans="1:8" x14ac:dyDescent="0.25">
      <c r="A87" s="1" t="s">
        <v>39</v>
      </c>
      <c r="B87" s="2">
        <v>519715.90999999986</v>
      </c>
      <c r="C87" s="2">
        <v>649054.15</v>
      </c>
      <c r="D87" s="2">
        <v>129338.24000000017</v>
      </c>
      <c r="E87" s="2">
        <v>18175.39</v>
      </c>
      <c r="F87" s="2">
        <v>27588483.52</v>
      </c>
      <c r="G87" s="2">
        <v>30840375.830000002</v>
      </c>
      <c r="H87" s="2">
        <v>3251892.3100000024</v>
      </c>
    </row>
    <row r="88" spans="1:8" x14ac:dyDescent="0.25">
      <c r="A88" s="3" t="s">
        <v>298</v>
      </c>
      <c r="B88" s="4">
        <v>9585480.6500000022</v>
      </c>
      <c r="C88" s="4">
        <v>9961267.9100000039</v>
      </c>
      <c r="D88" s="4">
        <v>375787.26000000164</v>
      </c>
      <c r="E88" s="4">
        <v>205743.14</v>
      </c>
      <c r="F88" s="4">
        <v>147796317.53</v>
      </c>
      <c r="G88" s="4">
        <v>158056151.51000002</v>
      </c>
      <c r="H88" s="4">
        <v>10259833.980000019</v>
      </c>
    </row>
    <row r="89" spans="1:8" x14ac:dyDescent="0.25">
      <c r="B89" s="2"/>
      <c r="C89" s="2"/>
      <c r="D89" s="2"/>
      <c r="E89" s="2"/>
      <c r="F89" s="2"/>
      <c r="G89" s="2"/>
      <c r="H89" s="2"/>
    </row>
    <row r="90" spans="1:8" x14ac:dyDescent="0.25">
      <c r="B90" s="2"/>
      <c r="C90" s="2"/>
      <c r="D90" s="2"/>
      <c r="E90" s="2"/>
      <c r="F90" s="2"/>
      <c r="G90" s="2"/>
      <c r="H90" s="2"/>
    </row>
    <row r="91" spans="1:8" x14ac:dyDescent="0.25">
      <c r="A91" s="3" t="s">
        <v>314</v>
      </c>
      <c r="B91" s="2"/>
      <c r="C91" s="2"/>
      <c r="D91" s="2"/>
      <c r="E91" s="2"/>
      <c r="F91" s="2"/>
      <c r="G91" s="2"/>
      <c r="H91" s="2"/>
    </row>
    <row r="92" spans="1:8" x14ac:dyDescent="0.25">
      <c r="A92" s="3" t="s">
        <v>280</v>
      </c>
      <c r="B92" s="2"/>
      <c r="C92" s="2"/>
      <c r="D92" s="2"/>
      <c r="E92" s="2"/>
      <c r="F92" s="2"/>
      <c r="G92" s="2"/>
      <c r="H92" s="2"/>
    </row>
    <row r="93" spans="1:8" x14ac:dyDescent="0.25">
      <c r="A93" s="3" t="s">
        <v>269</v>
      </c>
      <c r="B93" s="85" t="s">
        <v>296</v>
      </c>
      <c r="C93" s="86"/>
      <c r="D93" s="86"/>
      <c r="E93" s="87"/>
      <c r="F93" s="85" t="s">
        <v>307</v>
      </c>
      <c r="G93" s="86"/>
      <c r="H93" s="87"/>
    </row>
    <row r="94" spans="1:8" x14ac:dyDescent="0.25">
      <c r="A94" s="3" t="s">
        <v>1</v>
      </c>
      <c r="B94" s="4" t="s">
        <v>730</v>
      </c>
      <c r="C94" s="4" t="s">
        <v>731</v>
      </c>
      <c r="D94" s="4" t="s">
        <v>297</v>
      </c>
      <c r="E94" s="4" t="s">
        <v>732</v>
      </c>
      <c r="F94" s="4" t="s">
        <v>730</v>
      </c>
      <c r="G94" s="4" t="s">
        <v>731</v>
      </c>
      <c r="H94" s="4" t="s">
        <v>297</v>
      </c>
    </row>
    <row r="95" spans="1:8" x14ac:dyDescent="0.25">
      <c r="A95" s="1" t="s">
        <v>35</v>
      </c>
      <c r="B95" s="2">
        <v>31537885.27999999</v>
      </c>
      <c r="C95" s="2">
        <v>30828536.809999995</v>
      </c>
      <c r="D95" s="2">
        <v>-709348.46999999508</v>
      </c>
      <c r="E95" s="2">
        <v>41690.76</v>
      </c>
      <c r="F95" s="2">
        <v>71327669.549999997</v>
      </c>
      <c r="G95" s="2">
        <v>72506158.25</v>
      </c>
      <c r="H95" s="2">
        <v>1178488.700000003</v>
      </c>
    </row>
    <row r="96" spans="1:8" x14ac:dyDescent="0.25">
      <c r="A96" s="1" t="s">
        <v>4</v>
      </c>
      <c r="B96" s="2">
        <v>38990809.208571389</v>
      </c>
      <c r="C96" s="2">
        <v>40220190.522857159</v>
      </c>
      <c r="D96" s="2">
        <v>1229381.3142857701</v>
      </c>
      <c r="E96" s="2">
        <v>64923.95</v>
      </c>
      <c r="F96" s="2">
        <v>294591538.92000002</v>
      </c>
      <c r="G96" s="2">
        <v>294757190.88000005</v>
      </c>
      <c r="H96" s="2">
        <v>165651.96000003815</v>
      </c>
    </row>
    <row r="97" spans="1:8" x14ac:dyDescent="0.25">
      <c r="A97" s="1" t="s">
        <v>26</v>
      </c>
      <c r="B97" s="2">
        <v>14815238.949999999</v>
      </c>
      <c r="C97" s="2">
        <v>15155339.6</v>
      </c>
      <c r="D97" s="2">
        <v>340100.65000000037</v>
      </c>
      <c r="E97" s="2">
        <v>81503.989999999991</v>
      </c>
      <c r="F97" s="2">
        <v>71940989.909999996</v>
      </c>
      <c r="G97" s="2">
        <v>73927107.230000004</v>
      </c>
      <c r="H97" s="2">
        <v>1986117.3200000077</v>
      </c>
    </row>
    <row r="98" spans="1:8" x14ac:dyDescent="0.25">
      <c r="A98" s="1" t="s">
        <v>17</v>
      </c>
      <c r="B98" s="2">
        <v>6874435.3700000001</v>
      </c>
      <c r="C98" s="2">
        <v>7664674.5100000007</v>
      </c>
      <c r="D98" s="2">
        <v>790239.1400000006</v>
      </c>
      <c r="E98" s="2">
        <v>196096.02</v>
      </c>
      <c r="F98" s="2">
        <v>148309378.51000005</v>
      </c>
      <c r="G98" s="2">
        <v>150039101.19</v>
      </c>
      <c r="H98" s="2">
        <v>1729722.6799999475</v>
      </c>
    </row>
    <row r="99" spans="1:8" x14ac:dyDescent="0.25">
      <c r="A99" s="1" t="s">
        <v>590</v>
      </c>
      <c r="B99" s="2">
        <v>0</v>
      </c>
      <c r="C99" s="2">
        <v>21012.15</v>
      </c>
      <c r="D99" s="2">
        <v>21012.15</v>
      </c>
      <c r="E99" s="2">
        <v>21012.15</v>
      </c>
      <c r="F99" s="2">
        <v>0</v>
      </c>
      <c r="G99" s="2">
        <v>5899447</v>
      </c>
      <c r="H99" s="2">
        <v>5899447</v>
      </c>
    </row>
    <row r="100" spans="1:8" x14ac:dyDescent="0.25">
      <c r="A100" s="1" t="s">
        <v>19</v>
      </c>
      <c r="B100" s="2">
        <v>228584.85</v>
      </c>
      <c r="C100" s="2">
        <v>320012.19999999995</v>
      </c>
      <c r="D100" s="2">
        <v>91427.349999999948</v>
      </c>
      <c r="E100" s="2">
        <v>25627.3</v>
      </c>
      <c r="F100" s="2">
        <v>40817649.450000003</v>
      </c>
      <c r="G100" s="2">
        <v>49156932.899999999</v>
      </c>
      <c r="H100" s="2">
        <v>8339283.4499999955</v>
      </c>
    </row>
    <row r="101" spans="1:8" x14ac:dyDescent="0.25">
      <c r="A101" s="3" t="s">
        <v>298</v>
      </c>
      <c r="B101" s="4">
        <v>92446953.658571377</v>
      </c>
      <c r="C101" s="4">
        <v>94209765.79285717</v>
      </c>
      <c r="D101" s="4">
        <v>1762812.1342857927</v>
      </c>
      <c r="E101" s="4">
        <v>430854.17</v>
      </c>
      <c r="F101" s="4">
        <v>626987226.34000015</v>
      </c>
      <c r="G101" s="4">
        <v>646285937.45000005</v>
      </c>
      <c r="H101" s="4">
        <v>19298711.109999895</v>
      </c>
    </row>
    <row r="103" spans="1:8" x14ac:dyDescent="0.25">
      <c r="A103" s="3" t="s">
        <v>314</v>
      </c>
      <c r="B103" s="2"/>
      <c r="C103" s="2"/>
      <c r="D103" s="2"/>
      <c r="E103" s="2"/>
      <c r="F103" s="2"/>
      <c r="G103" s="2"/>
      <c r="H103" s="2"/>
    </row>
    <row r="104" spans="1:8" x14ac:dyDescent="0.25">
      <c r="A104" s="3" t="s">
        <v>735</v>
      </c>
      <c r="B104" s="2"/>
      <c r="C104" s="2"/>
      <c r="D104" s="2"/>
      <c r="E104" s="2"/>
      <c r="F104" s="2"/>
      <c r="G104" s="2"/>
      <c r="H104" s="2"/>
    </row>
    <row r="105" spans="1:8" x14ac:dyDescent="0.25">
      <c r="A105" s="3"/>
      <c r="B105" s="85" t="s">
        <v>296</v>
      </c>
      <c r="C105" s="86"/>
      <c r="D105" s="86"/>
      <c r="E105" s="87"/>
      <c r="F105" s="85" t="s">
        <v>307</v>
      </c>
      <c r="G105" s="86"/>
      <c r="H105" s="87"/>
    </row>
    <row r="106" spans="1:8" x14ac:dyDescent="0.25">
      <c r="A106" s="3" t="s">
        <v>1</v>
      </c>
      <c r="B106" s="4" t="s">
        <v>730</v>
      </c>
      <c r="C106" s="4" t="s">
        <v>731</v>
      </c>
      <c r="D106" s="4" t="s">
        <v>297</v>
      </c>
      <c r="E106" s="4" t="s">
        <v>732</v>
      </c>
      <c r="F106" s="4" t="s">
        <v>730</v>
      </c>
      <c r="G106" s="4" t="s">
        <v>731</v>
      </c>
      <c r="H106" s="4" t="s">
        <v>297</v>
      </c>
    </row>
    <row r="107" spans="1:8" x14ac:dyDescent="0.25">
      <c r="A107" s="2" t="s">
        <v>35</v>
      </c>
      <c r="B107" s="2">
        <v>31537885.27999999</v>
      </c>
      <c r="C107" s="2">
        <v>30828536.809999995</v>
      </c>
      <c r="D107" s="2">
        <v>-709348.46999999508</v>
      </c>
      <c r="E107" s="2">
        <v>41690.76</v>
      </c>
      <c r="F107" s="2">
        <v>71327669.549999997</v>
      </c>
      <c r="G107" s="2">
        <v>72506158.25</v>
      </c>
      <c r="H107" s="2">
        <v>1178488.700000003</v>
      </c>
    </row>
    <row r="108" spans="1:8" x14ac:dyDescent="0.25">
      <c r="A108" s="2" t="s">
        <v>4</v>
      </c>
      <c r="B108" s="2">
        <v>38990809.208571389</v>
      </c>
      <c r="C108" s="2">
        <v>40220190.522857159</v>
      </c>
      <c r="D108" s="2">
        <v>1229381.3142857701</v>
      </c>
      <c r="E108" s="2">
        <v>64923.95</v>
      </c>
      <c r="F108" s="2">
        <v>294591538.92000002</v>
      </c>
      <c r="G108" s="2">
        <v>294757190.88000005</v>
      </c>
      <c r="H108" s="2">
        <v>165651.96000003815</v>
      </c>
    </row>
    <row r="109" spans="1:8" x14ac:dyDescent="0.25">
      <c r="A109" s="2" t="s">
        <v>26</v>
      </c>
      <c r="B109" s="2">
        <v>14815238.949999999</v>
      </c>
      <c r="C109" s="2">
        <v>15155339.6</v>
      </c>
      <c r="D109" s="2">
        <v>340100.65000000037</v>
      </c>
      <c r="E109" s="2">
        <v>81503.989999999991</v>
      </c>
      <c r="F109" s="2">
        <v>71940989.909999996</v>
      </c>
      <c r="G109" s="2">
        <v>73927107.230000004</v>
      </c>
      <c r="H109" s="2">
        <v>1986117.3200000077</v>
      </c>
    </row>
    <row r="110" spans="1:8" x14ac:dyDescent="0.25">
      <c r="A110" s="2" t="s">
        <v>9</v>
      </c>
      <c r="B110" s="2">
        <v>9312395.2899999991</v>
      </c>
      <c r="C110" s="2">
        <v>9700613.5700000022</v>
      </c>
      <c r="D110" s="2">
        <v>388218.28000000305</v>
      </c>
      <c r="E110" s="2">
        <v>84696.95</v>
      </c>
      <c r="F110" s="2">
        <v>132647666.09999999</v>
      </c>
      <c r="G110" s="2">
        <v>139451167.88999999</v>
      </c>
      <c r="H110" s="2">
        <v>6803501.7899999917</v>
      </c>
    </row>
    <row r="111" spans="1:8" x14ac:dyDescent="0.25">
      <c r="A111" s="2" t="s">
        <v>20</v>
      </c>
      <c r="B111" s="2">
        <v>9065764.7400000021</v>
      </c>
      <c r="C111" s="2">
        <v>9312213.7600000035</v>
      </c>
      <c r="D111" s="2">
        <v>246449.02000000142</v>
      </c>
      <c r="E111" s="2">
        <v>187567.75000000003</v>
      </c>
      <c r="F111" s="2">
        <v>120207834.01000001</v>
      </c>
      <c r="G111" s="2">
        <v>127215775.68000001</v>
      </c>
      <c r="H111" s="2">
        <v>7007941.6700000018</v>
      </c>
    </row>
    <row r="112" spans="1:8" x14ac:dyDescent="0.25">
      <c r="A112" s="2" t="s">
        <v>13</v>
      </c>
      <c r="B112" s="2">
        <v>11733170.874999998</v>
      </c>
      <c r="C112" s="2">
        <v>11336171.302499991</v>
      </c>
      <c r="D112" s="2">
        <v>-396999.57250000723</v>
      </c>
      <c r="E112" s="2">
        <v>258356.72000000003</v>
      </c>
      <c r="F112" s="2">
        <v>181806219.48000002</v>
      </c>
      <c r="G112" s="2">
        <v>187263430.95999989</v>
      </c>
      <c r="H112" s="2">
        <v>5457211.4799998701</v>
      </c>
    </row>
    <row r="113" spans="1:8" x14ac:dyDescent="0.25">
      <c r="A113" s="2" t="s">
        <v>30</v>
      </c>
      <c r="B113" s="2">
        <v>9142029.7399999965</v>
      </c>
      <c r="C113" s="2">
        <v>9659623.7900000028</v>
      </c>
      <c r="D113" s="2">
        <v>517594.05000000633</v>
      </c>
      <c r="E113" s="2">
        <v>151747.79999999999</v>
      </c>
      <c r="F113" s="2">
        <v>132517210.83000001</v>
      </c>
      <c r="G113" s="2">
        <v>150861307.14000002</v>
      </c>
      <c r="H113" s="2">
        <v>18344096.310000002</v>
      </c>
    </row>
    <row r="114" spans="1:8" x14ac:dyDescent="0.25">
      <c r="A114" s="2" t="s">
        <v>39</v>
      </c>
      <c r="B114" s="2">
        <v>519715.90999999986</v>
      </c>
      <c r="C114" s="2">
        <v>649054.15</v>
      </c>
      <c r="D114" s="2">
        <v>129338.24000000017</v>
      </c>
      <c r="E114" s="2">
        <v>18175.39</v>
      </c>
      <c r="F114" s="2">
        <v>27588483.52</v>
      </c>
      <c r="G114" s="2">
        <v>30840375.830000002</v>
      </c>
      <c r="H114" s="2">
        <v>3251892.3100000024</v>
      </c>
    </row>
    <row r="115" spans="1:8" x14ac:dyDescent="0.25">
      <c r="A115" s="2" t="s">
        <v>17</v>
      </c>
      <c r="B115" s="2">
        <v>6874435.3700000001</v>
      </c>
      <c r="C115" s="2">
        <v>7664674.5100000007</v>
      </c>
      <c r="D115" s="2">
        <v>790239.1400000006</v>
      </c>
      <c r="E115" s="2">
        <v>196096.02</v>
      </c>
      <c r="F115" s="2">
        <v>148309378.51000005</v>
      </c>
      <c r="G115" s="2">
        <v>150039101.19</v>
      </c>
      <c r="H115" s="2">
        <v>1729722.6799999475</v>
      </c>
    </row>
    <row r="116" spans="1:8" x14ac:dyDescent="0.25">
      <c r="A116" s="2" t="s">
        <v>590</v>
      </c>
      <c r="B116" s="2">
        <v>0</v>
      </c>
      <c r="C116" s="2">
        <v>21012.15</v>
      </c>
      <c r="D116" s="2">
        <v>21012.15</v>
      </c>
      <c r="E116" s="2">
        <v>21012.15</v>
      </c>
      <c r="F116" s="2">
        <v>0</v>
      </c>
      <c r="G116" s="2">
        <v>5899447</v>
      </c>
      <c r="H116" s="2">
        <v>5899447</v>
      </c>
    </row>
    <row r="117" spans="1:8" x14ac:dyDescent="0.25">
      <c r="A117" s="2" t="s">
        <v>12</v>
      </c>
      <c r="B117" s="2">
        <v>2411996.5099999988</v>
      </c>
      <c r="C117" s="2">
        <v>2475866.5499999998</v>
      </c>
      <c r="D117" s="2">
        <v>63870.040000000969</v>
      </c>
      <c r="E117" s="2">
        <v>21594.95</v>
      </c>
      <c r="F117" s="2">
        <v>73183262.650000006</v>
      </c>
      <c r="G117" s="2">
        <v>77583930.900000006</v>
      </c>
      <c r="H117" s="2">
        <v>4400668.25</v>
      </c>
    </row>
    <row r="118" spans="1:8" x14ac:dyDescent="0.25">
      <c r="A118" s="2" t="s">
        <v>19</v>
      </c>
      <c r="B118" s="2">
        <v>228584.85</v>
      </c>
      <c r="C118" s="2">
        <v>320012.19999999995</v>
      </c>
      <c r="D118" s="2">
        <v>91427.349999999948</v>
      </c>
      <c r="E118" s="2">
        <v>25627.3</v>
      </c>
      <c r="F118" s="2">
        <v>40817649.450000003</v>
      </c>
      <c r="G118" s="2">
        <v>49156932.899999999</v>
      </c>
      <c r="H118" s="2">
        <v>8339283.4499999955</v>
      </c>
    </row>
    <row r="119" spans="1:8" x14ac:dyDescent="0.25">
      <c r="A119" s="2" t="s">
        <v>24</v>
      </c>
      <c r="B119" s="2">
        <v>1413779.97</v>
      </c>
      <c r="C119" s="2">
        <v>1330623.93</v>
      </c>
      <c r="D119" s="2">
        <v>-83156.040000000037</v>
      </c>
      <c r="E119" s="2">
        <v>49042.61</v>
      </c>
      <c r="F119" s="2">
        <v>75918633.799999997</v>
      </c>
      <c r="G119" s="2">
        <v>79611594.120000005</v>
      </c>
      <c r="H119" s="2">
        <v>3692960.3200000077</v>
      </c>
    </row>
    <row r="120" spans="1:8" x14ac:dyDescent="0.25">
      <c r="A120" s="4" t="s">
        <v>298</v>
      </c>
      <c r="B120" s="4">
        <v>136045806.69357139</v>
      </c>
      <c r="C120" s="4">
        <v>138673932.84535718</v>
      </c>
      <c r="D120" s="4">
        <v>2628126.1517857909</v>
      </c>
      <c r="E120" s="4">
        <v>1202036.3400000001</v>
      </c>
      <c r="F120" s="4">
        <v>1370856536.7300003</v>
      </c>
      <c r="G120" s="4">
        <v>1439113519.9700003</v>
      </c>
      <c r="H120" s="4">
        <v>68256983.24000001</v>
      </c>
    </row>
    <row r="121" spans="1:8" x14ac:dyDescent="0.25">
      <c r="A121" s="2"/>
      <c r="B121" s="2"/>
      <c r="C121" s="2"/>
      <c r="D121" s="2"/>
      <c r="E121" s="2"/>
      <c r="F121" s="2"/>
      <c r="G121" s="2"/>
      <c r="H121" s="2"/>
    </row>
    <row r="122" spans="1:8" x14ac:dyDescent="0.25">
      <c r="A122" s="3" t="s">
        <v>726</v>
      </c>
      <c r="B122" s="2"/>
      <c r="C122" s="2"/>
      <c r="D122" s="2"/>
      <c r="E122" s="2"/>
      <c r="F122" s="2"/>
      <c r="G122" s="2"/>
      <c r="H122" s="2"/>
    </row>
    <row r="123" spans="1:8" x14ac:dyDescent="0.25">
      <c r="A123" s="3" t="s">
        <v>316</v>
      </c>
      <c r="B123" s="85" t="s">
        <v>296</v>
      </c>
      <c r="C123" s="86"/>
      <c r="D123" s="86"/>
      <c r="E123" s="87"/>
      <c r="F123" s="85" t="s">
        <v>307</v>
      </c>
      <c r="G123" s="86"/>
      <c r="H123" s="87"/>
    </row>
    <row r="124" spans="1:8" x14ac:dyDescent="0.25">
      <c r="A124" s="3" t="s">
        <v>1</v>
      </c>
      <c r="B124" s="4" t="s">
        <v>730</v>
      </c>
      <c r="C124" s="4" t="s">
        <v>731</v>
      </c>
      <c r="D124" s="4" t="s">
        <v>297</v>
      </c>
      <c r="E124" s="4" t="s">
        <v>732</v>
      </c>
      <c r="F124" s="4" t="s">
        <v>730</v>
      </c>
      <c r="G124" s="4" t="s">
        <v>731</v>
      </c>
      <c r="H124" s="4" t="s">
        <v>297</v>
      </c>
    </row>
    <row r="125" spans="1:8" x14ac:dyDescent="0.25">
      <c r="A125" s="2" t="s">
        <v>35</v>
      </c>
      <c r="B125" s="2">
        <v>248186293.17000005</v>
      </c>
      <c r="C125" s="2">
        <v>229184056.29000005</v>
      </c>
      <c r="D125" s="2">
        <v>-19002236.879999995</v>
      </c>
      <c r="E125" s="2">
        <v>817396.7100000002</v>
      </c>
      <c r="F125" s="2">
        <v>171102088.5</v>
      </c>
      <c r="G125" s="2">
        <v>161459716.65000004</v>
      </c>
      <c r="H125" s="2">
        <v>-9642371.8499999642</v>
      </c>
    </row>
    <row r="126" spans="1:8" x14ac:dyDescent="0.25">
      <c r="A126" s="2" t="s">
        <v>4</v>
      </c>
      <c r="B126" s="2">
        <v>337343658.82999998</v>
      </c>
      <c r="C126" s="2">
        <v>332133555.86000025</v>
      </c>
      <c r="D126" s="2">
        <v>-5210102.9699997306</v>
      </c>
      <c r="E126" s="2">
        <v>8309385.54</v>
      </c>
      <c r="F126" s="2">
        <v>157732389.67999992</v>
      </c>
      <c r="G126" s="2">
        <v>159107578.33999994</v>
      </c>
      <c r="H126" s="2">
        <v>1375188.6600000262</v>
      </c>
    </row>
    <row r="127" spans="1:8" x14ac:dyDescent="0.25">
      <c r="A127" s="2" t="s">
        <v>26</v>
      </c>
      <c r="B127" s="2">
        <v>163960634.34</v>
      </c>
      <c r="C127" s="2">
        <v>165204953.36000007</v>
      </c>
      <c r="D127" s="2">
        <v>1244319.0200000703</v>
      </c>
      <c r="E127" s="2">
        <v>1894684.5600000003</v>
      </c>
      <c r="F127" s="2">
        <v>184371704.45000008</v>
      </c>
      <c r="G127" s="2">
        <v>181551507.90000007</v>
      </c>
      <c r="H127" s="2">
        <v>-2820196.5500000119</v>
      </c>
    </row>
    <row r="128" spans="1:8" x14ac:dyDescent="0.25">
      <c r="A128" s="2" t="s">
        <v>9</v>
      </c>
      <c r="B128" s="2">
        <v>91372181.199999988</v>
      </c>
      <c r="C128" s="2">
        <v>91766596.849999994</v>
      </c>
      <c r="D128" s="2">
        <v>394415.65000000596</v>
      </c>
      <c r="E128" s="2">
        <v>255106.37</v>
      </c>
      <c r="F128" s="2">
        <v>35283061.169999979</v>
      </c>
      <c r="G128" s="2">
        <v>38381870.069999993</v>
      </c>
      <c r="H128" s="2">
        <v>3098808.9000000134</v>
      </c>
    </row>
    <row r="129" spans="1:8" x14ac:dyDescent="0.25">
      <c r="A129" s="2" t="s">
        <v>20</v>
      </c>
      <c r="B129" s="2">
        <v>114170618.91</v>
      </c>
      <c r="C129" s="2">
        <v>113827068.01999998</v>
      </c>
      <c r="D129" s="2">
        <v>-343550.8900000155</v>
      </c>
      <c r="E129" s="2">
        <v>324604.09000000003</v>
      </c>
      <c r="F129" s="2">
        <v>97580666.25999999</v>
      </c>
      <c r="G129" s="2">
        <v>93523676.13000001</v>
      </c>
      <c r="H129" s="2">
        <v>-4056990.1299999803</v>
      </c>
    </row>
    <row r="130" spans="1:8" x14ac:dyDescent="0.25">
      <c r="A130" s="2" t="s">
        <v>13</v>
      </c>
      <c r="B130" s="2">
        <v>52547923.729999989</v>
      </c>
      <c r="C130" s="2">
        <v>55043327.983333334</v>
      </c>
      <c r="D130" s="2">
        <v>2495404.2533333451</v>
      </c>
      <c r="E130" s="2">
        <v>435744.18333333335</v>
      </c>
      <c r="F130" s="2">
        <v>49212732.07</v>
      </c>
      <c r="G130" s="2">
        <v>52776906.889999986</v>
      </c>
      <c r="H130" s="2">
        <v>3564174.8199999854</v>
      </c>
    </row>
    <row r="131" spans="1:8" x14ac:dyDescent="0.25">
      <c r="A131" s="2" t="s">
        <v>30</v>
      </c>
      <c r="B131" s="2">
        <v>36806529.410000004</v>
      </c>
      <c r="C131" s="2">
        <v>32715602.290000003</v>
      </c>
      <c r="D131" s="2">
        <v>-4090927.120000001</v>
      </c>
      <c r="E131" s="2">
        <v>330833.37</v>
      </c>
      <c r="F131" s="2">
        <v>69567407.970000014</v>
      </c>
      <c r="G131" s="2">
        <v>71427697.700000018</v>
      </c>
      <c r="H131" s="2">
        <v>1860289.7300000042</v>
      </c>
    </row>
    <row r="132" spans="1:8" x14ac:dyDescent="0.25">
      <c r="A132" s="2" t="s">
        <v>39</v>
      </c>
      <c r="B132" s="2">
        <v>383746.83666666667</v>
      </c>
      <c r="C132" s="2">
        <v>166340.32333333333</v>
      </c>
      <c r="D132" s="2">
        <v>-217406.51333333334</v>
      </c>
      <c r="E132" s="2">
        <v>14235.18</v>
      </c>
      <c r="F132" s="2">
        <v>5238911.59</v>
      </c>
      <c r="G132" s="2">
        <v>5542864.7999999989</v>
      </c>
      <c r="H132" s="2">
        <v>303953.20999999903</v>
      </c>
    </row>
    <row r="133" spans="1:8" x14ac:dyDescent="0.25">
      <c r="A133" s="2" t="s">
        <v>17</v>
      </c>
      <c r="B133" s="2">
        <v>56389799.330000006</v>
      </c>
      <c r="C133" s="2">
        <v>55739990.010000005</v>
      </c>
      <c r="D133" s="2">
        <v>-649809.3200000003</v>
      </c>
      <c r="E133" s="2">
        <v>289564.74999999994</v>
      </c>
      <c r="F133" s="2">
        <v>49167395.080000006</v>
      </c>
      <c r="G133" s="2">
        <v>56941042.730000004</v>
      </c>
      <c r="H133" s="2">
        <v>7773647.6499999985</v>
      </c>
    </row>
    <row r="134" spans="1:8" x14ac:dyDescent="0.25">
      <c r="A134" s="2" t="s">
        <v>590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1150000</v>
      </c>
      <c r="H134" s="2">
        <v>1150000</v>
      </c>
    </row>
    <row r="135" spans="1:8" x14ac:dyDescent="0.25">
      <c r="A135" s="2" t="s">
        <v>12</v>
      </c>
      <c r="B135" s="2">
        <v>5136295.6399999997</v>
      </c>
      <c r="C135" s="2">
        <v>4529938.4399999995</v>
      </c>
      <c r="D135" s="2">
        <v>-606357.20000000019</v>
      </c>
      <c r="E135" s="2">
        <v>90439.97</v>
      </c>
      <c r="F135" s="2">
        <v>6281642.0199999996</v>
      </c>
      <c r="G135" s="2">
        <v>5878689.8300000001</v>
      </c>
      <c r="H135" s="2">
        <v>-402952.18999999948</v>
      </c>
    </row>
    <row r="136" spans="1:8" x14ac:dyDescent="0.25">
      <c r="A136" s="2" t="s">
        <v>19</v>
      </c>
      <c r="B136" s="2">
        <v>8039.46</v>
      </c>
      <c r="C136" s="2">
        <v>10107.86</v>
      </c>
      <c r="D136" s="2">
        <v>2068.4000000000005</v>
      </c>
      <c r="E136" s="2">
        <v>0</v>
      </c>
      <c r="F136" s="2">
        <v>1523372.8599999999</v>
      </c>
      <c r="G136" s="2">
        <v>1987772.8599999999</v>
      </c>
      <c r="H136" s="2">
        <v>464400</v>
      </c>
    </row>
    <row r="137" spans="1:8" x14ac:dyDescent="0.25">
      <c r="A137" s="2" t="s">
        <v>24</v>
      </c>
      <c r="B137" s="2">
        <v>7764771.3600000003</v>
      </c>
      <c r="C137" s="2">
        <v>8166234.5199999986</v>
      </c>
      <c r="D137" s="2">
        <v>401463.15999999829</v>
      </c>
      <c r="E137" s="2">
        <v>73382.81</v>
      </c>
      <c r="F137" s="2">
        <v>14082742.4</v>
      </c>
      <c r="G137" s="2">
        <v>13848121.789999997</v>
      </c>
      <c r="H137" s="2">
        <v>-234620.61000000313</v>
      </c>
    </row>
    <row r="138" spans="1:8" x14ac:dyDescent="0.25">
      <c r="A138" s="4" t="s">
        <v>298</v>
      </c>
      <c r="B138" s="4">
        <v>1114070492.2166667</v>
      </c>
      <c r="C138" s="4">
        <v>1088487771.8066671</v>
      </c>
      <c r="D138" s="4">
        <v>-25582720.409999609</v>
      </c>
      <c r="E138" s="4">
        <v>12835377.533333333</v>
      </c>
      <c r="F138" s="4">
        <v>841144114.05000007</v>
      </c>
      <c r="G138" s="4">
        <v>843577445.69000006</v>
      </c>
      <c r="H138" s="4">
        <v>2433331.6399999857</v>
      </c>
    </row>
  </sheetData>
  <mergeCells count="13">
    <mergeCell ref="B77:E77"/>
    <mergeCell ref="B84:E84"/>
    <mergeCell ref="B93:E93"/>
    <mergeCell ref="F77:H77"/>
    <mergeCell ref="F41:H41"/>
    <mergeCell ref="B58:E58"/>
    <mergeCell ref="B41:E41"/>
    <mergeCell ref="B105:E105"/>
    <mergeCell ref="F105:H105"/>
    <mergeCell ref="B123:E123"/>
    <mergeCell ref="F123:H123"/>
    <mergeCell ref="F84:H84"/>
    <mergeCell ref="F93:H93"/>
  </mergeCells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A1A6-A80D-4B9B-B29A-1E3EBF8DFD1F}">
  <dimension ref="A1:J50"/>
  <sheetViews>
    <sheetView workbookViewId="0">
      <selection activeCell="G47" sqref="G47"/>
    </sheetView>
  </sheetViews>
  <sheetFormatPr defaultColWidth="9.140625" defaultRowHeight="15" x14ac:dyDescent="0.25"/>
  <cols>
    <col min="1" max="1" width="20.5703125" style="1" bestFit="1" customWidth="1"/>
    <col min="2" max="2" width="29.28515625" style="1" bestFit="1" customWidth="1"/>
    <col min="3" max="3" width="26.85546875" style="1" bestFit="1" customWidth="1"/>
    <col min="4" max="4" width="19.7109375" style="1" bestFit="1" customWidth="1"/>
    <col min="5" max="5" width="21.7109375" style="1" bestFit="1" customWidth="1"/>
    <col min="6" max="6" width="19.140625" style="1" bestFit="1" customWidth="1"/>
    <col min="7" max="8" width="15.28515625" style="1" customWidth="1"/>
    <col min="9" max="9" width="18.42578125" style="1" bestFit="1" customWidth="1"/>
    <col min="10" max="10" width="10.5703125" style="1" bestFit="1" customWidth="1"/>
    <col min="11" max="11" width="9.140625" style="1"/>
    <col min="12" max="12" width="16.85546875" style="1" bestFit="1" customWidth="1"/>
    <col min="13" max="13" width="9.140625" style="1"/>
    <col min="14" max="14" width="13.42578125" style="1" bestFit="1" customWidth="1"/>
    <col min="15" max="16384" width="9.140625" style="1"/>
  </cols>
  <sheetData>
    <row r="1" spans="1:10" x14ac:dyDescent="0.25">
      <c r="A1" s="3"/>
      <c r="B1" s="3"/>
      <c r="C1" s="88" t="s">
        <v>296</v>
      </c>
      <c r="D1" s="89"/>
      <c r="E1" s="89"/>
      <c r="F1" s="90"/>
      <c r="G1" s="48"/>
      <c r="H1" s="91" t="s">
        <v>212</v>
      </c>
      <c r="I1" s="92"/>
      <c r="J1" s="93"/>
    </row>
    <row r="2" spans="1:10" x14ac:dyDescent="0.25">
      <c r="A2" s="3" t="s">
        <v>100</v>
      </c>
      <c r="B2" s="3" t="s">
        <v>32</v>
      </c>
      <c r="C2" s="3" t="s">
        <v>1</v>
      </c>
      <c r="D2" s="3" t="s">
        <v>730</v>
      </c>
      <c r="E2" s="3" t="s">
        <v>731</v>
      </c>
      <c r="F2" s="3" t="s">
        <v>297</v>
      </c>
      <c r="G2" s="3" t="s">
        <v>732</v>
      </c>
      <c r="H2" s="10" t="s">
        <v>730</v>
      </c>
      <c r="I2" s="10" t="s">
        <v>731</v>
      </c>
      <c r="J2" s="10" t="s">
        <v>399</v>
      </c>
    </row>
    <row r="3" spans="1:10" x14ac:dyDescent="0.25">
      <c r="B3" s="1" t="s">
        <v>302</v>
      </c>
      <c r="C3" s="1" t="s">
        <v>35</v>
      </c>
      <c r="D3" s="2">
        <v>642915946.55999911</v>
      </c>
      <c r="E3" s="2">
        <v>652278129.72000015</v>
      </c>
      <c r="F3" s="2">
        <v>9362183.1600010395</v>
      </c>
      <c r="G3" s="2">
        <v>40049006.149999999</v>
      </c>
      <c r="H3" s="6">
        <v>0.43677948380693199</v>
      </c>
      <c r="I3" s="6">
        <v>0.42473114681120394</v>
      </c>
      <c r="J3" s="6">
        <v>-1.2048336995728048E-2</v>
      </c>
    </row>
    <row r="4" spans="1:10" x14ac:dyDescent="0.25">
      <c r="C4" s="1" t="s">
        <v>4</v>
      </c>
      <c r="D4" s="2">
        <v>860927784.62857068</v>
      </c>
      <c r="E4" s="2">
        <v>843892932.07285738</v>
      </c>
      <c r="F4" s="2">
        <v>-17034852.555713296</v>
      </c>
      <c r="G4" s="2">
        <v>23037831.98</v>
      </c>
      <c r="H4" s="6">
        <v>0.36015270716792036</v>
      </c>
      <c r="I4" s="6">
        <v>0.3505477971694671</v>
      </c>
      <c r="J4" s="6">
        <v>-9.6049099984532593E-3</v>
      </c>
    </row>
    <row r="5" spans="1:10" x14ac:dyDescent="0.25">
      <c r="B5" s="1" t="s">
        <v>302</v>
      </c>
      <c r="C5" s="1" t="s">
        <v>26</v>
      </c>
      <c r="D5" s="2">
        <v>290137147.62999994</v>
      </c>
      <c r="E5" s="2">
        <v>280805017.60000002</v>
      </c>
      <c r="F5" s="2">
        <v>-9332130.0299999118</v>
      </c>
      <c r="G5" s="2">
        <v>2147273.54</v>
      </c>
      <c r="H5" s="6">
        <v>0.23695082193049891</v>
      </c>
      <c r="I5" s="6">
        <v>0.22680494679218235</v>
      </c>
      <c r="J5" s="6">
        <v>-1.0145875138316551E-2</v>
      </c>
    </row>
    <row r="6" spans="1:10" x14ac:dyDescent="0.25">
      <c r="A6" s="1" t="s">
        <v>299</v>
      </c>
      <c r="B6" s="1" t="s">
        <v>303</v>
      </c>
      <c r="C6" s="1" t="s">
        <v>9</v>
      </c>
      <c r="D6" s="2">
        <v>161925340.17000008</v>
      </c>
      <c r="E6" s="2">
        <v>163486385.89000016</v>
      </c>
      <c r="F6" s="2">
        <v>1561045.7200000882</v>
      </c>
      <c r="G6" s="2">
        <v>1124391.76</v>
      </c>
      <c r="H6" s="6">
        <v>0.21716775268533892</v>
      </c>
      <c r="I6" s="6">
        <v>0.21223036146825722</v>
      </c>
      <c r="J6" s="6">
        <v>-4.9373912170816991E-3</v>
      </c>
    </row>
    <row r="7" spans="1:10" x14ac:dyDescent="0.25">
      <c r="A7" s="1" t="s">
        <v>301</v>
      </c>
      <c r="B7" s="1" t="s">
        <v>304</v>
      </c>
      <c r="C7" s="1" t="s">
        <v>20</v>
      </c>
      <c r="D7" s="2">
        <v>202575827.33999997</v>
      </c>
      <c r="E7" s="2">
        <v>205365026.17000014</v>
      </c>
      <c r="F7" s="2">
        <v>2789198.8300001621</v>
      </c>
      <c r="G7" s="2">
        <v>614102.67000000004</v>
      </c>
      <c r="H7" s="6">
        <v>0.25893501236208061</v>
      </c>
      <c r="I7" s="6">
        <v>0.25489906603387413</v>
      </c>
      <c r="J7" s="6">
        <v>-4.0359463282064745E-3</v>
      </c>
    </row>
    <row r="8" spans="1:10" x14ac:dyDescent="0.25">
      <c r="B8" s="1" t="s">
        <v>302</v>
      </c>
      <c r="C8" s="1" t="s">
        <v>13</v>
      </c>
      <c r="D8" s="2">
        <v>88703409.905000076</v>
      </c>
      <c r="E8" s="2">
        <v>90192787.395833358</v>
      </c>
      <c r="F8" s="2">
        <v>1489377.4908332825</v>
      </c>
      <c r="G8" s="2">
        <v>701658.38333333319</v>
      </c>
      <c r="H8" s="6">
        <v>0.10882692518110799</v>
      </c>
      <c r="I8" s="6">
        <v>0.10741417501739572</v>
      </c>
      <c r="J8" s="6">
        <v>-1.4127501637122702E-3</v>
      </c>
    </row>
    <row r="9" spans="1:10" x14ac:dyDescent="0.25">
      <c r="A9" s="1" t="s">
        <v>117</v>
      </c>
      <c r="B9" s="1" t="s">
        <v>305</v>
      </c>
      <c r="C9" s="1" t="s">
        <v>30</v>
      </c>
      <c r="D9" s="2">
        <v>62329243.499999985</v>
      </c>
      <c r="E9" s="2">
        <v>59017186.049999975</v>
      </c>
      <c r="F9" s="2">
        <v>-3312057.4500000104</v>
      </c>
      <c r="G9" s="2">
        <v>496949.66999999993</v>
      </c>
      <c r="H9" s="6">
        <v>9.787615056485359E-2</v>
      </c>
      <c r="I9" s="6">
        <v>8.3283000368514909E-2</v>
      </c>
      <c r="J9" s="6">
        <v>-1.4593150196338681E-2</v>
      </c>
    </row>
    <row r="10" spans="1:10" x14ac:dyDescent="0.25">
      <c r="B10" s="1" t="s">
        <v>302</v>
      </c>
      <c r="C10" s="1" t="s">
        <v>39</v>
      </c>
      <c r="D10" s="2">
        <v>5314311.6666666651</v>
      </c>
      <c r="E10" s="2">
        <v>5934263.1533333324</v>
      </c>
      <c r="F10" s="2">
        <v>619951.48666666728</v>
      </c>
      <c r="G10" s="2">
        <v>59524.2</v>
      </c>
      <c r="H10" s="6">
        <v>4.317020766906704E-2</v>
      </c>
      <c r="I10" s="6">
        <v>4.3398087546256105E-2</v>
      </c>
      <c r="J10" s="6">
        <v>2.2787987718906472E-4</v>
      </c>
    </row>
    <row r="11" spans="1:10" x14ac:dyDescent="0.25">
      <c r="A11" s="1" t="s">
        <v>300</v>
      </c>
      <c r="B11" s="1" t="s">
        <v>306</v>
      </c>
      <c r="C11" s="1" t="s">
        <v>17</v>
      </c>
      <c r="D11" s="2">
        <v>109339718.32999998</v>
      </c>
      <c r="E11" s="2">
        <v>112041714.7</v>
      </c>
      <c r="F11" s="2">
        <v>2701996.3700000197</v>
      </c>
      <c r="G11" s="2">
        <v>1672366.17</v>
      </c>
      <c r="H11" s="6">
        <v>0.13895901109528852</v>
      </c>
      <c r="I11" s="6">
        <v>0.14032337673997425</v>
      </c>
      <c r="J11" s="6">
        <v>1.3643656446857277E-3</v>
      </c>
    </row>
    <row r="12" spans="1:10" x14ac:dyDescent="0.25">
      <c r="B12" s="1" t="s">
        <v>302</v>
      </c>
      <c r="C12" s="1" t="s">
        <v>12</v>
      </c>
      <c r="D12" s="2">
        <v>14577154.920000004</v>
      </c>
      <c r="E12" s="2">
        <v>14389129.350000001</v>
      </c>
      <c r="F12" s="2">
        <v>-188025.57000000216</v>
      </c>
      <c r="G12" s="2">
        <v>112034.92</v>
      </c>
      <c r="H12" s="6">
        <v>4.950669339188829E-2</v>
      </c>
      <c r="I12" s="6">
        <v>4.6591970534693737E-2</v>
      </c>
      <c r="J12" s="6">
        <v>-2.914722857194553E-3</v>
      </c>
    </row>
    <row r="13" spans="1:10" x14ac:dyDescent="0.25">
      <c r="B13" s="1" t="s">
        <v>302</v>
      </c>
      <c r="C13" s="1" t="s">
        <v>19</v>
      </c>
      <c r="D13" s="2">
        <v>591360.28</v>
      </c>
      <c r="E13" s="2">
        <v>766897.07000000007</v>
      </c>
      <c r="F13" s="2">
        <v>175536.79000000004</v>
      </c>
      <c r="G13" s="2">
        <v>25627.3</v>
      </c>
      <c r="H13" s="6">
        <v>3.7434030257502012E-3</v>
      </c>
      <c r="I13" s="6">
        <v>4.0259319400767837E-3</v>
      </c>
      <c r="J13" s="6">
        <v>2.8252891432658253E-4</v>
      </c>
    </row>
    <row r="14" spans="1:10" x14ac:dyDescent="0.25">
      <c r="D14" s="2">
        <v>0</v>
      </c>
      <c r="E14" s="2">
        <v>21012.15</v>
      </c>
      <c r="F14" s="2">
        <v>21012.15</v>
      </c>
      <c r="G14" s="2">
        <v>21012.15</v>
      </c>
      <c r="H14" s="6">
        <v>0</v>
      </c>
      <c r="I14" s="6">
        <v>8.7862794185842794E-4</v>
      </c>
      <c r="J14" s="6">
        <v>8.7862794185842794E-4</v>
      </c>
    </row>
    <row r="15" spans="1:10" x14ac:dyDescent="0.25">
      <c r="B15" s="1" t="s">
        <v>302</v>
      </c>
      <c r="C15" s="1" t="s">
        <v>24</v>
      </c>
      <c r="D15" s="2">
        <v>17948776.679999996</v>
      </c>
      <c r="E15" s="2">
        <v>17916775.710000008</v>
      </c>
      <c r="F15" s="2">
        <v>-32000.969999987632</v>
      </c>
      <c r="G15" s="2">
        <v>151496.4</v>
      </c>
      <c r="H15" s="6">
        <v>5.4805568616219123E-2</v>
      </c>
      <c r="I15" s="6">
        <v>5.3010072507481035E-2</v>
      </c>
      <c r="J15" s="6">
        <v>-1.7954961087380886E-3</v>
      </c>
    </row>
    <row r="16" spans="1:10" x14ac:dyDescent="0.25">
      <c r="A16" s="12"/>
      <c r="B16" s="12"/>
      <c r="C16" s="3" t="s">
        <v>298</v>
      </c>
      <c r="D16" s="4">
        <v>2457286021.6102366</v>
      </c>
      <c r="E16" s="4">
        <v>2446107257.0320244</v>
      </c>
      <c r="F16" s="4">
        <v>-11178764.578212261</v>
      </c>
      <c r="G16" s="4">
        <v>70213275.293333352</v>
      </c>
      <c r="H16" s="10">
        <v>0.25185881234879132</v>
      </c>
      <c r="I16" s="10">
        <v>0.24214299739705844</v>
      </c>
      <c r="J16" s="10">
        <v>-9.7158149517328762E-3</v>
      </c>
    </row>
    <row r="18" spans="1:9" x14ac:dyDescent="0.25">
      <c r="A18" s="20"/>
      <c r="B18" s="20" t="s">
        <v>401</v>
      </c>
      <c r="C18" s="20"/>
      <c r="D18" s="20"/>
      <c r="E18" s="20"/>
      <c r="F18" s="20" t="s">
        <v>402</v>
      </c>
      <c r="G18" s="20"/>
      <c r="H18" s="20"/>
      <c r="I18" s="20"/>
    </row>
    <row r="19" spans="1:9" s="23" customFormat="1" ht="30" x14ac:dyDescent="0.25">
      <c r="A19" s="21" t="s">
        <v>1</v>
      </c>
      <c r="B19" s="22" t="s">
        <v>403</v>
      </c>
      <c r="C19" s="22" t="s">
        <v>404</v>
      </c>
      <c r="D19" s="22" t="s">
        <v>405</v>
      </c>
      <c r="E19" s="22" t="s">
        <v>406</v>
      </c>
      <c r="F19" s="22" t="s">
        <v>403</v>
      </c>
      <c r="G19" s="22" t="s">
        <v>404</v>
      </c>
      <c r="H19" s="22" t="s">
        <v>405</v>
      </c>
      <c r="I19" s="22" t="s">
        <v>406</v>
      </c>
    </row>
    <row r="20" spans="1:9" x14ac:dyDescent="0.25">
      <c r="A20" s="1" t="s">
        <v>4</v>
      </c>
      <c r="B20" s="2">
        <v>11810379.15</v>
      </c>
      <c r="C20" s="2">
        <v>45893125.200000003</v>
      </c>
      <c r="D20" s="2">
        <v>4613061</v>
      </c>
      <c r="E20" s="2">
        <v>62316565.350000001</v>
      </c>
      <c r="F20" s="1">
        <v>249</v>
      </c>
      <c r="G20" s="1">
        <v>570</v>
      </c>
      <c r="H20" s="1">
        <v>14</v>
      </c>
      <c r="I20" s="1">
        <v>833</v>
      </c>
    </row>
    <row r="21" spans="1:9" x14ac:dyDescent="0.25">
      <c r="A21" s="1" t="s">
        <v>26</v>
      </c>
      <c r="B21" s="2">
        <v>14033415</v>
      </c>
      <c r="C21" s="2">
        <v>89988068.220000014</v>
      </c>
      <c r="D21" s="2">
        <v>5094040.7</v>
      </c>
      <c r="E21" s="2">
        <v>109115523.92000002</v>
      </c>
      <c r="F21" s="1">
        <v>210</v>
      </c>
      <c r="G21" s="1">
        <v>503</v>
      </c>
      <c r="H21" s="1">
        <v>26</v>
      </c>
      <c r="I21" s="1">
        <v>739</v>
      </c>
    </row>
    <row r="22" spans="1:9" x14ac:dyDescent="0.25">
      <c r="A22" s="1" t="s">
        <v>17</v>
      </c>
      <c r="B22" s="2">
        <v>6834648.25</v>
      </c>
      <c r="C22" s="2">
        <v>17411454.040000003</v>
      </c>
      <c r="D22" s="2">
        <v>1732112</v>
      </c>
      <c r="E22" s="2">
        <v>25978214.290000003</v>
      </c>
      <c r="F22" s="1">
        <v>130</v>
      </c>
      <c r="G22" s="1">
        <v>361</v>
      </c>
      <c r="H22" s="1">
        <v>15</v>
      </c>
      <c r="I22" s="1">
        <v>506</v>
      </c>
    </row>
    <row r="23" spans="1:9" x14ac:dyDescent="0.25">
      <c r="A23" s="1" t="s">
        <v>9</v>
      </c>
      <c r="B23" s="2">
        <v>3141564.1500000004</v>
      </c>
      <c r="C23" s="2">
        <v>6677735.0500000007</v>
      </c>
      <c r="D23" s="2">
        <v>737175</v>
      </c>
      <c r="E23" s="2">
        <v>10556474.200000001</v>
      </c>
      <c r="F23" s="1">
        <v>114</v>
      </c>
      <c r="G23" s="1">
        <v>312</v>
      </c>
      <c r="H23" s="1">
        <v>7</v>
      </c>
      <c r="I23" s="1">
        <v>433</v>
      </c>
    </row>
    <row r="24" spans="1:9" x14ac:dyDescent="0.25">
      <c r="A24" s="1" t="s">
        <v>35</v>
      </c>
      <c r="B24" s="2">
        <v>25000487</v>
      </c>
      <c r="C24" s="2">
        <v>51283899.569999993</v>
      </c>
      <c r="D24" s="2">
        <v>1043951</v>
      </c>
      <c r="E24" s="2">
        <v>77328337.569999993</v>
      </c>
      <c r="F24" s="1">
        <v>185</v>
      </c>
      <c r="G24" s="1">
        <v>321</v>
      </c>
      <c r="H24" s="1">
        <v>14</v>
      </c>
      <c r="I24" s="1">
        <v>520</v>
      </c>
    </row>
    <row r="25" spans="1:9" x14ac:dyDescent="0.25">
      <c r="A25" s="1" t="s">
        <v>20</v>
      </c>
      <c r="B25" s="2">
        <v>8467664.5999999996</v>
      </c>
      <c r="C25" s="2">
        <v>16010892.470000003</v>
      </c>
      <c r="D25" s="2">
        <v>307181</v>
      </c>
      <c r="E25" s="2">
        <v>24785738.07</v>
      </c>
      <c r="F25" s="1">
        <v>148</v>
      </c>
      <c r="G25" s="1">
        <v>482</v>
      </c>
      <c r="H25" s="1">
        <v>26</v>
      </c>
      <c r="I25" s="1">
        <v>656</v>
      </c>
    </row>
    <row r="26" spans="1:9" x14ac:dyDescent="0.25">
      <c r="A26" s="1" t="s">
        <v>30</v>
      </c>
      <c r="B26" s="2">
        <v>4137773.6</v>
      </c>
      <c r="C26" s="2">
        <v>20891979.559999999</v>
      </c>
      <c r="D26" s="2">
        <v>1542178.72</v>
      </c>
      <c r="E26" s="2">
        <v>26571931.879999999</v>
      </c>
      <c r="F26" s="1">
        <v>138</v>
      </c>
      <c r="G26" s="1">
        <v>406</v>
      </c>
      <c r="H26" s="1">
        <v>12</v>
      </c>
      <c r="I26" s="1">
        <v>556</v>
      </c>
    </row>
    <row r="27" spans="1:9" x14ac:dyDescent="0.25">
      <c r="A27" s="1" t="s">
        <v>13</v>
      </c>
      <c r="B27" s="2">
        <v>2369500.1999999997</v>
      </c>
      <c r="C27" s="2">
        <v>8864214.4900000002</v>
      </c>
      <c r="D27" s="2">
        <v>1013101</v>
      </c>
      <c r="E27" s="2">
        <v>12246815.689999999</v>
      </c>
      <c r="F27" s="1">
        <v>201</v>
      </c>
      <c r="G27" s="1">
        <v>624</v>
      </c>
      <c r="H27" s="1">
        <v>16</v>
      </c>
      <c r="I27" s="1">
        <v>841</v>
      </c>
    </row>
    <row r="28" spans="1:9" x14ac:dyDescent="0.25">
      <c r="A28" s="1" t="s">
        <v>24</v>
      </c>
      <c r="B28" s="2">
        <v>2944917.07</v>
      </c>
      <c r="C28" s="2">
        <v>4730480.9099999992</v>
      </c>
      <c r="D28" s="2">
        <v>1278900.6099999999</v>
      </c>
      <c r="E28" s="2">
        <v>8954298.589999998</v>
      </c>
      <c r="F28" s="1">
        <v>55</v>
      </c>
      <c r="G28" s="1">
        <v>228</v>
      </c>
      <c r="H28" s="1">
        <v>6</v>
      </c>
      <c r="I28" s="1">
        <v>289</v>
      </c>
    </row>
    <row r="29" spans="1:9" x14ac:dyDescent="0.25">
      <c r="A29" s="1" t="s">
        <v>12</v>
      </c>
      <c r="B29" s="2">
        <v>805790</v>
      </c>
      <c r="C29" s="2">
        <v>2027847</v>
      </c>
      <c r="D29" s="2">
        <v>708</v>
      </c>
      <c r="E29" s="2">
        <v>2834345</v>
      </c>
      <c r="F29" s="1">
        <v>63</v>
      </c>
      <c r="G29" s="1">
        <v>233</v>
      </c>
      <c r="H29" s="1">
        <v>1</v>
      </c>
      <c r="I29" s="1">
        <v>297</v>
      </c>
    </row>
    <row r="30" spans="1:9" x14ac:dyDescent="0.25">
      <c r="A30" s="1" t="s">
        <v>39</v>
      </c>
      <c r="B30" s="2">
        <v>1031169</v>
      </c>
      <c r="C30" s="2">
        <v>932146.11999999988</v>
      </c>
      <c r="D30" s="2">
        <v>4625</v>
      </c>
      <c r="E30" s="2">
        <v>1967940.1199999999</v>
      </c>
      <c r="F30" s="1">
        <v>24</v>
      </c>
      <c r="G30" s="1">
        <v>77</v>
      </c>
      <c r="H30" s="1">
        <v>1</v>
      </c>
      <c r="I30" s="1">
        <v>102</v>
      </c>
    </row>
    <row r="31" spans="1:9" x14ac:dyDescent="0.25">
      <c r="A31" s="1" t="s">
        <v>590</v>
      </c>
      <c r="B31" s="2">
        <v>2730</v>
      </c>
      <c r="C31" s="2">
        <v>19723</v>
      </c>
      <c r="D31" s="2">
        <v>0</v>
      </c>
      <c r="E31" s="2">
        <v>22453</v>
      </c>
      <c r="F31" s="1">
        <v>1</v>
      </c>
      <c r="G31" s="1">
        <v>2</v>
      </c>
      <c r="H31" s="1">
        <v>0</v>
      </c>
      <c r="I31" s="1">
        <v>3</v>
      </c>
    </row>
    <row r="32" spans="1:9" x14ac:dyDescent="0.25">
      <c r="A32" s="1" t="s">
        <v>19</v>
      </c>
      <c r="B32" s="2">
        <v>157919</v>
      </c>
      <c r="C32" s="2">
        <v>892943.55</v>
      </c>
      <c r="D32" s="2">
        <v>0</v>
      </c>
      <c r="E32" s="2">
        <v>1050862.55</v>
      </c>
      <c r="F32" s="1">
        <v>12</v>
      </c>
      <c r="G32" s="1">
        <v>115</v>
      </c>
      <c r="H32" s="1">
        <v>0</v>
      </c>
      <c r="I32" s="1">
        <v>127</v>
      </c>
    </row>
    <row r="33" spans="1:9" x14ac:dyDescent="0.25">
      <c r="A33" s="20" t="s">
        <v>80</v>
      </c>
      <c r="B33" s="24">
        <v>80737957.019999981</v>
      </c>
      <c r="C33" s="24">
        <v>265624509.18000004</v>
      </c>
      <c r="D33" s="24">
        <v>17367034.030000001</v>
      </c>
      <c r="E33" s="24">
        <v>363729500.22999996</v>
      </c>
      <c r="F33" s="20">
        <v>1530</v>
      </c>
      <c r="G33" s="20">
        <v>4234</v>
      </c>
      <c r="H33" s="20">
        <v>138</v>
      </c>
      <c r="I33" s="20">
        <v>5902</v>
      </c>
    </row>
    <row r="34" spans="1:9" x14ac:dyDescent="0.25">
      <c r="B34" s="2"/>
      <c r="C34" s="2"/>
      <c r="D34" s="2"/>
      <c r="E34" s="2"/>
    </row>
    <row r="35" spans="1:9" x14ac:dyDescent="0.25">
      <c r="A35" s="20"/>
      <c r="B35" s="20" t="s">
        <v>401</v>
      </c>
      <c r="C35" s="20"/>
      <c r="D35" s="20"/>
      <c r="E35" s="20"/>
      <c r="F35" s="20" t="s">
        <v>402</v>
      </c>
      <c r="G35" s="20"/>
      <c r="H35" s="20"/>
      <c r="I35" s="20"/>
    </row>
    <row r="36" spans="1:9" ht="30" x14ac:dyDescent="0.25">
      <c r="A36" s="21" t="s">
        <v>407</v>
      </c>
      <c r="B36" s="22" t="s">
        <v>403</v>
      </c>
      <c r="C36" s="22" t="s">
        <v>404</v>
      </c>
      <c r="D36" s="22" t="s">
        <v>405</v>
      </c>
      <c r="E36" s="22" t="s">
        <v>406</v>
      </c>
      <c r="F36" s="22" t="s">
        <v>403</v>
      </c>
      <c r="G36" s="22" t="s">
        <v>404</v>
      </c>
      <c r="H36" s="22" t="s">
        <v>405</v>
      </c>
      <c r="I36" s="22" t="s">
        <v>406</v>
      </c>
    </row>
    <row r="37" spans="1:9" x14ac:dyDescent="0.25">
      <c r="A37" s="1" t="s">
        <v>313</v>
      </c>
      <c r="B37" s="2">
        <v>16677531</v>
      </c>
      <c r="C37" s="2">
        <v>42625126.18</v>
      </c>
      <c r="D37" s="2">
        <v>1</v>
      </c>
      <c r="E37" s="2">
        <v>59302658.18</v>
      </c>
      <c r="F37" s="1">
        <v>33</v>
      </c>
      <c r="G37" s="1">
        <v>32</v>
      </c>
      <c r="H37" s="1">
        <v>1</v>
      </c>
      <c r="I37" s="1">
        <v>66</v>
      </c>
    </row>
    <row r="38" spans="1:9" x14ac:dyDescent="0.25">
      <c r="A38" s="1" t="s">
        <v>316</v>
      </c>
      <c r="B38" s="2">
        <v>41039095.170000002</v>
      </c>
      <c r="C38" s="2">
        <v>76899035.819999993</v>
      </c>
      <c r="D38" s="2">
        <v>9226830.0299999993</v>
      </c>
      <c r="E38" s="2">
        <v>127164961.02</v>
      </c>
      <c r="F38" s="1">
        <v>368</v>
      </c>
      <c r="G38" s="1">
        <v>615</v>
      </c>
      <c r="H38" s="1">
        <v>37</v>
      </c>
      <c r="I38" s="1">
        <v>1020</v>
      </c>
    </row>
    <row r="39" spans="1:9" x14ac:dyDescent="0.25">
      <c r="A39" s="1" t="s">
        <v>314</v>
      </c>
      <c r="B39" s="2">
        <v>9414412.8499999996</v>
      </c>
      <c r="C39" s="2">
        <v>35994922.5</v>
      </c>
      <c r="D39" s="2">
        <v>720852</v>
      </c>
      <c r="E39" s="2">
        <v>46130187.350000001</v>
      </c>
      <c r="F39" s="1">
        <v>1064</v>
      </c>
      <c r="G39" s="1">
        <v>3388</v>
      </c>
      <c r="H39" s="1">
        <v>73</v>
      </c>
      <c r="I39" s="1">
        <v>4525</v>
      </c>
    </row>
    <row r="40" spans="1:9" x14ac:dyDescent="0.25">
      <c r="A40" s="1" t="s">
        <v>312</v>
      </c>
      <c r="B40" s="2">
        <v>1763865</v>
      </c>
      <c r="C40" s="2">
        <v>50101580.390000001</v>
      </c>
      <c r="D40" s="2">
        <v>258780</v>
      </c>
      <c r="E40" s="2">
        <v>52124225.390000001</v>
      </c>
      <c r="F40" s="1">
        <v>9</v>
      </c>
      <c r="G40" s="1">
        <v>24</v>
      </c>
      <c r="H40" s="1">
        <v>1</v>
      </c>
      <c r="I40" s="1">
        <v>34</v>
      </c>
    </row>
    <row r="41" spans="1:9" x14ac:dyDescent="0.25">
      <c r="A41" s="1" t="s">
        <v>320</v>
      </c>
      <c r="B41" s="2">
        <v>122032</v>
      </c>
      <c r="C41" s="2">
        <v>33737</v>
      </c>
      <c r="D41" s="2">
        <v>60000</v>
      </c>
      <c r="E41" s="2">
        <v>215769</v>
      </c>
      <c r="F41" s="1">
        <v>6</v>
      </c>
      <c r="G41" s="1">
        <v>3</v>
      </c>
      <c r="H41" s="1">
        <v>1</v>
      </c>
      <c r="I41" s="1">
        <v>10</v>
      </c>
    </row>
    <row r="42" spans="1:9" x14ac:dyDescent="0.25">
      <c r="A42" s="1" t="s">
        <v>311</v>
      </c>
      <c r="B42" s="2">
        <v>6945652</v>
      </c>
      <c r="C42" s="2">
        <v>46567809.289999999</v>
      </c>
      <c r="D42" s="2">
        <v>6742334</v>
      </c>
      <c r="E42" s="2">
        <v>60255795.289999999</v>
      </c>
      <c r="F42" s="1">
        <v>26</v>
      </c>
      <c r="G42" s="1">
        <v>133</v>
      </c>
      <c r="H42" s="1">
        <v>20</v>
      </c>
      <c r="I42" s="1">
        <v>179</v>
      </c>
    </row>
    <row r="43" spans="1:9" x14ac:dyDescent="0.25">
      <c r="A43" s="1" t="s">
        <v>323</v>
      </c>
      <c r="B43" s="2">
        <v>141057</v>
      </c>
      <c r="C43" s="2">
        <v>272405</v>
      </c>
      <c r="D43" s="2">
        <v>358237</v>
      </c>
      <c r="E43" s="2">
        <v>771699</v>
      </c>
      <c r="F43" s="1">
        <v>12</v>
      </c>
      <c r="G43" s="1">
        <v>25</v>
      </c>
      <c r="H43" s="1">
        <v>5</v>
      </c>
      <c r="I43" s="1">
        <v>42</v>
      </c>
    </row>
    <row r="44" spans="1:9" x14ac:dyDescent="0.25">
      <c r="A44" s="1" t="s">
        <v>318</v>
      </c>
      <c r="B44" s="2">
        <v>1173716</v>
      </c>
      <c r="C44" s="2">
        <v>432418</v>
      </c>
      <c r="D44" s="2">
        <v>0</v>
      </c>
      <c r="E44" s="2">
        <v>1606134</v>
      </c>
      <c r="F44" s="1">
        <v>9</v>
      </c>
      <c r="G44" s="1">
        <v>7</v>
      </c>
      <c r="H44" s="1">
        <v>0</v>
      </c>
      <c r="I44" s="1">
        <v>16</v>
      </c>
    </row>
    <row r="45" spans="1:9" x14ac:dyDescent="0.25">
      <c r="A45" s="1" t="s">
        <v>315</v>
      </c>
      <c r="B45" s="2">
        <v>3083000</v>
      </c>
      <c r="C45" s="2">
        <v>3475000</v>
      </c>
      <c r="D45" s="2">
        <v>0</v>
      </c>
      <c r="E45" s="2">
        <v>6558000</v>
      </c>
      <c r="F45" s="1">
        <v>1</v>
      </c>
      <c r="G45" s="1">
        <v>2</v>
      </c>
      <c r="H45" s="1">
        <v>0</v>
      </c>
      <c r="I45" s="1">
        <v>3</v>
      </c>
    </row>
    <row r="46" spans="1:9" x14ac:dyDescent="0.25">
      <c r="A46" s="1" t="s">
        <v>322</v>
      </c>
      <c r="B46" s="2">
        <v>10000</v>
      </c>
      <c r="C46" s="2">
        <v>9222475</v>
      </c>
      <c r="D46" s="2">
        <v>0</v>
      </c>
      <c r="E46" s="2">
        <v>9232475</v>
      </c>
      <c r="F46" s="1">
        <v>1</v>
      </c>
      <c r="G46" s="1">
        <v>5</v>
      </c>
      <c r="H46" s="1">
        <v>0</v>
      </c>
      <c r="I46" s="1">
        <v>6</v>
      </c>
    </row>
    <row r="47" spans="1:9" x14ac:dyDescent="0.25">
      <c r="A47" s="1" t="s">
        <v>319</v>
      </c>
      <c r="B47" s="2">
        <v>367596</v>
      </c>
      <c r="C47" s="2">
        <v>0</v>
      </c>
      <c r="D47" s="2">
        <v>0</v>
      </c>
      <c r="E47" s="2">
        <v>367596</v>
      </c>
      <c r="F47" s="1">
        <v>1</v>
      </c>
      <c r="G47" s="1">
        <v>0</v>
      </c>
      <c r="H47" s="1">
        <v>0</v>
      </c>
      <c r="I47" s="1">
        <v>1</v>
      </c>
    </row>
    <row r="48" spans="1:9" x14ac:dyDescent="0.25">
      <c r="A48" s="1" t="s">
        <v>317</v>
      </c>
      <c r="B48" s="2">
        <v>0</v>
      </c>
      <c r="C48" s="2">
        <v>0</v>
      </c>
      <c r="D48" s="2">
        <v>0</v>
      </c>
      <c r="E48" s="2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25">
      <c r="A49" s="1" t="s">
        <v>321</v>
      </c>
      <c r="B49" s="2">
        <v>0</v>
      </c>
      <c r="C49" s="2">
        <v>0</v>
      </c>
      <c r="D49" s="2">
        <v>0</v>
      </c>
      <c r="E49" s="2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5">
      <c r="A50" s="20" t="s">
        <v>80</v>
      </c>
      <c r="B50" s="24">
        <v>80737957.019999996</v>
      </c>
      <c r="C50" s="24">
        <v>265624509.17999998</v>
      </c>
      <c r="D50" s="24">
        <v>17367034.030000001</v>
      </c>
      <c r="E50" s="24">
        <v>363729500.23000002</v>
      </c>
      <c r="F50" s="20">
        <v>1530</v>
      </c>
      <c r="G50" s="20">
        <v>4234</v>
      </c>
      <c r="H50" s="20">
        <v>138</v>
      </c>
      <c r="I50" s="20">
        <v>5902</v>
      </c>
    </row>
  </sheetData>
  <mergeCells count="2">
    <mergeCell ref="C1:F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09BB-D543-40AC-B3D2-17ACC98B5436}">
  <sheetPr>
    <pageSetUpPr fitToPage="1"/>
  </sheetPr>
  <dimension ref="A1:K70"/>
  <sheetViews>
    <sheetView topLeftCell="A64" workbookViewId="0">
      <selection activeCell="D79" sqref="D79"/>
    </sheetView>
  </sheetViews>
  <sheetFormatPr defaultColWidth="8.85546875" defaultRowHeight="15" x14ac:dyDescent="0.25"/>
  <cols>
    <col min="1" max="2" width="21.7109375" style="68" bestFit="1" customWidth="1"/>
    <col min="3" max="3" width="18" style="68" bestFit="1" customWidth="1"/>
    <col min="4" max="4" width="19.28515625" style="68" bestFit="1" customWidth="1"/>
    <col min="5" max="5" width="16.85546875" style="68" customWidth="1"/>
    <col min="6" max="6" width="13.42578125" style="68" customWidth="1"/>
    <col min="7" max="7" width="13.7109375" style="68" bestFit="1" customWidth="1"/>
    <col min="8" max="8" width="18.28515625" style="68" bestFit="1" customWidth="1"/>
    <col min="9" max="9" width="14.140625" style="68" customWidth="1"/>
    <col min="10" max="10" width="13.42578125" style="68" bestFit="1" customWidth="1"/>
    <col min="11" max="11" width="12.5703125" style="68" bestFit="1" customWidth="1"/>
    <col min="12" max="16384" width="8.85546875" style="68"/>
  </cols>
  <sheetData>
    <row r="1" spans="1:11" s="67" customFormat="1" ht="27.6" customHeight="1" x14ac:dyDescent="0.25">
      <c r="A1" s="66" t="s">
        <v>339</v>
      </c>
      <c r="B1" s="66" t="s">
        <v>736</v>
      </c>
      <c r="C1" s="66" t="s">
        <v>737</v>
      </c>
      <c r="D1" s="66" t="s">
        <v>738</v>
      </c>
      <c r="E1" s="66" t="s">
        <v>739</v>
      </c>
      <c r="F1" s="66" t="s">
        <v>257</v>
      </c>
      <c r="G1" s="66" t="s">
        <v>223</v>
      </c>
      <c r="H1" s="66" t="s">
        <v>740</v>
      </c>
      <c r="I1" s="66" t="s">
        <v>741</v>
      </c>
    </row>
    <row r="2" spans="1:11" x14ac:dyDescent="0.25">
      <c r="A2" s="68" t="s">
        <v>742</v>
      </c>
      <c r="B2" s="68">
        <v>48</v>
      </c>
      <c r="C2" s="69">
        <v>80390787.129999995</v>
      </c>
      <c r="D2" s="69">
        <v>5842978</v>
      </c>
      <c r="E2" s="68">
        <v>6</v>
      </c>
      <c r="F2" s="70">
        <v>12000000</v>
      </c>
      <c r="G2" s="71">
        <v>0.48691483333333335</v>
      </c>
      <c r="H2" s="68" t="s">
        <v>743</v>
      </c>
      <c r="I2" s="68">
        <v>3</v>
      </c>
      <c r="J2" s="69"/>
      <c r="K2" s="72"/>
    </row>
    <row r="3" spans="1:11" x14ac:dyDescent="0.25">
      <c r="A3" s="68" t="s">
        <v>744</v>
      </c>
      <c r="B3" s="68">
        <v>45</v>
      </c>
      <c r="C3" s="69">
        <v>32313710.489999998</v>
      </c>
      <c r="D3" s="69">
        <v>3614218</v>
      </c>
      <c r="E3" s="68">
        <v>8</v>
      </c>
      <c r="F3" s="70">
        <v>12000000</v>
      </c>
      <c r="G3" s="71">
        <v>0.30118483333333335</v>
      </c>
      <c r="H3" s="68" t="s">
        <v>743</v>
      </c>
      <c r="I3" s="68">
        <v>1</v>
      </c>
      <c r="J3" s="69"/>
      <c r="K3" s="72"/>
    </row>
    <row r="4" spans="1:11" x14ac:dyDescent="0.25">
      <c r="A4" s="68" t="s">
        <v>745</v>
      </c>
      <c r="B4" s="68">
        <v>47</v>
      </c>
      <c r="C4" s="69">
        <v>82356169.269999996</v>
      </c>
      <c r="D4" s="69">
        <v>4916784</v>
      </c>
      <c r="E4" s="68">
        <v>7</v>
      </c>
      <c r="F4" s="70">
        <v>12000000</v>
      </c>
      <c r="G4" s="71">
        <v>0.40973199999999999</v>
      </c>
      <c r="H4" s="68" t="s">
        <v>743</v>
      </c>
      <c r="I4" s="68">
        <v>6</v>
      </c>
      <c r="J4" s="69"/>
      <c r="K4" s="72"/>
    </row>
    <row r="5" spans="1:11" x14ac:dyDescent="0.25">
      <c r="A5" s="68" t="s">
        <v>746</v>
      </c>
      <c r="B5" s="68">
        <v>49</v>
      </c>
      <c r="C5" s="69">
        <v>54391788.689999998</v>
      </c>
      <c r="D5" s="69">
        <v>3671096.8</v>
      </c>
      <c r="E5" s="68">
        <v>21</v>
      </c>
      <c r="F5" s="70">
        <v>12000000</v>
      </c>
      <c r="G5" s="71">
        <v>0.30592473333333331</v>
      </c>
      <c r="H5" s="68" t="s">
        <v>747</v>
      </c>
      <c r="I5" s="68">
        <v>14</v>
      </c>
      <c r="J5" s="69"/>
      <c r="K5" s="72"/>
    </row>
    <row r="6" spans="1:11" x14ac:dyDescent="0.25">
      <c r="A6" s="68" t="s">
        <v>748</v>
      </c>
      <c r="B6" s="68">
        <v>61</v>
      </c>
      <c r="C6" s="69">
        <v>76266801.939999998</v>
      </c>
      <c r="D6" s="69">
        <v>4866492.01</v>
      </c>
      <c r="E6" s="68">
        <v>19</v>
      </c>
      <c r="F6" s="70">
        <v>12000000</v>
      </c>
      <c r="G6" s="71">
        <v>0.40554100083333333</v>
      </c>
      <c r="H6" s="68" t="s">
        <v>342</v>
      </c>
      <c r="I6" s="68">
        <v>10</v>
      </c>
      <c r="J6" s="69"/>
      <c r="K6" s="72"/>
    </row>
    <row r="7" spans="1:11" x14ac:dyDescent="0.25">
      <c r="A7" s="68" t="s">
        <v>749</v>
      </c>
      <c r="B7" s="68">
        <v>37</v>
      </c>
      <c r="C7" s="69">
        <v>24325704.73</v>
      </c>
      <c r="D7" s="69">
        <v>4331783</v>
      </c>
      <c r="E7" s="68">
        <v>74</v>
      </c>
      <c r="F7" s="70">
        <v>12000000</v>
      </c>
      <c r="G7" s="71">
        <v>0.36098191666666668</v>
      </c>
      <c r="H7" s="68" t="s">
        <v>342</v>
      </c>
      <c r="I7" s="68">
        <v>1</v>
      </c>
      <c r="J7" s="69"/>
      <c r="K7" s="72"/>
    </row>
    <row r="8" spans="1:11" x14ac:dyDescent="0.25">
      <c r="A8" s="68" t="s">
        <v>750</v>
      </c>
      <c r="B8" s="68">
        <v>42</v>
      </c>
      <c r="C8" s="69">
        <v>63864070.369999997</v>
      </c>
      <c r="D8" s="69">
        <v>4073456</v>
      </c>
      <c r="E8" s="68">
        <v>8</v>
      </c>
      <c r="F8" s="70">
        <v>12000000</v>
      </c>
      <c r="G8" s="71">
        <v>0.33945466666666668</v>
      </c>
      <c r="H8" s="68" t="s">
        <v>342</v>
      </c>
      <c r="I8" s="68">
        <v>4</v>
      </c>
      <c r="J8" s="69"/>
      <c r="K8" s="72"/>
    </row>
    <row r="9" spans="1:11" x14ac:dyDescent="0.25">
      <c r="A9" s="68" t="s">
        <v>751</v>
      </c>
      <c r="B9" s="68">
        <v>242</v>
      </c>
      <c r="C9" s="69">
        <v>68373889.5</v>
      </c>
      <c r="D9" s="69">
        <v>7556270</v>
      </c>
      <c r="E9" s="68">
        <v>34</v>
      </c>
      <c r="F9" s="70">
        <v>12000000</v>
      </c>
      <c r="G9" s="71">
        <v>0.62968916666666663</v>
      </c>
      <c r="H9" s="68" t="s">
        <v>342</v>
      </c>
      <c r="I9" s="68">
        <v>4</v>
      </c>
      <c r="J9" s="69"/>
      <c r="K9" s="72"/>
    </row>
    <row r="10" spans="1:11" x14ac:dyDescent="0.25">
      <c r="A10" s="68" t="s">
        <v>752</v>
      </c>
      <c r="B10" s="68">
        <v>48</v>
      </c>
      <c r="C10" s="69">
        <v>33124499.190000001</v>
      </c>
      <c r="D10" s="69">
        <v>4486501</v>
      </c>
      <c r="E10" s="68">
        <v>9</v>
      </c>
      <c r="F10" s="70">
        <v>12000000</v>
      </c>
      <c r="G10" s="71">
        <v>0.37387508333333336</v>
      </c>
      <c r="H10" s="68" t="s">
        <v>342</v>
      </c>
      <c r="I10" s="68">
        <v>2</v>
      </c>
      <c r="J10" s="69"/>
      <c r="K10" s="72"/>
    </row>
    <row r="11" spans="1:11" x14ac:dyDescent="0.25">
      <c r="A11" s="68" t="s">
        <v>753</v>
      </c>
      <c r="B11" s="68">
        <v>57</v>
      </c>
      <c r="C11" s="69">
        <v>95318472.689999998</v>
      </c>
      <c r="D11" s="69">
        <v>5199683</v>
      </c>
      <c r="E11" s="68">
        <v>20</v>
      </c>
      <c r="F11" s="70">
        <v>12000000</v>
      </c>
      <c r="G11" s="71">
        <v>0.43330691666666665</v>
      </c>
      <c r="H11" s="68" t="s">
        <v>747</v>
      </c>
      <c r="I11" s="68">
        <v>4</v>
      </c>
      <c r="J11" s="69"/>
      <c r="K11" s="72"/>
    </row>
    <row r="12" spans="1:11" x14ac:dyDescent="0.25">
      <c r="A12" s="68" t="s">
        <v>413</v>
      </c>
      <c r="B12" s="68">
        <v>46</v>
      </c>
      <c r="C12" s="69">
        <v>62877360.469999999</v>
      </c>
      <c r="D12" s="69">
        <v>3702004.65</v>
      </c>
      <c r="E12" s="68">
        <v>14</v>
      </c>
      <c r="F12" s="70">
        <v>12000000</v>
      </c>
      <c r="G12" s="71">
        <v>0.30850038749999997</v>
      </c>
      <c r="H12" s="68" t="s">
        <v>747</v>
      </c>
      <c r="I12" s="68">
        <v>4</v>
      </c>
      <c r="J12" s="69"/>
      <c r="K12" s="72"/>
    </row>
    <row r="13" spans="1:11" x14ac:dyDescent="0.25">
      <c r="A13" s="68" t="s">
        <v>754</v>
      </c>
      <c r="B13" s="68">
        <v>60</v>
      </c>
      <c r="C13" s="69">
        <v>68200111.739999995</v>
      </c>
      <c r="D13" s="69">
        <v>4465678.6899999995</v>
      </c>
      <c r="E13" s="68">
        <v>19</v>
      </c>
      <c r="F13" s="70">
        <v>12000000</v>
      </c>
      <c r="G13" s="71">
        <v>0.37213989083333326</v>
      </c>
      <c r="H13" s="68" t="s">
        <v>747</v>
      </c>
      <c r="I13" s="68">
        <v>7</v>
      </c>
      <c r="J13" s="69"/>
      <c r="K13" s="72"/>
    </row>
    <row r="14" spans="1:11" x14ac:dyDescent="0.25">
      <c r="A14" s="73" t="s">
        <v>80</v>
      </c>
      <c r="B14" s="73">
        <v>782</v>
      </c>
      <c r="C14" s="74">
        <v>741803366.21000004</v>
      </c>
      <c r="D14" s="74">
        <v>56726945.149999999</v>
      </c>
      <c r="E14" s="73">
        <v>239</v>
      </c>
      <c r="F14" s="75">
        <v>144000000</v>
      </c>
      <c r="G14" s="76">
        <v>0.39393711909722223</v>
      </c>
      <c r="H14" s="75"/>
      <c r="I14" s="75">
        <v>60</v>
      </c>
    </row>
    <row r="16" spans="1:11" ht="30" x14ac:dyDescent="0.25">
      <c r="A16" s="66" t="s">
        <v>740</v>
      </c>
      <c r="B16" s="66" t="s">
        <v>738</v>
      </c>
      <c r="C16" s="66" t="s">
        <v>739</v>
      </c>
      <c r="D16" s="66" t="s">
        <v>257</v>
      </c>
      <c r="E16" s="66" t="s">
        <v>223</v>
      </c>
      <c r="F16" s="66" t="s">
        <v>741</v>
      </c>
    </row>
    <row r="17" spans="1:8" x14ac:dyDescent="0.25">
      <c r="A17" s="68" t="s">
        <v>743</v>
      </c>
      <c r="B17" s="69">
        <v>14373980</v>
      </c>
      <c r="C17" s="68">
        <v>21</v>
      </c>
      <c r="D17" s="69">
        <v>36000000</v>
      </c>
      <c r="E17" s="71">
        <v>0.39927722222222223</v>
      </c>
      <c r="F17" s="77">
        <v>10</v>
      </c>
      <c r="H17" s="78"/>
    </row>
    <row r="18" spans="1:8" x14ac:dyDescent="0.25">
      <c r="A18" s="68" t="s">
        <v>747</v>
      </c>
      <c r="B18" s="69">
        <v>17038463.140000001</v>
      </c>
      <c r="C18" s="68">
        <v>74</v>
      </c>
      <c r="D18" s="69">
        <v>48000000</v>
      </c>
      <c r="E18" s="71">
        <v>0.35496798208333336</v>
      </c>
      <c r="F18" s="77">
        <v>29</v>
      </c>
      <c r="H18" s="78"/>
    </row>
    <row r="19" spans="1:8" x14ac:dyDescent="0.25">
      <c r="A19" s="68" t="s">
        <v>342</v>
      </c>
      <c r="B19" s="69">
        <v>25314502.009999998</v>
      </c>
      <c r="C19" s="68">
        <v>144</v>
      </c>
      <c r="D19" s="69">
        <v>60000000</v>
      </c>
      <c r="E19" s="71">
        <v>0.42190836683333333</v>
      </c>
      <c r="F19" s="77">
        <v>21</v>
      </c>
      <c r="H19" s="78"/>
    </row>
    <row r="20" spans="1:8" x14ac:dyDescent="0.25">
      <c r="A20" s="73" t="s">
        <v>80</v>
      </c>
      <c r="B20" s="74">
        <v>56726945.149999999</v>
      </c>
      <c r="C20" s="73">
        <v>239</v>
      </c>
      <c r="D20" s="74">
        <v>144000000</v>
      </c>
      <c r="E20" s="76">
        <v>0.39393711909722223</v>
      </c>
      <c r="F20" s="79">
        <v>60</v>
      </c>
    </row>
    <row r="21" spans="1:8" x14ac:dyDescent="0.25">
      <c r="F21" s="80"/>
    </row>
    <row r="23" spans="1:8" s="67" customFormat="1" ht="30" x14ac:dyDescent="0.25">
      <c r="A23" s="66" t="s">
        <v>1</v>
      </c>
      <c r="B23" s="66" t="s">
        <v>755</v>
      </c>
      <c r="C23" s="66" t="s">
        <v>756</v>
      </c>
      <c r="D23" s="66" t="s">
        <v>757</v>
      </c>
    </row>
    <row r="24" spans="1:8" x14ac:dyDescent="0.25">
      <c r="A24" s="68" t="s">
        <v>26</v>
      </c>
      <c r="B24" s="68">
        <v>15</v>
      </c>
      <c r="C24" s="68">
        <v>0</v>
      </c>
      <c r="D24" s="68">
        <v>15</v>
      </c>
    </row>
    <row r="25" spans="1:8" x14ac:dyDescent="0.25">
      <c r="A25" s="68" t="s">
        <v>30</v>
      </c>
      <c r="B25" s="68">
        <v>15</v>
      </c>
      <c r="C25" s="68">
        <v>0</v>
      </c>
      <c r="D25" s="68">
        <v>15</v>
      </c>
    </row>
    <row r="26" spans="1:8" x14ac:dyDescent="0.25">
      <c r="A26" s="68" t="s">
        <v>20</v>
      </c>
      <c r="B26" s="68">
        <v>3</v>
      </c>
      <c r="C26" s="68">
        <v>0</v>
      </c>
      <c r="D26" s="68">
        <v>3</v>
      </c>
    </row>
    <row r="27" spans="1:8" x14ac:dyDescent="0.25">
      <c r="A27" s="68" t="s">
        <v>17</v>
      </c>
      <c r="B27" s="68">
        <v>4</v>
      </c>
      <c r="C27" s="68">
        <v>0</v>
      </c>
      <c r="D27" s="68">
        <v>4</v>
      </c>
    </row>
    <row r="28" spans="1:8" x14ac:dyDescent="0.25">
      <c r="A28" s="68" t="s">
        <v>24</v>
      </c>
      <c r="B28" s="68">
        <v>5</v>
      </c>
      <c r="C28" s="68">
        <v>0</v>
      </c>
      <c r="D28" s="68">
        <v>5</v>
      </c>
    </row>
    <row r="29" spans="1:8" x14ac:dyDescent="0.25">
      <c r="A29" s="68" t="s">
        <v>9</v>
      </c>
      <c r="B29" s="68">
        <v>0</v>
      </c>
      <c r="C29" s="68">
        <v>0</v>
      </c>
      <c r="D29" s="68">
        <v>0</v>
      </c>
    </row>
    <row r="30" spans="1:8" x14ac:dyDescent="0.25">
      <c r="A30" s="68" t="s">
        <v>35</v>
      </c>
      <c r="B30" s="68">
        <v>11</v>
      </c>
      <c r="C30" s="68">
        <v>0</v>
      </c>
      <c r="D30" s="68">
        <v>11</v>
      </c>
    </row>
    <row r="31" spans="1:8" x14ac:dyDescent="0.25">
      <c r="A31" s="68" t="s">
        <v>4</v>
      </c>
      <c r="B31" s="68">
        <v>2</v>
      </c>
      <c r="C31" s="68">
        <v>0</v>
      </c>
      <c r="D31" s="68">
        <v>2</v>
      </c>
    </row>
    <row r="32" spans="1:8" x14ac:dyDescent="0.25">
      <c r="A32" s="68" t="s">
        <v>12</v>
      </c>
      <c r="B32" s="68">
        <v>3</v>
      </c>
      <c r="C32" s="68">
        <v>0</v>
      </c>
      <c r="D32" s="68">
        <v>3</v>
      </c>
    </row>
    <row r="33" spans="1:7" x14ac:dyDescent="0.25">
      <c r="A33" s="68" t="s">
        <v>39</v>
      </c>
      <c r="B33" s="68">
        <v>0</v>
      </c>
      <c r="C33" s="68">
        <v>0</v>
      </c>
      <c r="D33" s="68">
        <v>0</v>
      </c>
    </row>
    <row r="34" spans="1:7" x14ac:dyDescent="0.25">
      <c r="A34" s="68" t="s">
        <v>13</v>
      </c>
      <c r="B34" s="68">
        <v>2</v>
      </c>
      <c r="C34" s="68">
        <v>0</v>
      </c>
      <c r="D34" s="68">
        <v>2</v>
      </c>
    </row>
    <row r="35" spans="1:7" x14ac:dyDescent="0.25">
      <c r="A35" s="68" t="s">
        <v>19</v>
      </c>
      <c r="B35" s="68">
        <v>0</v>
      </c>
      <c r="C35" s="68">
        <v>0</v>
      </c>
      <c r="D35" s="68">
        <v>0</v>
      </c>
    </row>
    <row r="36" spans="1:7" x14ac:dyDescent="0.25">
      <c r="A36" s="73" t="s">
        <v>80</v>
      </c>
      <c r="B36" s="73">
        <v>60</v>
      </c>
      <c r="C36" s="73">
        <v>0</v>
      </c>
      <c r="D36" s="73">
        <v>60</v>
      </c>
    </row>
    <row r="38" spans="1:7" ht="30" x14ac:dyDescent="0.25">
      <c r="A38" s="73" t="s">
        <v>758</v>
      </c>
      <c r="B38" s="66" t="s">
        <v>759</v>
      </c>
      <c r="C38" s="66" t="s">
        <v>760</v>
      </c>
      <c r="D38" s="73" t="s">
        <v>761</v>
      </c>
      <c r="E38" s="73" t="s">
        <v>223</v>
      </c>
    </row>
    <row r="39" spans="1:7" x14ac:dyDescent="0.25">
      <c r="A39" s="68" t="s">
        <v>362</v>
      </c>
      <c r="B39" s="68">
        <v>16</v>
      </c>
      <c r="C39" s="69">
        <v>10070000</v>
      </c>
      <c r="D39" s="69">
        <v>5000000</v>
      </c>
      <c r="E39" s="71">
        <v>2.0139999999999998</v>
      </c>
    </row>
    <row r="40" spans="1:7" x14ac:dyDescent="0.25">
      <c r="A40" s="73" t="s">
        <v>342</v>
      </c>
      <c r="B40" s="73">
        <v>16</v>
      </c>
      <c r="C40" s="74">
        <v>10070000</v>
      </c>
      <c r="D40" s="74"/>
      <c r="E40" s="73"/>
    </row>
    <row r="42" spans="1:7" ht="45" x14ac:dyDescent="0.25">
      <c r="A42" s="66" t="s">
        <v>1</v>
      </c>
      <c r="B42" s="66" t="s">
        <v>759</v>
      </c>
      <c r="C42" s="66" t="s">
        <v>762</v>
      </c>
      <c r="D42" s="66" t="s">
        <v>763</v>
      </c>
      <c r="E42" s="66" t="s">
        <v>760</v>
      </c>
      <c r="F42" s="66" t="s">
        <v>764</v>
      </c>
      <c r="G42" s="66" t="s">
        <v>765</v>
      </c>
    </row>
    <row r="43" spans="1:7" x14ac:dyDescent="0.25">
      <c r="A43" s="68" t="s">
        <v>26</v>
      </c>
      <c r="B43" s="68">
        <v>4</v>
      </c>
      <c r="C43" s="68">
        <v>2</v>
      </c>
      <c r="D43" s="68">
        <v>6</v>
      </c>
      <c r="E43" s="69">
        <v>4060000</v>
      </c>
      <c r="F43" s="69">
        <v>3500000</v>
      </c>
      <c r="G43" s="69">
        <v>7560000</v>
      </c>
    </row>
    <row r="44" spans="1:7" x14ac:dyDescent="0.25">
      <c r="A44" s="68" t="s">
        <v>30</v>
      </c>
      <c r="B44" s="68">
        <v>2</v>
      </c>
      <c r="C44" s="68">
        <v>3</v>
      </c>
      <c r="D44" s="68">
        <v>5</v>
      </c>
      <c r="E44" s="69">
        <v>650000</v>
      </c>
      <c r="F44" s="69">
        <v>3000000</v>
      </c>
      <c r="G44" s="69">
        <v>3650000</v>
      </c>
    </row>
    <row r="45" spans="1:7" x14ac:dyDescent="0.25">
      <c r="A45" s="68" t="s">
        <v>20</v>
      </c>
      <c r="B45" s="68">
        <v>1</v>
      </c>
      <c r="C45" s="68">
        <v>2</v>
      </c>
      <c r="D45" s="68">
        <v>3</v>
      </c>
      <c r="E45" s="69">
        <v>280000</v>
      </c>
      <c r="F45" s="69">
        <v>6000000</v>
      </c>
      <c r="G45" s="69">
        <v>6280000</v>
      </c>
    </row>
    <row r="46" spans="1:7" x14ac:dyDescent="0.25">
      <c r="A46" s="68" t="s">
        <v>17</v>
      </c>
      <c r="B46" s="68">
        <v>1</v>
      </c>
      <c r="C46" s="68">
        <v>1</v>
      </c>
      <c r="D46" s="68">
        <v>2</v>
      </c>
      <c r="E46" s="69">
        <v>1500000</v>
      </c>
      <c r="F46" s="69">
        <v>1500000</v>
      </c>
      <c r="G46" s="69">
        <v>3000000</v>
      </c>
    </row>
    <row r="47" spans="1:7" x14ac:dyDescent="0.25">
      <c r="A47" s="68" t="s">
        <v>24</v>
      </c>
      <c r="B47" s="68">
        <v>1</v>
      </c>
      <c r="C47" s="68">
        <v>0</v>
      </c>
      <c r="D47" s="68">
        <v>1</v>
      </c>
      <c r="E47" s="69">
        <v>600000</v>
      </c>
      <c r="F47" s="69">
        <v>0</v>
      </c>
      <c r="G47" s="69">
        <v>600000</v>
      </c>
    </row>
    <row r="48" spans="1:7" x14ac:dyDescent="0.25">
      <c r="A48" s="68" t="s">
        <v>9</v>
      </c>
      <c r="B48" s="68">
        <v>2</v>
      </c>
      <c r="C48" s="68">
        <v>0</v>
      </c>
      <c r="D48" s="68">
        <v>2</v>
      </c>
      <c r="E48" s="69">
        <v>500000</v>
      </c>
      <c r="F48" s="69">
        <v>0</v>
      </c>
      <c r="G48" s="69">
        <v>500000</v>
      </c>
    </row>
    <row r="49" spans="1:7" x14ac:dyDescent="0.25">
      <c r="A49" s="68" t="s">
        <v>35</v>
      </c>
      <c r="B49" s="68">
        <v>3</v>
      </c>
      <c r="C49" s="68">
        <v>3</v>
      </c>
      <c r="D49" s="68">
        <v>6</v>
      </c>
      <c r="E49" s="69">
        <v>2080000</v>
      </c>
      <c r="F49" s="69">
        <v>17500000</v>
      </c>
      <c r="G49" s="69">
        <v>19580000</v>
      </c>
    </row>
    <row r="50" spans="1:7" x14ac:dyDescent="0.25">
      <c r="A50" s="68" t="s">
        <v>4</v>
      </c>
      <c r="B50" s="68">
        <v>1</v>
      </c>
      <c r="C50" s="68">
        <v>2</v>
      </c>
      <c r="D50" s="68">
        <v>3</v>
      </c>
      <c r="E50" s="69">
        <v>100000</v>
      </c>
      <c r="F50" s="69">
        <v>26000000</v>
      </c>
      <c r="G50" s="69">
        <v>26100000</v>
      </c>
    </row>
    <row r="51" spans="1:7" x14ac:dyDescent="0.25">
      <c r="A51" s="68" t="s">
        <v>12</v>
      </c>
      <c r="B51" s="68">
        <v>0</v>
      </c>
      <c r="C51" s="68">
        <v>0</v>
      </c>
      <c r="D51" s="68">
        <v>0</v>
      </c>
      <c r="E51" s="69">
        <v>0</v>
      </c>
      <c r="F51" s="69">
        <v>0</v>
      </c>
      <c r="G51" s="69">
        <v>0</v>
      </c>
    </row>
    <row r="52" spans="1:7" x14ac:dyDescent="0.25">
      <c r="A52" s="68" t="s">
        <v>39</v>
      </c>
      <c r="B52" s="68">
        <v>1</v>
      </c>
      <c r="C52" s="68">
        <v>0</v>
      </c>
      <c r="D52" s="68">
        <v>1</v>
      </c>
      <c r="E52" s="69">
        <v>300000</v>
      </c>
      <c r="F52" s="69">
        <v>0</v>
      </c>
      <c r="G52" s="69">
        <v>300000</v>
      </c>
    </row>
    <row r="53" spans="1:7" x14ac:dyDescent="0.25">
      <c r="A53" s="68" t="s">
        <v>13</v>
      </c>
      <c r="B53" s="68">
        <v>0</v>
      </c>
      <c r="C53" s="68">
        <v>0</v>
      </c>
      <c r="D53" s="68">
        <v>0</v>
      </c>
      <c r="E53" s="69">
        <v>0</v>
      </c>
      <c r="F53" s="69">
        <v>0</v>
      </c>
      <c r="G53" s="69">
        <v>0</v>
      </c>
    </row>
    <row r="54" spans="1:7" x14ac:dyDescent="0.25">
      <c r="A54" s="68" t="s">
        <v>19</v>
      </c>
      <c r="B54" s="68">
        <v>0</v>
      </c>
      <c r="C54" s="68">
        <v>0</v>
      </c>
      <c r="D54" s="68">
        <v>0</v>
      </c>
      <c r="E54" s="69">
        <v>0</v>
      </c>
      <c r="F54" s="69">
        <v>0</v>
      </c>
      <c r="G54" s="69">
        <v>0</v>
      </c>
    </row>
    <row r="55" spans="1:7" x14ac:dyDescent="0.25">
      <c r="A55" s="73" t="s">
        <v>80</v>
      </c>
      <c r="B55" s="73">
        <v>16</v>
      </c>
      <c r="C55" s="73">
        <v>13</v>
      </c>
      <c r="D55" s="73">
        <v>29</v>
      </c>
      <c r="E55" s="81">
        <v>10070000</v>
      </c>
      <c r="F55" s="74">
        <v>57500000</v>
      </c>
      <c r="G55" s="74">
        <v>67570000</v>
      </c>
    </row>
    <row r="57" spans="1:7" s="67" customFormat="1" ht="30" x14ac:dyDescent="0.25">
      <c r="A57" s="66" t="s">
        <v>766</v>
      </c>
      <c r="B57" s="66" t="s">
        <v>1</v>
      </c>
      <c r="C57" s="66" t="s">
        <v>224</v>
      </c>
      <c r="D57" s="66" t="s">
        <v>739</v>
      </c>
      <c r="E57" s="66" t="s">
        <v>767</v>
      </c>
      <c r="F57" s="66" t="s">
        <v>223</v>
      </c>
    </row>
    <row r="58" spans="1:7" x14ac:dyDescent="0.25">
      <c r="A58" s="68" t="s">
        <v>409</v>
      </c>
      <c r="B58" s="68" t="s">
        <v>26</v>
      </c>
      <c r="C58" s="69">
        <v>15000000</v>
      </c>
      <c r="D58" s="68">
        <v>140</v>
      </c>
      <c r="E58" s="69">
        <v>39137894.590000004</v>
      </c>
      <c r="F58" s="71">
        <v>2.6091929726666669</v>
      </c>
    </row>
    <row r="59" spans="1:7" x14ac:dyDescent="0.25">
      <c r="A59" s="68" t="s">
        <v>411</v>
      </c>
      <c r="B59" s="68" t="s">
        <v>26</v>
      </c>
      <c r="C59" s="69">
        <v>15000000</v>
      </c>
      <c r="D59" s="68">
        <v>123</v>
      </c>
      <c r="E59" s="69">
        <v>20678147.890000001</v>
      </c>
      <c r="F59" s="71">
        <v>1.3785431926666667</v>
      </c>
    </row>
    <row r="60" spans="1:7" x14ac:dyDescent="0.25">
      <c r="A60" s="68" t="s">
        <v>414</v>
      </c>
      <c r="B60" s="68" t="s">
        <v>35</v>
      </c>
      <c r="C60" s="69">
        <v>15000000</v>
      </c>
      <c r="D60" s="68">
        <v>92</v>
      </c>
      <c r="E60" s="69">
        <v>47925784.18</v>
      </c>
      <c r="F60" s="71">
        <v>3.1950522786666666</v>
      </c>
    </row>
    <row r="61" spans="1:7" x14ac:dyDescent="0.25">
      <c r="A61" s="68" t="s">
        <v>768</v>
      </c>
      <c r="B61" s="68" t="s">
        <v>24</v>
      </c>
      <c r="C61" s="69">
        <v>10000000</v>
      </c>
      <c r="D61" s="68">
        <v>45</v>
      </c>
      <c r="E61" s="69">
        <v>5824210.5300000003</v>
      </c>
      <c r="F61" s="71">
        <v>0.58242105300000002</v>
      </c>
    </row>
    <row r="62" spans="1:7" x14ac:dyDescent="0.25">
      <c r="A62" s="68" t="s">
        <v>410</v>
      </c>
      <c r="B62" s="68" t="s">
        <v>30</v>
      </c>
      <c r="C62" s="69">
        <v>15000000</v>
      </c>
      <c r="D62" s="68">
        <v>124</v>
      </c>
      <c r="E62" s="69">
        <v>18451291.84</v>
      </c>
      <c r="F62" s="71">
        <v>1.2300861226666666</v>
      </c>
    </row>
    <row r="63" spans="1:7" x14ac:dyDescent="0.25">
      <c r="A63" s="66" t="s">
        <v>80</v>
      </c>
      <c r="B63" s="66"/>
      <c r="C63" s="66"/>
      <c r="D63" s="66">
        <v>524</v>
      </c>
      <c r="E63" s="82">
        <v>132017329.03</v>
      </c>
      <c r="F63" s="82"/>
    </row>
    <row r="65" spans="1:8" ht="30" x14ac:dyDescent="0.25">
      <c r="A65" s="83" t="s">
        <v>769</v>
      </c>
      <c r="B65" s="83" t="s">
        <v>770</v>
      </c>
      <c r="C65" s="83" t="s">
        <v>771</v>
      </c>
      <c r="D65" s="83" t="s">
        <v>772</v>
      </c>
      <c r="E65" s="83" t="s">
        <v>773</v>
      </c>
      <c r="F65" s="83" t="s">
        <v>774</v>
      </c>
      <c r="G65" s="83" t="s">
        <v>224</v>
      </c>
      <c r="H65" s="83" t="s">
        <v>223</v>
      </c>
    </row>
    <row r="66" spans="1:8" x14ac:dyDescent="0.25">
      <c r="A66" s="68" t="s">
        <v>775</v>
      </c>
      <c r="B66" s="68" t="s">
        <v>776</v>
      </c>
      <c r="C66" s="68">
        <v>360</v>
      </c>
      <c r="D66" s="69">
        <v>46699927.179999985</v>
      </c>
      <c r="E66" s="68">
        <v>134</v>
      </c>
      <c r="F66" s="69">
        <v>1481417.54</v>
      </c>
      <c r="G66" s="69">
        <v>15000000</v>
      </c>
      <c r="H66" s="71">
        <v>9.8761169333333329E-2</v>
      </c>
    </row>
    <row r="67" spans="1:8" x14ac:dyDescent="0.25">
      <c r="A67" s="68" t="s">
        <v>777</v>
      </c>
      <c r="B67" s="68" t="s">
        <v>776</v>
      </c>
      <c r="C67" s="68">
        <v>317</v>
      </c>
      <c r="D67" s="69">
        <v>37966497.419999994</v>
      </c>
      <c r="E67" s="68">
        <v>137</v>
      </c>
      <c r="F67" s="69">
        <v>911182.69</v>
      </c>
      <c r="G67" s="69">
        <v>15000000</v>
      </c>
      <c r="H67" s="71">
        <v>6.0745512666666661E-2</v>
      </c>
    </row>
    <row r="68" spans="1:8" x14ac:dyDescent="0.25">
      <c r="A68" s="68" t="s">
        <v>778</v>
      </c>
      <c r="B68" s="68" t="s">
        <v>776</v>
      </c>
      <c r="C68" s="68">
        <v>316</v>
      </c>
      <c r="D68" s="69">
        <v>29400915.499999993</v>
      </c>
      <c r="E68" s="68">
        <v>133</v>
      </c>
      <c r="F68" s="69">
        <v>2043868.5</v>
      </c>
      <c r="G68" s="69">
        <v>15000000</v>
      </c>
      <c r="H68" s="71">
        <v>0.13625789999999999</v>
      </c>
    </row>
    <row r="69" spans="1:8" x14ac:dyDescent="0.25">
      <c r="A69" s="68" t="s">
        <v>779</v>
      </c>
      <c r="B69" s="68" t="s">
        <v>776</v>
      </c>
      <c r="C69" s="68">
        <v>4297</v>
      </c>
      <c r="D69" s="69">
        <v>18865730.263571456</v>
      </c>
      <c r="E69" s="68">
        <v>4121</v>
      </c>
      <c r="F69" s="69">
        <v>41693718.619999997</v>
      </c>
    </row>
    <row r="70" spans="1:8" x14ac:dyDescent="0.25">
      <c r="A70" s="83" t="s">
        <v>80</v>
      </c>
      <c r="B70" s="83"/>
      <c r="C70" s="83">
        <v>5290</v>
      </c>
      <c r="D70" s="84">
        <v>132933070.36357142</v>
      </c>
      <c r="E70" s="83">
        <v>4525</v>
      </c>
      <c r="F70" s="84">
        <v>46130187.349999994</v>
      </c>
    </row>
  </sheetData>
  <conditionalFormatting sqref="K3:K14">
    <cfRule type="duplicateValues" dxfId="3" priority="5"/>
  </conditionalFormatting>
  <conditionalFormatting sqref="A2:A13">
    <cfRule type="duplicateValues" dxfId="2" priority="3"/>
  </conditionalFormatting>
  <conditionalFormatting sqref="A2:A13">
    <cfRule type="duplicateValues" dxfId="1" priority="2"/>
  </conditionalFormatting>
  <conditionalFormatting sqref="A66:A68">
    <cfRule type="duplicateValues" dxfId="0" priority="1"/>
  </conditionalFormatting>
  <pageMargins left="0.7" right="0.7" top="0.75" bottom="0.75" header="0.3" footer="0.3"/>
  <pageSetup scale="67" fitToHeight="0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6B9E-FF13-4E16-A70B-7CED94B3117F}">
  <dimension ref="A1:F8"/>
  <sheetViews>
    <sheetView workbookViewId="0">
      <selection activeCell="H7" sqref="H7"/>
    </sheetView>
  </sheetViews>
  <sheetFormatPr defaultColWidth="8.85546875" defaultRowHeight="15" x14ac:dyDescent="0.25"/>
  <cols>
    <col min="1" max="1" width="19.28515625" style="1" bestFit="1" customWidth="1"/>
    <col min="2" max="2" width="18.85546875" style="1" bestFit="1" customWidth="1"/>
    <col min="3" max="3" width="16.140625" style="1" bestFit="1" customWidth="1"/>
    <col min="4" max="4" width="12.7109375" style="1" bestFit="1" customWidth="1"/>
    <col min="5" max="5" width="14.42578125" style="1" bestFit="1" customWidth="1"/>
    <col min="6" max="6" width="11.42578125" style="1" bestFit="1" customWidth="1"/>
    <col min="7" max="16384" width="8.85546875" style="1"/>
  </cols>
  <sheetData>
    <row r="1" spans="1:6" x14ac:dyDescent="0.25">
      <c r="A1" s="20" t="s">
        <v>408</v>
      </c>
      <c r="B1" s="20" t="s">
        <v>416</v>
      </c>
      <c r="C1" s="20" t="s">
        <v>417</v>
      </c>
      <c r="D1" s="20" t="s">
        <v>400</v>
      </c>
      <c r="E1" s="20" t="s">
        <v>257</v>
      </c>
      <c r="F1" s="20" t="s">
        <v>418</v>
      </c>
    </row>
    <row r="2" spans="1:6" x14ac:dyDescent="0.25">
      <c r="A2" s="1" t="s">
        <v>409</v>
      </c>
      <c r="B2" s="2">
        <v>7626323</v>
      </c>
      <c r="C2" s="1">
        <v>216</v>
      </c>
      <c r="D2" s="2">
        <v>500000</v>
      </c>
      <c r="E2" s="2">
        <f>IFERROR(D2*((NETWORKDAYS.INTL(SUMMARRY!$B$1,SUMMARRY!$B$2,11))),"")</f>
        <v>13000000</v>
      </c>
      <c r="F2" s="6">
        <f>B2/E2</f>
        <v>0.58664023076923077</v>
      </c>
    </row>
    <row r="3" spans="1:6" x14ac:dyDescent="0.25">
      <c r="A3" s="1" t="s">
        <v>410</v>
      </c>
      <c r="B3" s="2">
        <v>8468963.5800000001</v>
      </c>
      <c r="C3" s="1">
        <v>255</v>
      </c>
      <c r="D3" s="2">
        <v>500000</v>
      </c>
      <c r="E3" s="2">
        <f>IFERROR(D3*((NETWORKDAYS.INTL(SUMMARRY!$B$1,SUMMARRY!$B$2,11))),"")</f>
        <v>13000000</v>
      </c>
      <c r="F3" s="6">
        <f t="shared" ref="F3:F8" si="0">B3/E3</f>
        <v>0.65145873692307688</v>
      </c>
    </row>
    <row r="4" spans="1:6" x14ac:dyDescent="0.25">
      <c r="A4" s="1" t="s">
        <v>411</v>
      </c>
      <c r="B4" s="2">
        <v>3721483</v>
      </c>
      <c r="C4" s="1">
        <v>131</v>
      </c>
      <c r="D4" s="2">
        <v>500000</v>
      </c>
      <c r="E4" s="2">
        <f>IFERROR(D4*((NETWORKDAYS.INTL(SUMMARRY!$B$1,SUMMARRY!$B$2,11))),"")</f>
        <v>13000000</v>
      </c>
      <c r="F4" s="6">
        <f t="shared" si="0"/>
        <v>0.28626792307692306</v>
      </c>
    </row>
    <row r="5" spans="1:6" x14ac:dyDescent="0.25">
      <c r="A5" s="1" t="s">
        <v>412</v>
      </c>
      <c r="B5" s="2">
        <v>2223872</v>
      </c>
      <c r="C5" s="1">
        <v>111</v>
      </c>
      <c r="D5" s="2">
        <v>500000</v>
      </c>
      <c r="E5" s="2">
        <f>IFERROR(D5*((NETWORKDAYS.INTL(SUMMARRY!$B$1,SUMMARRY!$B$2,11))),"")</f>
        <v>13000000</v>
      </c>
      <c r="F5" s="6">
        <f t="shared" si="0"/>
        <v>0.17106707692307693</v>
      </c>
    </row>
    <row r="6" spans="1:6" x14ac:dyDescent="0.25">
      <c r="A6" s="1" t="s">
        <v>413</v>
      </c>
      <c r="B6" s="2">
        <v>2141427</v>
      </c>
      <c r="C6" s="1">
        <v>11</v>
      </c>
      <c r="D6" s="2">
        <v>500000</v>
      </c>
      <c r="E6" s="2">
        <f>IFERROR(D6*((NETWORKDAYS.INTL(SUMMARRY!$B$1,SUMMARRY!$B$2,11))),"")</f>
        <v>13000000</v>
      </c>
      <c r="F6" s="6">
        <f t="shared" si="0"/>
        <v>0.16472515384615385</v>
      </c>
    </row>
    <row r="7" spans="1:6" x14ac:dyDescent="0.25">
      <c r="A7" s="1" t="s">
        <v>414</v>
      </c>
      <c r="B7" s="2">
        <v>4388561.91</v>
      </c>
      <c r="C7" s="1">
        <v>102</v>
      </c>
      <c r="D7" s="2">
        <v>500000</v>
      </c>
      <c r="E7" s="2">
        <f>IFERROR(D7*((NETWORKDAYS.INTL(SUMMARRY!$B$1,SUMMARRY!$B$2,11))),"")</f>
        <v>13000000</v>
      </c>
      <c r="F7" s="6">
        <f t="shared" si="0"/>
        <v>0.33758168538461542</v>
      </c>
    </row>
    <row r="8" spans="1:6" x14ac:dyDescent="0.25">
      <c r="A8" s="1" t="s">
        <v>415</v>
      </c>
      <c r="B8" s="2">
        <v>2198400</v>
      </c>
      <c r="C8" s="1">
        <v>98</v>
      </c>
      <c r="D8" s="2">
        <v>500000</v>
      </c>
      <c r="E8" s="2">
        <f>IFERROR(D8*((NETWORKDAYS.INTL(SUMMARRY!$B$1,SUMMARRY!$B$2,11))),"")</f>
        <v>13000000</v>
      </c>
      <c r="F8" s="6">
        <f t="shared" si="0"/>
        <v>0.16910769230769232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SUMMARRY</vt:lpstr>
      <vt:lpstr>COCMFOSABMS</vt:lpstr>
      <vt:lpstr>LOGBOOK  TEAM LEADERS</vt:lpstr>
      <vt:lpstr>CHECKOFF TEAM LEADERS </vt:lpstr>
      <vt:lpstr>CALL CENTER</vt:lpstr>
      <vt:lpstr>BRANCHES </vt:lpstr>
      <vt:lpstr>ABMS</vt:lpstr>
      <vt:lpstr>RECOVERY POS AND CHECKOFF TEAM</vt:lpstr>
      <vt:lpstr>PORTFROLIO OFFICERS</vt:lpstr>
      <vt:lpstr>CAR SALES 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JENKINS</dc:creator>
  <cp:lastModifiedBy>MCL Eric B</cp:lastModifiedBy>
  <cp:lastPrinted>2024-05-21T07:56:57Z</cp:lastPrinted>
  <dcterms:created xsi:type="dcterms:W3CDTF">2024-01-23T12:05:51Z</dcterms:created>
  <dcterms:modified xsi:type="dcterms:W3CDTF">2024-05-31T07:57:56Z</dcterms:modified>
</cp:coreProperties>
</file>