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 Eric B\Desktop\MCL ANALYSIS\BRANCH\DISBURSEMENTS\"/>
    </mc:Choice>
  </mc:AlternateContent>
  <xr:revisionPtr revIDLastSave="0" documentId="8_{5ACEE2F4-3510-4702-B40B-51A88250E959}" xr6:coauthVersionLast="37" xr6:coauthVersionMax="37" xr10:uidLastSave="{00000000-0000-0000-0000-000000000000}"/>
  <bookViews>
    <workbookView xWindow="0" yWindow="0" windowWidth="28800" windowHeight="11625" firstSheet="1" activeTab="7" xr2:uid="{29AA0DF6-6EA6-4286-B60E-64FE6DB818A7}"/>
  </bookViews>
  <sheets>
    <sheet name="SUMMARRY" sheetId="9" state="hidden" r:id="rId1"/>
    <sheet name="COCMFOSABMS" sheetId="1" r:id="rId2"/>
    <sheet name="LOGBOOK  TEAM LEADERS" sheetId="2" r:id="rId3"/>
    <sheet name="CHECKOFF TEAM LEADERS " sheetId="3" r:id="rId4"/>
    <sheet name="CALL CENTER" sheetId="5" r:id="rId5"/>
    <sheet name="BRANCHES " sheetId="4" r:id="rId6"/>
    <sheet name="ABMS" sheetId="8" r:id="rId7"/>
    <sheet name="RECOVERY POS AND CHECKOFF TEAM" sheetId="7" r:id="rId8"/>
    <sheet name="PORTFROLIO OFFICERS" sheetId="12" state="hidden" r:id="rId9"/>
    <sheet name="CAR SALES RECOVERY" sheetId="10" state="hidden" r:id="rId10"/>
  </sheets>
  <externalReferences>
    <externalReference r:id="rId11"/>
    <externalReference r:id="rId12"/>
  </externalReferences>
  <definedNames>
    <definedName name="_xlnm._FilterDatabase" localSheetId="4" hidden="1">'CALL CENTER'!$A$1:$AH$11</definedName>
    <definedName name="_xlnm._FilterDatabase" localSheetId="3" hidden="1">'CHECKOFF TEAM LEADERS '!$A$1:$AT$57</definedName>
    <definedName name="_xlnm._FilterDatabase" localSheetId="1" hidden="1">COCMFOSABMS!$A$1:$AF$30</definedName>
    <definedName name="_xlnm._FilterDatabase" localSheetId="2" hidden="1">'LOGBOOK  TEAM LEADERS'!$A$1:$AF$4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9" i="4" l="1"/>
  <c r="AC20" i="4"/>
  <c r="AC21" i="4"/>
  <c r="AC22" i="4"/>
  <c r="AC23" i="4"/>
  <c r="AC24" i="4"/>
  <c r="AC25" i="4"/>
  <c r="AC18" i="4"/>
  <c r="R19" i="4"/>
  <c r="S19" i="4"/>
  <c r="T19" i="4" s="1"/>
  <c r="U19" i="4"/>
  <c r="R20" i="4"/>
  <c r="S20" i="4"/>
  <c r="T20" i="4" s="1"/>
  <c r="U20" i="4"/>
  <c r="R22" i="4"/>
  <c r="S22" i="4"/>
  <c r="T22" i="4" s="1"/>
  <c r="U22" i="4"/>
  <c r="R23" i="4"/>
  <c r="S23" i="4"/>
  <c r="T23" i="4" s="1"/>
  <c r="U23" i="4"/>
  <c r="R24" i="4"/>
  <c r="S24" i="4"/>
  <c r="T24" i="4" s="1"/>
  <c r="U24" i="4"/>
  <c r="R25" i="4"/>
  <c r="S25" i="4"/>
  <c r="T25" i="4" s="1"/>
  <c r="U25" i="4"/>
  <c r="T18" i="4"/>
  <c r="U18" i="4"/>
  <c r="S18" i="4"/>
  <c r="R18" i="4"/>
  <c r="AB21" i="4"/>
  <c r="AE21" i="4"/>
  <c r="AD21" i="4"/>
  <c r="AF21" i="4" s="1"/>
  <c r="AR2" i="3"/>
  <c r="AP2" i="3"/>
  <c r="Y19" i="4"/>
  <c r="AA19" i="4" s="1"/>
  <c r="AE19" i="4" s="1"/>
  <c r="Y20" i="4"/>
  <c r="AA20" i="4" s="1"/>
  <c r="Y21" i="4"/>
  <c r="Y22" i="4"/>
  <c r="AA22" i="4" s="1"/>
  <c r="AE22" i="4" s="1"/>
  <c r="Y23" i="4"/>
  <c r="AA23" i="4" s="1"/>
  <c r="AE23" i="4" s="1"/>
  <c r="Y24" i="4"/>
  <c r="AA24" i="4" s="1"/>
  <c r="Y25" i="4"/>
  <c r="AA25" i="4" s="1"/>
  <c r="AE25" i="4" s="1"/>
  <c r="Y18" i="4"/>
  <c r="AA18" i="4" s="1"/>
  <c r="AE18" i="4" s="1"/>
  <c r="V19" i="4"/>
  <c r="X19" i="4" s="1"/>
  <c r="V20" i="4"/>
  <c r="X20" i="4" s="1"/>
  <c r="V22" i="4"/>
  <c r="X22" i="4" s="1"/>
  <c r="V23" i="4"/>
  <c r="X23" i="4" s="1"/>
  <c r="V24" i="4"/>
  <c r="X24" i="4" s="1"/>
  <c r="V25" i="4"/>
  <c r="X25" i="4" s="1"/>
  <c r="V18" i="4"/>
  <c r="X18" i="4" s="1"/>
  <c r="Q19" i="4"/>
  <c r="AD19" i="4" s="1"/>
  <c r="Q20" i="4"/>
  <c r="AD20" i="4" s="1"/>
  <c r="Q22" i="4"/>
  <c r="AD22" i="4" s="1"/>
  <c r="Q23" i="4"/>
  <c r="AB23" i="4" s="1"/>
  <c r="Q24" i="4"/>
  <c r="AB24" i="4" s="1"/>
  <c r="Q25" i="4"/>
  <c r="AB25" i="4" s="1"/>
  <c r="Q18" i="4"/>
  <c r="AB18" i="4" s="1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2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2" i="3"/>
  <c r="AF2" i="1"/>
  <c r="AV1" i="3" a="1"/>
  <c r="AV1" i="3" s="1"/>
  <c r="AF22" i="4" l="1"/>
  <c r="AE24" i="4"/>
  <c r="AF19" i="4"/>
  <c r="AB22" i="4"/>
  <c r="AB20" i="4"/>
  <c r="AE20" i="4" s="1"/>
  <c r="AF20" i="4" s="1"/>
  <c r="AB19" i="4"/>
  <c r="AD18" i="4"/>
  <c r="AF18" i="4" s="1"/>
  <c r="AD25" i="4"/>
  <c r="AF25" i="4" s="1"/>
  <c r="AD24" i="4"/>
  <c r="AF24" i="4" s="1"/>
  <c r="AD23" i="4"/>
  <c r="AF23" i="4" s="1"/>
  <c r="AD16" i="3" l="1"/>
  <c r="AQ16" i="3" s="1"/>
  <c r="AD20" i="3"/>
  <c r="AQ20" i="3" s="1"/>
  <c r="AD23" i="3"/>
  <c r="AQ23" i="3" s="1"/>
  <c r="AD21" i="3"/>
  <c r="AQ21" i="3" s="1"/>
  <c r="AD17" i="3"/>
  <c r="AQ17" i="3" s="1"/>
  <c r="AD10" i="3"/>
  <c r="AQ10" i="3" s="1"/>
  <c r="AD11" i="3"/>
  <c r="AQ11" i="3" s="1"/>
  <c r="AD32" i="3"/>
  <c r="AQ32" i="3" s="1"/>
  <c r="AD31" i="3"/>
  <c r="AQ31" i="3" s="1"/>
  <c r="AD14" i="3"/>
  <c r="AQ14" i="3" s="1"/>
  <c r="AD30" i="3"/>
  <c r="AQ30" i="3" s="1"/>
  <c r="AD41" i="3"/>
  <c r="AQ41" i="3" s="1"/>
  <c r="AD29" i="3"/>
  <c r="AQ29" i="3" s="1"/>
  <c r="AD40" i="3"/>
  <c r="AQ40" i="3" s="1"/>
  <c r="AD22" i="3"/>
  <c r="AQ22" i="3" s="1"/>
  <c r="AD28" i="3"/>
  <c r="AQ28" i="3" s="1"/>
  <c r="AD24" i="3"/>
  <c r="AQ24" i="3" s="1"/>
  <c r="AD39" i="3"/>
  <c r="AQ39" i="3" s="1"/>
  <c r="AD15" i="3"/>
  <c r="AQ15" i="3" s="1"/>
  <c r="AD12" i="3"/>
  <c r="AQ12" i="3" s="1"/>
  <c r="AD44" i="3"/>
  <c r="AQ44" i="3" s="1"/>
  <c r="AD48" i="3"/>
  <c r="AQ48" i="3" s="1"/>
  <c r="AD33" i="3"/>
  <c r="AQ33" i="3" s="1"/>
  <c r="AD42" i="3"/>
  <c r="AQ42" i="3" s="1"/>
  <c r="AD25" i="3"/>
  <c r="AQ25" i="3" s="1"/>
  <c r="AD43" i="3"/>
  <c r="AQ43" i="3" s="1"/>
  <c r="AD47" i="3"/>
  <c r="AQ47" i="3" s="1"/>
  <c r="AD36" i="3"/>
  <c r="AQ36" i="3" s="1"/>
  <c r="AD45" i="3"/>
  <c r="AQ45" i="3" s="1"/>
  <c r="AD26" i="3"/>
  <c r="AQ26" i="3" s="1"/>
  <c r="AD34" i="3"/>
  <c r="AQ34" i="3" s="1"/>
  <c r="AD46" i="3"/>
  <c r="AQ46" i="3" s="1"/>
  <c r="AD50" i="3"/>
  <c r="AQ50" i="3" s="1"/>
  <c r="AD35" i="3"/>
  <c r="AQ35" i="3" s="1"/>
  <c r="AD13" i="3"/>
  <c r="AQ13" i="3" s="1"/>
  <c r="AD19" i="3"/>
  <c r="AQ19" i="3" s="1"/>
  <c r="AD49" i="3"/>
  <c r="AQ49" i="3" s="1"/>
  <c r="AD27" i="3"/>
  <c r="AQ27" i="3" s="1"/>
  <c r="AD3" i="3"/>
  <c r="AQ3" i="3" s="1"/>
  <c r="AD2" i="3"/>
  <c r="AQ2" i="3" s="1"/>
  <c r="AD38" i="3"/>
  <c r="AQ38" i="3" s="1"/>
  <c r="AD37" i="3"/>
  <c r="AQ37" i="3" s="1"/>
  <c r="AD4" i="3"/>
  <c r="AQ4" i="3" s="1"/>
  <c r="AD5" i="3"/>
  <c r="AQ5" i="3" s="1"/>
  <c r="AD6" i="3"/>
  <c r="AQ6" i="3" s="1"/>
  <c r="AD7" i="3"/>
  <c r="AQ7" i="3" s="1"/>
  <c r="AD52" i="3"/>
  <c r="AQ52" i="3" s="1"/>
  <c r="AD51" i="3"/>
  <c r="AQ51" i="3" s="1"/>
  <c r="AD53" i="3"/>
  <c r="AQ53" i="3" s="1"/>
  <c r="AD54" i="3"/>
  <c r="AQ54" i="3" s="1"/>
  <c r="AD55" i="3"/>
  <c r="AQ55" i="3" s="1"/>
  <c r="AD8" i="3"/>
  <c r="AQ8" i="3" s="1"/>
  <c r="AD56" i="3"/>
  <c r="AQ56" i="3" s="1"/>
  <c r="AD57" i="3"/>
  <c r="AQ57" i="3" s="1"/>
  <c r="AD9" i="3"/>
  <c r="AQ9" i="3" s="1"/>
  <c r="AH30" i="3"/>
  <c r="AH33" i="3"/>
  <c r="AH50" i="3"/>
  <c r="AH13" i="3"/>
  <c r="AH4" i="3"/>
  <c r="AH5" i="3"/>
  <c r="AH6" i="3"/>
  <c r="AH52" i="3"/>
  <c r="AH57" i="3"/>
  <c r="AH9" i="3"/>
  <c r="AH16" i="3"/>
  <c r="AH20" i="3"/>
  <c r="AH23" i="3"/>
  <c r="AH21" i="3"/>
  <c r="AH17" i="3"/>
  <c r="AH10" i="3"/>
  <c r="AH11" i="3"/>
  <c r="AH32" i="3"/>
  <c r="AH31" i="3"/>
  <c r="AH14" i="3"/>
  <c r="AH41" i="3"/>
  <c r="AH29" i="3"/>
  <c r="AH40" i="3"/>
  <c r="AH22" i="3"/>
  <c r="AH28" i="3"/>
  <c r="AH24" i="3"/>
  <c r="AH39" i="3"/>
  <c r="AH15" i="3"/>
  <c r="AH12" i="3"/>
  <c r="AH44" i="3"/>
  <c r="AH48" i="3"/>
  <c r="AH42" i="3"/>
  <c r="AH25" i="3"/>
  <c r="AH43" i="3"/>
  <c r="AH47" i="3"/>
  <c r="AH36" i="3"/>
  <c r="AH45" i="3"/>
  <c r="AH26" i="3"/>
  <c r="AH34" i="3"/>
  <c r="AH46" i="3"/>
  <c r="AH35" i="3"/>
  <c r="AH19" i="3"/>
  <c r="AH49" i="3"/>
  <c r="AH27" i="3"/>
  <c r="AH3" i="3"/>
  <c r="AH2" i="3"/>
  <c r="AH38" i="3"/>
  <c r="AH37" i="3"/>
  <c r="AH7" i="3"/>
  <c r="AH51" i="3"/>
  <c r="AH53" i="3"/>
  <c r="AH54" i="3"/>
  <c r="AH55" i="3"/>
  <c r="AH8" i="3"/>
  <c r="AH56" i="3"/>
  <c r="AH18" i="3"/>
  <c r="Z13" i="3"/>
  <c r="G51" i="3"/>
  <c r="G53" i="3"/>
  <c r="G54" i="3"/>
  <c r="G55" i="3"/>
  <c r="G8" i="3"/>
  <c r="G57" i="3"/>
  <c r="G9" i="3"/>
  <c r="G3" i="3"/>
  <c r="G2" i="3"/>
  <c r="G38" i="3"/>
  <c r="G37" i="3"/>
  <c r="G4" i="3"/>
  <c r="G5" i="3"/>
  <c r="G6" i="3"/>
  <c r="G7" i="3"/>
  <c r="G52" i="3"/>
  <c r="G56" i="3"/>
  <c r="J3" i="3"/>
  <c r="L3" i="3" s="1"/>
  <c r="J2" i="3"/>
  <c r="L2" i="3" s="1"/>
  <c r="Z2" i="3" s="1"/>
  <c r="J38" i="3"/>
  <c r="L38" i="3" s="1"/>
  <c r="Z38" i="3" s="1"/>
  <c r="J37" i="3"/>
  <c r="L37" i="3" s="1"/>
  <c r="J4" i="3"/>
  <c r="L4" i="3" s="1"/>
  <c r="J5" i="3"/>
  <c r="L5" i="3" s="1"/>
  <c r="J6" i="3"/>
  <c r="L6" i="3" s="1"/>
  <c r="Z6" i="3" s="1"/>
  <c r="J7" i="3"/>
  <c r="L7" i="3" s="1"/>
  <c r="J52" i="3"/>
  <c r="L52" i="3" s="1"/>
  <c r="J51" i="3"/>
  <c r="L51" i="3" s="1"/>
  <c r="J53" i="3"/>
  <c r="L53" i="3" s="1"/>
  <c r="J54" i="3"/>
  <c r="L54" i="3" s="1"/>
  <c r="J55" i="3"/>
  <c r="L55" i="3" s="1"/>
  <c r="Z55" i="3" s="1"/>
  <c r="J8" i="3"/>
  <c r="L8" i="3" s="1"/>
  <c r="Z8" i="3" s="1"/>
  <c r="J56" i="3"/>
  <c r="L56" i="3" s="1"/>
  <c r="Z56" i="3" s="1"/>
  <c r="J57" i="3"/>
  <c r="L57" i="3" s="1"/>
  <c r="J9" i="3"/>
  <c r="L9" i="3" s="1"/>
  <c r="B2" i="3"/>
  <c r="B38" i="3"/>
  <c r="B37" i="3"/>
  <c r="B4" i="3"/>
  <c r="B5" i="3"/>
  <c r="B6" i="3"/>
  <c r="B7" i="3"/>
  <c r="B52" i="3"/>
  <c r="B51" i="3"/>
  <c r="B53" i="3"/>
  <c r="B54" i="3"/>
  <c r="B55" i="3"/>
  <c r="B8" i="3"/>
  <c r="B56" i="3"/>
  <c r="B57" i="3"/>
  <c r="B9" i="3"/>
  <c r="B3" i="3"/>
  <c r="H12" i="5"/>
  <c r="J12" i="5" s="1"/>
  <c r="X12" i="5" s="1"/>
  <c r="AP56" i="3" l="1"/>
  <c r="AS56" i="3"/>
  <c r="AP55" i="3"/>
  <c r="AS55" i="3"/>
  <c r="AP8" i="3"/>
  <c r="AS8" i="3"/>
  <c r="AT8" i="3" s="1"/>
  <c r="AS2" i="3"/>
  <c r="AP6" i="3"/>
  <c r="AS6" i="3"/>
  <c r="AP13" i="3"/>
  <c r="AS13" i="3"/>
  <c r="AP38" i="3"/>
  <c r="AS38" i="3"/>
  <c r="AR8" i="3"/>
  <c r="AR56" i="3"/>
  <c r="AT56" i="3" s="1"/>
  <c r="AR55" i="3"/>
  <c r="AT55" i="3" s="1"/>
  <c r="AR6" i="3"/>
  <c r="AR13" i="3"/>
  <c r="AR38" i="3"/>
  <c r="Z51" i="3"/>
  <c r="Z52" i="3"/>
  <c r="AI8" i="3"/>
  <c r="AI2" i="3"/>
  <c r="Z7" i="3"/>
  <c r="Z5" i="3"/>
  <c r="Z9" i="3"/>
  <c r="Z4" i="3"/>
  <c r="AI4" i="3"/>
  <c r="Z57" i="3"/>
  <c r="Z37" i="3"/>
  <c r="Z3" i="3"/>
  <c r="Z54" i="3"/>
  <c r="Z53" i="3"/>
  <c r="AA8" i="3"/>
  <c r="AA55" i="3"/>
  <c r="AI55" i="3"/>
  <c r="AI53" i="3"/>
  <c r="AI6" i="3"/>
  <c r="AA6" i="3"/>
  <c r="AI3" i="3"/>
  <c r="AI56" i="3"/>
  <c r="AA56" i="3"/>
  <c r="AI38" i="3"/>
  <c r="AA38" i="3"/>
  <c r="AI9" i="3"/>
  <c r="AI54" i="3"/>
  <c r="AI52" i="3"/>
  <c r="AI57" i="3"/>
  <c r="AI37" i="3"/>
  <c r="AI5" i="3"/>
  <c r="AI7" i="3"/>
  <c r="AI51" i="3"/>
  <c r="AP3" i="3" l="1"/>
  <c r="AS3" i="3"/>
  <c r="AP37" i="3"/>
  <c r="AS37" i="3"/>
  <c r="AP57" i="3"/>
  <c r="AS57" i="3"/>
  <c r="AP5" i="3"/>
  <c r="AS5" i="3"/>
  <c r="AP7" i="3"/>
  <c r="AS7" i="3"/>
  <c r="AP52" i="3"/>
  <c r="AS52" i="3"/>
  <c r="AP4" i="3"/>
  <c r="AS4" i="3"/>
  <c r="AP9" i="3"/>
  <c r="AS9" i="3"/>
  <c r="AT9" i="3" s="1"/>
  <c r="AP53" i="3"/>
  <c r="AS53" i="3"/>
  <c r="AP54" i="3"/>
  <c r="AS54" i="3"/>
  <c r="AP51" i="3"/>
  <c r="AS51" i="3"/>
  <c r="AT13" i="3"/>
  <c r="AT38" i="3"/>
  <c r="AT6" i="3"/>
  <c r="AA9" i="3"/>
  <c r="AR9" i="3"/>
  <c r="AA52" i="3"/>
  <c r="AR52" i="3"/>
  <c r="AA5" i="3"/>
  <c r="AR5" i="3"/>
  <c r="AA53" i="3"/>
  <c r="AR53" i="3"/>
  <c r="AT53" i="3" s="1"/>
  <c r="AA54" i="3"/>
  <c r="AR54" i="3"/>
  <c r="AT54" i="3" s="1"/>
  <c r="AA51" i="3"/>
  <c r="AR51" i="3"/>
  <c r="AA4" i="3"/>
  <c r="AR4" i="3"/>
  <c r="AT4" i="3" s="1"/>
  <c r="AA3" i="3"/>
  <c r="AR3" i="3"/>
  <c r="AT3" i="3" s="1"/>
  <c r="AA2" i="3"/>
  <c r="AT2" i="3"/>
  <c r="AA7" i="3"/>
  <c r="AR7" i="3"/>
  <c r="AA37" i="3"/>
  <c r="AR37" i="3"/>
  <c r="AT37" i="3" s="1"/>
  <c r="AA57" i="3"/>
  <c r="AR57" i="3"/>
  <c r="E34" i="4"/>
  <c r="E35" i="4"/>
  <c r="E36" i="4"/>
  <c r="E33" i="4"/>
  <c r="F34" i="4"/>
  <c r="F35" i="4"/>
  <c r="F36" i="4"/>
  <c r="F33" i="4"/>
  <c r="S15" i="4"/>
  <c r="T15" i="4" s="1"/>
  <c r="Y3" i="2"/>
  <c r="Y4" i="2"/>
  <c r="Y2" i="2"/>
  <c r="AT7" i="3" l="1"/>
  <c r="AT5" i="3"/>
  <c r="AT52" i="3"/>
  <c r="AT57" i="3"/>
  <c r="AT51" i="3"/>
  <c r="AF7" i="1"/>
  <c r="I28" i="1"/>
  <c r="K28" i="1" s="1"/>
  <c r="I4" i="1"/>
  <c r="K4" i="1" s="1"/>
  <c r="I33" i="1"/>
  <c r="K33" i="1" s="1"/>
  <c r="AC4" i="1"/>
  <c r="F28" i="1"/>
  <c r="F4" i="1"/>
  <c r="F33" i="1"/>
  <c r="AC28" i="1" l="1"/>
  <c r="AC33" i="1"/>
  <c r="O26" i="4"/>
  <c r="R15" i="4"/>
  <c r="D3" i="4"/>
  <c r="D4" i="4"/>
  <c r="D5" i="4"/>
  <c r="D6" i="4"/>
  <c r="D7" i="4"/>
  <c r="D8" i="4"/>
  <c r="D9" i="4"/>
  <c r="D10" i="4"/>
  <c r="D11" i="4"/>
  <c r="D12" i="4"/>
  <c r="D13" i="4"/>
  <c r="D14" i="4"/>
  <c r="E3" i="5"/>
  <c r="E4" i="5"/>
  <c r="E5" i="5"/>
  <c r="E6" i="5"/>
  <c r="E7" i="5"/>
  <c r="E8" i="5"/>
  <c r="E9" i="5"/>
  <c r="E10" i="5"/>
  <c r="E11" i="5"/>
  <c r="E12" i="5"/>
  <c r="E2" i="5"/>
  <c r="G18" i="3"/>
  <c r="AE12" i="5"/>
  <c r="AF12" i="5" s="1"/>
  <c r="AB12" i="5"/>
  <c r="AH12" i="5" l="1"/>
  <c r="Y12" i="5"/>
  <c r="G16" i="3"/>
  <c r="G20" i="3"/>
  <c r="G23" i="3"/>
  <c r="G21" i="3"/>
  <c r="G17" i="3"/>
  <c r="G10" i="3"/>
  <c r="G11" i="3"/>
  <c r="G32" i="3"/>
  <c r="G31" i="3"/>
  <c r="G14" i="3"/>
  <c r="G30" i="3"/>
  <c r="G41" i="3"/>
  <c r="G29" i="3"/>
  <c r="G40" i="3"/>
  <c r="G22" i="3"/>
  <c r="G28" i="3"/>
  <c r="G24" i="3"/>
  <c r="G39" i="3"/>
  <c r="G15" i="3"/>
  <c r="G12" i="3"/>
  <c r="G44" i="3"/>
  <c r="G48" i="3"/>
  <c r="G33" i="3"/>
  <c r="G42" i="3"/>
  <c r="G25" i="3"/>
  <c r="G43" i="3"/>
  <c r="G47" i="3"/>
  <c r="G36" i="3"/>
  <c r="G45" i="3"/>
  <c r="G26" i="3"/>
  <c r="G34" i="3"/>
  <c r="G46" i="3"/>
  <c r="G50" i="3"/>
  <c r="G35" i="3"/>
  <c r="G13" i="3"/>
  <c r="G19" i="3"/>
  <c r="G49" i="3"/>
  <c r="G27" i="3"/>
  <c r="F2" i="2"/>
  <c r="J27" i="3" l="1"/>
  <c r="L27" i="3" s="1"/>
  <c r="F3" i="2"/>
  <c r="F4" i="2"/>
  <c r="F6" i="1"/>
  <c r="F15" i="1"/>
  <c r="F3" i="1"/>
  <c r="F19" i="1"/>
  <c r="F31" i="1"/>
  <c r="F21" i="1"/>
  <c r="F25" i="1"/>
  <c r="F18" i="1"/>
  <c r="F11" i="1"/>
  <c r="F17" i="1"/>
  <c r="F2" i="1"/>
  <c r="F22" i="1"/>
  <c r="F12" i="1"/>
  <c r="F9" i="1"/>
  <c r="F26" i="1"/>
  <c r="F14" i="1"/>
  <c r="F24" i="1"/>
  <c r="F29" i="1"/>
  <c r="F13" i="1"/>
  <c r="F16" i="1"/>
  <c r="F20" i="1"/>
  <c r="F7" i="1"/>
  <c r="F8" i="1"/>
  <c r="F30" i="1"/>
  <c r="F27" i="1"/>
  <c r="F10" i="1"/>
  <c r="F32" i="1"/>
  <c r="F23" i="1"/>
  <c r="F5" i="1"/>
  <c r="AC5" i="1"/>
  <c r="I5" i="1"/>
  <c r="K5" i="1" s="1"/>
  <c r="Z27" i="3" l="1"/>
  <c r="AI27" i="3"/>
  <c r="J50" i="3"/>
  <c r="L50" i="3" s="1"/>
  <c r="Z50" i="3" s="1"/>
  <c r="J49" i="3"/>
  <c r="L49" i="3" s="1"/>
  <c r="Z49" i="3" s="1"/>
  <c r="AC30" i="1"/>
  <c r="AC27" i="1"/>
  <c r="I30" i="1"/>
  <c r="K30" i="1" s="1"/>
  <c r="I27" i="1"/>
  <c r="AC4" i="2"/>
  <c r="AF4" i="2" s="1"/>
  <c r="I4" i="2"/>
  <c r="K4" i="2" s="1"/>
  <c r="AB3" i="5"/>
  <c r="AB10" i="5"/>
  <c r="AP49" i="3" l="1"/>
  <c r="AS49" i="3"/>
  <c r="AP50" i="3"/>
  <c r="AS50" i="3"/>
  <c r="AP27" i="3"/>
  <c r="AS27" i="3" s="1"/>
  <c r="AR49" i="3"/>
  <c r="AR50" i="3"/>
  <c r="AA27" i="3"/>
  <c r="AR27" i="3"/>
  <c r="K27" i="1"/>
  <c r="AA49" i="3"/>
  <c r="AA50" i="3"/>
  <c r="AI50" i="3"/>
  <c r="AI49" i="3"/>
  <c r="Z4" i="2"/>
  <c r="AB6" i="5"/>
  <c r="AB8" i="5"/>
  <c r="AB5" i="5"/>
  <c r="AB2" i="5"/>
  <c r="AB4" i="5"/>
  <c r="AB9" i="5"/>
  <c r="AB7" i="5"/>
  <c r="AB11" i="5"/>
  <c r="AT27" i="3" l="1"/>
  <c r="AT50" i="3"/>
  <c r="AT49" i="3"/>
  <c r="N26" i="4"/>
  <c r="Q15" i="4"/>
  <c r="L26" i="4" l="1"/>
  <c r="M26" i="4"/>
  <c r="V36" i="3" l="1"/>
  <c r="P15" i="4" l="1"/>
  <c r="J41" i="3"/>
  <c r="L41" i="3" s="1"/>
  <c r="Z41" i="3" s="1"/>
  <c r="J39" i="3"/>
  <c r="L39" i="3" s="1"/>
  <c r="Z39" i="3" s="1"/>
  <c r="J47" i="3"/>
  <c r="L47" i="3" s="1"/>
  <c r="Z47" i="3" s="1"/>
  <c r="J43" i="3"/>
  <c r="L43" i="3" s="1"/>
  <c r="Z43" i="3" s="1"/>
  <c r="J19" i="3"/>
  <c r="L19" i="3" s="1"/>
  <c r="Z19" i="3" s="1"/>
  <c r="J28" i="3"/>
  <c r="L28" i="3" s="1"/>
  <c r="Z28" i="3" s="1"/>
  <c r="J16" i="3"/>
  <c r="L16" i="3" s="1"/>
  <c r="Z16" i="3" s="1"/>
  <c r="AC2" i="2"/>
  <c r="AF2" i="2" s="1"/>
  <c r="I2" i="2"/>
  <c r="K2" i="2" s="1"/>
  <c r="AP47" i="3" l="1"/>
  <c r="AS47" i="3"/>
  <c r="AP16" i="3"/>
  <c r="AS16" i="3"/>
  <c r="AP19" i="3"/>
  <c r="AS19" i="3"/>
  <c r="AP39" i="3"/>
  <c r="AS39" i="3"/>
  <c r="AP28" i="3"/>
  <c r="AS28" i="3"/>
  <c r="AP43" i="3"/>
  <c r="AS43" i="3"/>
  <c r="AP41" i="3"/>
  <c r="AS41" i="3"/>
  <c r="AR19" i="3"/>
  <c r="AR43" i="3"/>
  <c r="AR28" i="3"/>
  <c r="AR39" i="3"/>
  <c r="AR16" i="3"/>
  <c r="AR47" i="3"/>
  <c r="AR41" i="3"/>
  <c r="AA39" i="3"/>
  <c r="AA41" i="3"/>
  <c r="AA19" i="3"/>
  <c r="AA16" i="3"/>
  <c r="AI19" i="3"/>
  <c r="AI28" i="3"/>
  <c r="Z2" i="2"/>
  <c r="AA28" i="3"/>
  <c r="AI43" i="3"/>
  <c r="AA47" i="3"/>
  <c r="AI47" i="3"/>
  <c r="AA43" i="3"/>
  <c r="AI41" i="3"/>
  <c r="AI16" i="3"/>
  <c r="AI39" i="3"/>
  <c r="I14" i="1"/>
  <c r="I23" i="1"/>
  <c r="I2" i="1"/>
  <c r="AC14" i="1"/>
  <c r="AC23" i="1"/>
  <c r="AC2" i="1"/>
  <c r="AT41" i="3" l="1"/>
  <c r="AT47" i="3"/>
  <c r="AT28" i="3"/>
  <c r="AT16" i="3"/>
  <c r="AT43" i="3"/>
  <c r="AT39" i="3"/>
  <c r="AT19" i="3"/>
  <c r="K2" i="1"/>
  <c r="K23" i="1"/>
  <c r="K14" i="1"/>
  <c r="O15" i="4" l="1"/>
  <c r="AE2" i="5" l="1"/>
  <c r="AC32" i="1"/>
  <c r="AC25" i="1"/>
  <c r="AC6" i="1"/>
  <c r="AF6" i="1" s="1"/>
  <c r="AC11" i="1"/>
  <c r="AC16" i="1"/>
  <c r="AC20" i="1"/>
  <c r="AC22" i="1"/>
  <c r="AC15" i="1"/>
  <c r="AC31" i="1"/>
  <c r="AC10" i="1"/>
  <c r="AC18" i="1"/>
  <c r="AC17" i="1"/>
  <c r="AC9" i="1"/>
  <c r="AC26" i="1"/>
  <c r="AC29" i="1"/>
  <c r="AC13" i="1"/>
  <c r="AC21" i="1"/>
  <c r="AC19" i="1"/>
  <c r="AC8" i="1"/>
  <c r="AC24" i="1"/>
  <c r="AC7" i="1"/>
  <c r="AC12" i="1"/>
  <c r="AC3" i="1"/>
  <c r="F13" i="4"/>
  <c r="T13" i="4" s="1"/>
  <c r="F12" i="4"/>
  <c r="T12" i="4" s="1"/>
  <c r="H11" i="5"/>
  <c r="J11" i="5" s="1"/>
  <c r="X11" i="5" s="1"/>
  <c r="AE8" i="5"/>
  <c r="AF8" i="5" s="1"/>
  <c r="AC3" i="2"/>
  <c r="AF3" i="2" s="1"/>
  <c r="J17" i="3"/>
  <c r="L17" i="3" s="1"/>
  <c r="Z17" i="3" s="1"/>
  <c r="J34" i="3"/>
  <c r="L34" i="3" s="1"/>
  <c r="Z34" i="3" s="1"/>
  <c r="J48" i="3"/>
  <c r="L48" i="3" s="1"/>
  <c r="Z48" i="3" s="1"/>
  <c r="J33" i="3"/>
  <c r="L33" i="3" s="1"/>
  <c r="Z33" i="3" s="1"/>
  <c r="I3" i="2"/>
  <c r="K3" i="2" s="1"/>
  <c r="AP48" i="3" l="1"/>
  <c r="AS48" i="3"/>
  <c r="AP33" i="3"/>
  <c r="AS33" i="3"/>
  <c r="AP17" i="3"/>
  <c r="AS17" i="3"/>
  <c r="AP34" i="3"/>
  <c r="AS34" i="3"/>
  <c r="AR33" i="3"/>
  <c r="AT33" i="3" s="1"/>
  <c r="AR34" i="3"/>
  <c r="AR17" i="3"/>
  <c r="AR48" i="3"/>
  <c r="AH8" i="5"/>
  <c r="AA33" i="3"/>
  <c r="AA48" i="3"/>
  <c r="AA34" i="3"/>
  <c r="Z3" i="2"/>
  <c r="Y11" i="5"/>
  <c r="AE11" i="5"/>
  <c r="AF11" i="5" s="1"/>
  <c r="AH11" i="5" s="1"/>
  <c r="H8" i="5"/>
  <c r="J8" i="5" s="1"/>
  <c r="X8" i="5" s="1"/>
  <c r="AI33" i="3"/>
  <c r="AA17" i="3"/>
  <c r="AI17" i="3"/>
  <c r="AI48" i="3"/>
  <c r="AI34" i="3"/>
  <c r="AT48" i="3" l="1"/>
  <c r="AT17" i="3"/>
  <c r="AT34" i="3"/>
  <c r="Y8" i="5"/>
  <c r="F3" i="4" l="1"/>
  <c r="T3" i="4" s="1"/>
  <c r="F4" i="4"/>
  <c r="T4" i="4" s="1"/>
  <c r="F5" i="4"/>
  <c r="T5" i="4" s="1"/>
  <c r="F6" i="4"/>
  <c r="T6" i="4" s="1"/>
  <c r="F7" i="4"/>
  <c r="T7" i="4" s="1"/>
  <c r="F8" i="4"/>
  <c r="T8" i="4" s="1"/>
  <c r="F9" i="4"/>
  <c r="T9" i="4" s="1"/>
  <c r="F10" i="4"/>
  <c r="T10" i="4" s="1"/>
  <c r="F11" i="4"/>
  <c r="T11" i="4" s="1"/>
  <c r="F14" i="4"/>
  <c r="T14" i="4" s="1"/>
  <c r="F2" i="4"/>
  <c r="T2" i="4" s="1"/>
  <c r="F26" i="4" l="1"/>
  <c r="Q26" i="4" s="1"/>
  <c r="I26" i="4" l="1"/>
  <c r="H26" i="4"/>
  <c r="J26" i="4" l="1"/>
  <c r="N15" i="4"/>
  <c r="J22" i="3"/>
  <c r="L22" i="3" s="1"/>
  <c r="Z22" i="3" s="1"/>
  <c r="I7" i="1"/>
  <c r="K7" i="1" s="1"/>
  <c r="I21" i="1"/>
  <c r="K21" i="1" s="1"/>
  <c r="I12" i="1"/>
  <c r="K12" i="1" s="1"/>
  <c r="AP22" i="3" l="1"/>
  <c r="AS22" i="3"/>
  <c r="AR22" i="3"/>
  <c r="AI22" i="3"/>
  <c r="AA22" i="3"/>
  <c r="AT22" i="3" l="1"/>
  <c r="I15" i="1"/>
  <c r="K15" i="1" s="1"/>
  <c r="E2" i="12"/>
  <c r="F2" i="12" s="1"/>
  <c r="E3" i="12"/>
  <c r="F3" i="12" s="1"/>
  <c r="E4" i="12"/>
  <c r="F4" i="12" s="1"/>
  <c r="E5" i="12"/>
  <c r="F5" i="12" s="1"/>
  <c r="E6" i="12"/>
  <c r="F6" i="12" s="1"/>
  <c r="E7" i="12"/>
  <c r="F7" i="12" s="1"/>
  <c r="E8" i="12"/>
  <c r="F8" i="12" s="1"/>
  <c r="I11" i="1"/>
  <c r="K11" i="1" s="1"/>
  <c r="AE3" i="5" l="1"/>
  <c r="AF3" i="5" s="1"/>
  <c r="G26" i="4" l="1"/>
  <c r="D26" i="4"/>
  <c r="D19" i="4"/>
  <c r="D20" i="4"/>
  <c r="D21" i="4"/>
  <c r="D22" i="4"/>
  <c r="D23" i="4"/>
  <c r="D24" i="4"/>
  <c r="D25" i="4"/>
  <c r="D18" i="4"/>
  <c r="M15" i="4" l="1"/>
  <c r="D2" i="4" l="1"/>
  <c r="D15" i="4" s="1"/>
  <c r="B29" i="4" l="1"/>
  <c r="H10" i="5"/>
  <c r="H2" i="5"/>
  <c r="H7" i="5"/>
  <c r="H4" i="5"/>
  <c r="H9" i="5"/>
  <c r="H6" i="5"/>
  <c r="H5" i="5"/>
  <c r="H3" i="5"/>
  <c r="J3" i="5" s="1"/>
  <c r="X3" i="5" s="1"/>
  <c r="J13" i="3"/>
  <c r="J29" i="3"/>
  <c r="J30" i="3"/>
  <c r="J11" i="3"/>
  <c r="J23" i="3"/>
  <c r="J31" i="3"/>
  <c r="J24" i="3"/>
  <c r="J14" i="3"/>
  <c r="J21" i="3"/>
  <c r="J12" i="3"/>
  <c r="J36" i="3"/>
  <c r="J40" i="3"/>
  <c r="J20" i="3"/>
  <c r="J25" i="3"/>
  <c r="J15" i="3"/>
  <c r="J32" i="3"/>
  <c r="J45" i="3"/>
  <c r="J35" i="3"/>
  <c r="J46" i="3"/>
  <c r="J42" i="3"/>
  <c r="J44" i="3"/>
  <c r="J18" i="3"/>
  <c r="J26" i="3"/>
  <c r="J10" i="3"/>
  <c r="Y3" i="5" l="1"/>
  <c r="I8" i="1"/>
  <c r="K8" i="1" s="1"/>
  <c r="I10" i="1"/>
  <c r="K10" i="1" s="1"/>
  <c r="I18" i="1"/>
  <c r="K18" i="1" s="1"/>
  <c r="I26" i="1"/>
  <c r="K26" i="1" s="1"/>
  <c r="I25" i="1"/>
  <c r="K25" i="1" s="1"/>
  <c r="I3" i="1"/>
  <c r="I9" i="1"/>
  <c r="K9" i="1" s="1"/>
  <c r="I13" i="1"/>
  <c r="K13" i="1" s="1"/>
  <c r="I22" i="1"/>
  <c r="K22" i="1" s="1"/>
  <c r="I6" i="1"/>
  <c r="K6" i="1" s="1"/>
  <c r="I31" i="1"/>
  <c r="K31" i="1" s="1"/>
  <c r="I19" i="1"/>
  <c r="K19" i="1" s="1"/>
  <c r="I32" i="1"/>
  <c r="K32" i="1" s="1"/>
  <c r="I16" i="1"/>
  <c r="K16" i="1" s="1"/>
  <c r="I20" i="1"/>
  <c r="K20" i="1" s="1"/>
  <c r="I24" i="1"/>
  <c r="K24" i="1" s="1"/>
  <c r="I17" i="1"/>
  <c r="K17" i="1" s="1"/>
  <c r="I29" i="1"/>
  <c r="K29" i="1" s="1"/>
  <c r="AE4" i="5"/>
  <c r="AE9" i="5"/>
  <c r="AF9" i="5" s="1"/>
  <c r="AE6" i="5"/>
  <c r="AF6" i="5" s="1"/>
  <c r="AE10" i="5"/>
  <c r="AF10" i="5" s="1"/>
  <c r="AF2" i="5"/>
  <c r="AH2" i="5" s="1"/>
  <c r="AE7" i="5"/>
  <c r="AF7" i="5" s="1"/>
  <c r="AE5" i="5"/>
  <c r="AF5" i="5" s="1"/>
  <c r="K3" i="1" l="1"/>
  <c r="D29" i="4"/>
  <c r="N29" i="4" s="1"/>
  <c r="J6" i="5"/>
  <c r="X6" i="5" s="1"/>
  <c r="J10" i="5"/>
  <c r="X10" i="5" s="1"/>
  <c r="J2" i="5"/>
  <c r="X2" i="5" s="1"/>
  <c r="J4" i="5"/>
  <c r="X4" i="5" s="1"/>
  <c r="J9" i="5"/>
  <c r="X9" i="5" s="1"/>
  <c r="J7" i="5"/>
  <c r="X7" i="5" s="1"/>
  <c r="J5" i="5"/>
  <c r="X5" i="5" s="1"/>
  <c r="L10" i="3"/>
  <c r="Z10" i="3" s="1"/>
  <c r="L36" i="3"/>
  <c r="Z36" i="3" s="1"/>
  <c r="L32" i="3"/>
  <c r="Z32" i="3" s="1"/>
  <c r="L18" i="3"/>
  <c r="Z18" i="3" s="1"/>
  <c r="L40" i="3"/>
  <c r="Z40" i="3" s="1"/>
  <c r="L26" i="3"/>
  <c r="Z26" i="3" s="1"/>
  <c r="L30" i="3"/>
  <c r="Z30" i="3" s="1"/>
  <c r="L42" i="3"/>
  <c r="Z42" i="3" s="1"/>
  <c r="L20" i="3"/>
  <c r="Z20" i="3" s="1"/>
  <c r="L44" i="3"/>
  <c r="Z44" i="3" s="1"/>
  <c r="L24" i="3"/>
  <c r="Z24" i="3" s="1"/>
  <c r="L45" i="3"/>
  <c r="Z45" i="3" s="1"/>
  <c r="L21" i="3"/>
  <c r="Z21" i="3" s="1"/>
  <c r="L12" i="3"/>
  <c r="Z12" i="3" s="1"/>
  <c r="L29" i="3"/>
  <c r="Z29" i="3" s="1"/>
  <c r="L35" i="3"/>
  <c r="Z35" i="3" s="1"/>
  <c r="L14" i="3"/>
  <c r="Z14" i="3" s="1"/>
  <c r="L46" i="3"/>
  <c r="Z46" i="3" s="1"/>
  <c r="L11" i="3"/>
  <c r="Z11" i="3" s="1"/>
  <c r="L23" i="3"/>
  <c r="Z23" i="3" s="1"/>
  <c r="L31" i="3"/>
  <c r="Z31" i="3" s="1"/>
  <c r="L25" i="3"/>
  <c r="Z25" i="3" s="1"/>
  <c r="L15" i="3"/>
  <c r="Z15" i="3" s="1"/>
  <c r="AF4" i="5"/>
  <c r="K26" i="4"/>
  <c r="AP12" i="3" l="1"/>
  <c r="AS12" i="3" s="1"/>
  <c r="AP29" i="3"/>
  <c r="AS29" i="3"/>
  <c r="AP25" i="3"/>
  <c r="AS25" i="3"/>
  <c r="AP21" i="3"/>
  <c r="AS21" i="3"/>
  <c r="AP30" i="3"/>
  <c r="AS30" i="3"/>
  <c r="AP36" i="3"/>
  <c r="AS36" i="3" s="1"/>
  <c r="AP15" i="3"/>
  <c r="AS15" i="3"/>
  <c r="AP31" i="3"/>
  <c r="AS31" i="3"/>
  <c r="AP42" i="3"/>
  <c r="AS42" i="3"/>
  <c r="AP26" i="3"/>
  <c r="AS26" i="3" s="1"/>
  <c r="AP10" i="3"/>
  <c r="AS10" i="3"/>
  <c r="AP24" i="3"/>
  <c r="AS24" i="3"/>
  <c r="AP23" i="3"/>
  <c r="AS23" i="3" s="1"/>
  <c r="AP46" i="3"/>
  <c r="AS46" i="3"/>
  <c r="AP14" i="3"/>
  <c r="AS14" i="3"/>
  <c r="AP40" i="3"/>
  <c r="AS40" i="3"/>
  <c r="AP32" i="3"/>
  <c r="AS32" i="3"/>
  <c r="AP45" i="3"/>
  <c r="AS45" i="3"/>
  <c r="AP44" i="3"/>
  <c r="AS44" i="3"/>
  <c r="AP20" i="3"/>
  <c r="AS20" i="3" s="1"/>
  <c r="AP11" i="3"/>
  <c r="AS11" i="3" s="1"/>
  <c r="AP35" i="3"/>
  <c r="AS35" i="3"/>
  <c r="AP18" i="3"/>
  <c r="AS18" i="3"/>
  <c r="AR15" i="3"/>
  <c r="AR36" i="3"/>
  <c r="AR24" i="3"/>
  <c r="AR11" i="3"/>
  <c r="AR12" i="3"/>
  <c r="AR10" i="3"/>
  <c r="AR25" i="3"/>
  <c r="AR20" i="3"/>
  <c r="AR26" i="3"/>
  <c r="AR29" i="3"/>
  <c r="AR45" i="3"/>
  <c r="AR31" i="3"/>
  <c r="AR23" i="3"/>
  <c r="AR30" i="3"/>
  <c r="AR14" i="3"/>
  <c r="AR40" i="3"/>
  <c r="AR32" i="3"/>
  <c r="AR21" i="3"/>
  <c r="AR44" i="3"/>
  <c r="AR42" i="3"/>
  <c r="AR46" i="3"/>
  <c r="AR35" i="3"/>
  <c r="AR18" i="3"/>
  <c r="Y9" i="5"/>
  <c r="Y4" i="5"/>
  <c r="Y2" i="5"/>
  <c r="Y10" i="5"/>
  <c r="Y6" i="5"/>
  <c r="Y5" i="5"/>
  <c r="Y7" i="5"/>
  <c r="AA35" i="3"/>
  <c r="AA31" i="3"/>
  <c r="AA30" i="3"/>
  <c r="AA18" i="3"/>
  <c r="AA42" i="3"/>
  <c r="AA25" i="3"/>
  <c r="AA40" i="3"/>
  <c r="AA45" i="3"/>
  <c r="AA32" i="3"/>
  <c r="AA15" i="3"/>
  <c r="AA26" i="3"/>
  <c r="AA11" i="3"/>
  <c r="AA36" i="3"/>
  <c r="AA12" i="3"/>
  <c r="AA24" i="3"/>
  <c r="AA14" i="3"/>
  <c r="AA29" i="3"/>
  <c r="AA23" i="3"/>
  <c r="AA13" i="3"/>
  <c r="AA20" i="3"/>
  <c r="AA21" i="3"/>
  <c r="AA46" i="3"/>
  <c r="AA44" i="3"/>
  <c r="AI23" i="3"/>
  <c r="AI40" i="3"/>
  <c r="AI12" i="3"/>
  <c r="AI18" i="3"/>
  <c r="AI11" i="3"/>
  <c r="AI45" i="3"/>
  <c r="AI29" i="3"/>
  <c r="AI24" i="3"/>
  <c r="AI15" i="3"/>
  <c r="AI13" i="3"/>
  <c r="AI32" i="3"/>
  <c r="AI36" i="3"/>
  <c r="AI21" i="3"/>
  <c r="AI44" i="3"/>
  <c r="AI30" i="3"/>
  <c r="AI31" i="3"/>
  <c r="AI26" i="3"/>
  <c r="AI46" i="3"/>
  <c r="AI20" i="3"/>
  <c r="AI14" i="3"/>
  <c r="AI42" i="3"/>
  <c r="AI25" i="3"/>
  <c r="AI35" i="3"/>
  <c r="AT44" i="3" l="1"/>
  <c r="AT10" i="3"/>
  <c r="AT45" i="3"/>
  <c r="AT12" i="3"/>
  <c r="AT31" i="3"/>
  <c r="AT35" i="3"/>
  <c r="AT11" i="3"/>
  <c r="AT32" i="3"/>
  <c r="AT29" i="3"/>
  <c r="AT46" i="3"/>
  <c r="AT26" i="3"/>
  <c r="AT24" i="3"/>
  <c r="AT42" i="3"/>
  <c r="AT30" i="3"/>
  <c r="AT20" i="3"/>
  <c r="AT36" i="3"/>
  <c r="AT21" i="3"/>
  <c r="AT40" i="3"/>
  <c r="AT14" i="3"/>
  <c r="AT23" i="3"/>
  <c r="AT25" i="3"/>
  <c r="AT15" i="3"/>
  <c r="AD18" i="3"/>
  <c r="AQ18" i="3" s="1"/>
  <c r="AT18" i="3" l="1"/>
  <c r="L15" i="4"/>
  <c r="AH10" i="5" l="1"/>
  <c r="AH7" i="5"/>
  <c r="AH4" i="5"/>
  <c r="AH9" i="5"/>
  <c r="AH6" i="5"/>
  <c r="AH5" i="5"/>
  <c r="AH3" i="5"/>
  <c r="H15" i="4" l="1"/>
  <c r="I15" i="4"/>
  <c r="J15" i="4"/>
  <c r="G15" i="4"/>
  <c r="K15" i="4" l="1"/>
  <c r="AI10" i="3" l="1"/>
  <c r="AA10" i="3"/>
  <c r="Y31" i="1" l="1"/>
  <c r="Y4" i="1"/>
  <c r="Y27" i="1"/>
  <c r="Y33" i="1"/>
  <c r="Y23" i="1"/>
  <c r="Y26" i="1"/>
  <c r="Y30" i="1"/>
  <c r="Y13" i="1"/>
  <c r="Y32" i="1"/>
  <c r="Y20" i="1"/>
  <c r="Y10" i="1"/>
  <c r="Y12" i="1"/>
  <c r="Y29" i="1"/>
  <c r="Z33" i="1" l="1"/>
  <c r="AF33" i="1"/>
  <c r="Z29" i="1"/>
  <c r="AF29" i="1"/>
  <c r="AF12" i="1"/>
  <c r="Z12" i="1"/>
  <c r="AF20" i="1"/>
  <c r="Z20" i="1"/>
  <c r="AF10" i="1"/>
  <c r="Z10" i="1"/>
  <c r="AF32" i="1"/>
  <c r="Z32" i="1"/>
  <c r="AF13" i="1"/>
  <c r="Z13" i="1"/>
  <c r="AF30" i="1"/>
  <c r="Z30" i="1"/>
  <c r="AF26" i="1"/>
  <c r="Z26" i="1"/>
  <c r="Z23" i="1"/>
  <c r="AF23" i="1"/>
  <c r="Z27" i="1"/>
  <c r="AF27" i="1"/>
  <c r="Z4" i="1"/>
  <c r="AF4" i="1"/>
  <c r="Y28" i="1"/>
  <c r="AF31" i="1"/>
  <c r="Z31" i="1"/>
  <c r="Z28" i="1" l="1"/>
  <c r="AF28" i="1"/>
  <c r="Y19" i="1"/>
  <c r="Y8" i="1"/>
  <c r="Y5" i="1"/>
  <c r="Y15" i="1"/>
  <c r="Y25" i="1"/>
  <c r="Y22" i="1"/>
  <c r="Y24" i="1"/>
  <c r="Y16" i="1"/>
  <c r="AF22" i="1" l="1"/>
  <c r="Z22" i="1"/>
  <c r="AF25" i="1"/>
  <c r="Z25" i="1"/>
  <c r="Y3" i="1"/>
  <c r="Y2" i="1"/>
  <c r="Z15" i="1"/>
  <c r="AF15" i="1"/>
  <c r="AF16" i="1"/>
  <c r="Z16" i="1"/>
  <c r="Z5" i="1"/>
  <c r="AF5" i="1"/>
  <c r="AF19" i="1"/>
  <c r="Z19" i="1"/>
  <c r="AF24" i="1"/>
  <c r="Z24" i="1"/>
  <c r="AF8" i="1"/>
  <c r="Z8" i="1"/>
  <c r="Y6" i="1"/>
  <c r="Y21" i="1"/>
  <c r="Y17" i="1"/>
  <c r="Y9" i="1"/>
  <c r="Y14" i="1"/>
  <c r="Y18" i="1"/>
  <c r="Z14" i="1" l="1"/>
  <c r="AF14" i="1"/>
  <c r="Y7" i="1"/>
  <c r="AF21" i="1"/>
  <c r="Z21" i="1"/>
  <c r="Z2" i="1"/>
  <c r="AF18" i="1"/>
  <c r="Z18" i="1"/>
  <c r="AF3" i="1"/>
  <c r="Z3" i="1"/>
  <c r="AF9" i="1"/>
  <c r="Z9" i="1"/>
  <c r="AF17" i="1"/>
  <c r="Z17" i="1"/>
  <c r="Z6" i="1"/>
  <c r="Z7" i="1" l="1"/>
  <c r="Y11" i="1" l="1"/>
  <c r="Z11" i="1" l="1"/>
  <c r="AF11" i="1" l="1"/>
  <c r="AV10" i="3"/>
  <c r="AV9" i="3"/>
  <c r="AV8" i="3"/>
  <c r="AV7" i="3"/>
  <c r="AV6" i="3"/>
  <c r="AV5" i="3"/>
  <c r="AV4" i="3"/>
  <c r="AV3" i="3"/>
  <c r="AV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<sst xmlns="http://schemas.openxmlformats.org/spreadsheetml/2006/main" count="1564" uniqueCount="771">
  <si>
    <t xml:space="preserve">NAME </t>
  </si>
  <si>
    <t>BRANCH</t>
  </si>
  <si>
    <t xml:space="preserve">ROLE </t>
  </si>
  <si>
    <t>CAROLINE GITAU</t>
  </si>
  <si>
    <t>ECOBANK</t>
  </si>
  <si>
    <t>SCO</t>
  </si>
  <si>
    <t>ANNASTANCIA MUE</t>
  </si>
  <si>
    <t>CO</t>
  </si>
  <si>
    <t>ESTHER WANJIKU KIORIA</t>
  </si>
  <si>
    <t>ELDORET</t>
  </si>
  <si>
    <t>FO</t>
  </si>
  <si>
    <t>HELLEN MIGOYE</t>
  </si>
  <si>
    <t>HOMABAY</t>
  </si>
  <si>
    <t>KISUMU</t>
  </si>
  <si>
    <t>JOSEPHINE BEATRICE NYAMWAYA</t>
  </si>
  <si>
    <t>WINNIE AYUMA OYUGI</t>
  </si>
  <si>
    <t>JANE KARIAINTO</t>
  </si>
  <si>
    <t>KITENGELA</t>
  </si>
  <si>
    <t>CHARITY MWENDWA</t>
  </si>
  <si>
    <t>KITUI</t>
  </si>
  <si>
    <t>MOMBASA</t>
  </si>
  <si>
    <t>MITCHEL SALOME</t>
  </si>
  <si>
    <t>DAMARIS WAKIO</t>
  </si>
  <si>
    <t>DAISY KIBET</t>
  </si>
  <si>
    <t>NAKURU</t>
  </si>
  <si>
    <t>JACKLINE KATHURE MURIITHI</t>
  </si>
  <si>
    <t>PENSION</t>
  </si>
  <si>
    <t>MODESTY LIMO</t>
  </si>
  <si>
    <t>WEMA MAUREEN</t>
  </si>
  <si>
    <t>SUSAN WANJOHI</t>
  </si>
  <si>
    <t>THIKA</t>
  </si>
  <si>
    <t>JANE KARIMI</t>
  </si>
  <si>
    <t>ABM</t>
  </si>
  <si>
    <t>YVONNE MWIKALI</t>
  </si>
  <si>
    <t>TRADE CENTER</t>
  </si>
  <si>
    <t>NORAH ANGOTE</t>
  </si>
  <si>
    <t>FELISTUS MUTHEU</t>
  </si>
  <si>
    <t>VOI</t>
  </si>
  <si>
    <t>TL</t>
  </si>
  <si>
    <t xml:space="preserve">JANUARY </t>
  </si>
  <si>
    <t xml:space="preserve"> QUARTER FOUR TARGET</t>
  </si>
  <si>
    <t>DECEMBER</t>
  </si>
  <si>
    <t>NOVEMBER</t>
  </si>
  <si>
    <t>OCTOBER</t>
  </si>
  <si>
    <t>ROSELINE WANGU</t>
  </si>
  <si>
    <t>RACHAEL MBITHE</t>
  </si>
  <si>
    <t>ALICE LOMO</t>
  </si>
  <si>
    <t>FRANSISCA JERUTICH</t>
  </si>
  <si>
    <t>ROBERT GABRIEL</t>
  </si>
  <si>
    <t>STEVE HABWE</t>
  </si>
  <si>
    <t>RICHARD KABINGA SINGOMBE</t>
  </si>
  <si>
    <t>STEPHENE NYAUMA</t>
  </si>
  <si>
    <t>FRIDAH MWONDO</t>
  </si>
  <si>
    <t>GLADYS PAUL</t>
  </si>
  <si>
    <t>IRENE MUSYOKI</t>
  </si>
  <si>
    <t>JANICE KAWIRA</t>
  </si>
  <si>
    <t>STEVE ODONGO</t>
  </si>
  <si>
    <t>LUKAS MANAMAWE</t>
  </si>
  <si>
    <t>SELINA NALIAKA</t>
  </si>
  <si>
    <t>BENARD OGELLO</t>
  </si>
  <si>
    <t>CAROLINE MUTILE</t>
  </si>
  <si>
    <t>SAMWEL MUTINDA</t>
  </si>
  <si>
    <t>WINFRED MAKENA</t>
  </si>
  <si>
    <t>SALOME MWANDIRI</t>
  </si>
  <si>
    <t>ELIJAH NGILA</t>
  </si>
  <si>
    <t>DANIEL MUGUNA</t>
  </si>
  <si>
    <t>CLAIRE WANGECHI</t>
  </si>
  <si>
    <t>JEREMIAH KAMULA</t>
  </si>
  <si>
    <t>TOTAL</t>
  </si>
  <si>
    <t>CALL CENTER AGENT</t>
  </si>
  <si>
    <t>FAITH NJERI</t>
  </si>
  <si>
    <t>CORAZON CHECKOFF</t>
  </si>
  <si>
    <t>MACLINE GATI</t>
  </si>
  <si>
    <t>CHRISTINE OIRA</t>
  </si>
  <si>
    <t>EVELYN ANGAYWA</t>
  </si>
  <si>
    <t>MONICAH CHEPCHIRCHIR</t>
  </si>
  <si>
    <t>BRIAN ODUOR</t>
  </si>
  <si>
    <t>THOMAS ONYIKWA</t>
  </si>
  <si>
    <t>MCL NO</t>
  </si>
  <si>
    <t>MCL037</t>
  </si>
  <si>
    <t>MCL110</t>
  </si>
  <si>
    <t>MCL154</t>
  </si>
  <si>
    <t>MCL189</t>
  </si>
  <si>
    <t>MCL208</t>
  </si>
  <si>
    <t>MCL258</t>
  </si>
  <si>
    <t>MCL263</t>
  </si>
  <si>
    <t>MCL268</t>
  </si>
  <si>
    <t>MCL309</t>
  </si>
  <si>
    <t>MCL399</t>
  </si>
  <si>
    <t>MCL443</t>
  </si>
  <si>
    <t>MCL454</t>
  </si>
  <si>
    <t>MCL526</t>
  </si>
  <si>
    <t>MCL572</t>
  </si>
  <si>
    <t>MCL590</t>
  </si>
  <si>
    <t>MCL600</t>
  </si>
  <si>
    <t>MCL604</t>
  </si>
  <si>
    <t>MCL697</t>
  </si>
  <si>
    <t>MCL706</t>
  </si>
  <si>
    <t>MCL718</t>
  </si>
  <si>
    <t>MCL721</t>
  </si>
  <si>
    <t>MCL763</t>
  </si>
  <si>
    <t>MCL766</t>
  </si>
  <si>
    <t>MCL816</t>
  </si>
  <si>
    <t>MCL850</t>
  </si>
  <si>
    <t>MCL889</t>
  </si>
  <si>
    <t>MCL900</t>
  </si>
  <si>
    <t>MCL956</t>
  </si>
  <si>
    <t>MCL958</t>
  </si>
  <si>
    <t>MCL991</t>
  </si>
  <si>
    <t>MCL1001</t>
  </si>
  <si>
    <t>MCL1002</t>
  </si>
  <si>
    <t>SALES CODE</t>
  </si>
  <si>
    <t>S01271</t>
  </si>
  <si>
    <t>S00736</t>
  </si>
  <si>
    <t>S020091</t>
  </si>
  <si>
    <t>S00383</t>
  </si>
  <si>
    <t>S01349</t>
  </si>
  <si>
    <t>S01513</t>
  </si>
  <si>
    <t>S01723</t>
  </si>
  <si>
    <t>S01595</t>
  </si>
  <si>
    <t>SALES CODES</t>
  </si>
  <si>
    <t>TL0009</t>
  </si>
  <si>
    <t>TL0041</t>
  </si>
  <si>
    <t>TL0152</t>
  </si>
  <si>
    <t>S00404</t>
  </si>
  <si>
    <t>TL0002</t>
  </si>
  <si>
    <t>S00061</t>
  </si>
  <si>
    <t>S01233</t>
  </si>
  <si>
    <t>TL12346</t>
  </si>
  <si>
    <t>TL0178</t>
  </si>
  <si>
    <t>TL0203</t>
  </si>
  <si>
    <t>TL0138</t>
  </si>
  <si>
    <t>TL0180</t>
  </si>
  <si>
    <t>S01223</t>
  </si>
  <si>
    <t>TL0195</t>
  </si>
  <si>
    <t>TL0198</t>
  </si>
  <si>
    <t>TL0101</t>
  </si>
  <si>
    <t>S02043</t>
  </si>
  <si>
    <t>S01821</t>
  </si>
  <si>
    <t>S00597</t>
  </si>
  <si>
    <t>S01697</t>
  </si>
  <si>
    <t>S01750</t>
  </si>
  <si>
    <t>S00218</t>
  </si>
  <si>
    <t>S00207</t>
  </si>
  <si>
    <t>S01782</t>
  </si>
  <si>
    <t>S01267</t>
  </si>
  <si>
    <t>S01809</t>
  </si>
  <si>
    <t>S01177</t>
  </si>
  <si>
    <t>S00466</t>
  </si>
  <si>
    <t>S00185</t>
  </si>
  <si>
    <t>S01784</t>
  </si>
  <si>
    <t>S01914</t>
  </si>
  <si>
    <t>S01300</t>
  </si>
  <si>
    <t>TOTAL PORTORLIO</t>
  </si>
  <si>
    <t xml:space="preserve">ARREAS </t>
  </si>
  <si>
    <t>PRINCIPAL</t>
  </si>
  <si>
    <t>PAR</t>
  </si>
  <si>
    <t>S00050</t>
  </si>
  <si>
    <t>TL3008</t>
  </si>
  <si>
    <t>COMMISION</t>
  </si>
  <si>
    <t>S00142</t>
  </si>
  <si>
    <t>TL0147</t>
  </si>
  <si>
    <t>TL0057</t>
  </si>
  <si>
    <t>S00233</t>
  </si>
  <si>
    <t>%ACHIEVED</t>
  </si>
  <si>
    <t>TARGET</t>
  </si>
  <si>
    <t>FEBRUARY</t>
  </si>
  <si>
    <t>VALUATION</t>
  </si>
  <si>
    <t>S00567</t>
  </si>
  <si>
    <t>S00074</t>
  </si>
  <si>
    <t xml:space="preserve">PENDING FULL BOOKINGS </t>
  </si>
  <si>
    <t>MAURICE CERULLO</t>
  </si>
  <si>
    <t>CYRUS MUTHEMBA</t>
  </si>
  <si>
    <t xml:space="preserve">MONTHLY TARGET </t>
  </si>
  <si>
    <t>MCL286</t>
  </si>
  <si>
    <t>MORRIS MUGALO</t>
  </si>
  <si>
    <t>MCL1007</t>
  </si>
  <si>
    <t>HAAVIAH ODONGO</t>
  </si>
  <si>
    <t>MCL476</t>
  </si>
  <si>
    <t>MCL453</t>
  </si>
  <si>
    <t>TL0243</t>
  </si>
  <si>
    <t>TL0067</t>
  </si>
  <si>
    <t>TL0205</t>
  </si>
  <si>
    <t>MTD TARGET</t>
  </si>
  <si>
    <t xml:space="preserve">MANAGER </t>
  </si>
  <si>
    <t>BENSON AGUNDA</t>
  </si>
  <si>
    <t>MIRRIAM WAMBUI</t>
  </si>
  <si>
    <t>BENEDICT NYALO</t>
  </si>
  <si>
    <t>ABEDNEGO MUNYAO</t>
  </si>
  <si>
    <t xml:space="preserve">RSM NAME </t>
  </si>
  <si>
    <t>BUYOFFS</t>
  </si>
  <si>
    <t>NYANZA REGION</t>
  </si>
  <si>
    <t>NAIROBI REGION</t>
  </si>
  <si>
    <t>RIFT VALLEY REGION</t>
  </si>
  <si>
    <t>LOWER EASTERN</t>
  </si>
  <si>
    <t>COASTAL  REGION</t>
  </si>
  <si>
    <t>MOUNT KENYA REGION</t>
  </si>
  <si>
    <t>EASTERN REGION</t>
  </si>
  <si>
    <t>WESTERN REGION</t>
  </si>
  <si>
    <t>MCL CHECKOFF</t>
  </si>
  <si>
    <t>RSM</t>
  </si>
  <si>
    <t>CHEPTOO SHARON</t>
  </si>
  <si>
    <t>OGADA JOSEPHAT</t>
  </si>
  <si>
    <t>MCL835</t>
  </si>
  <si>
    <t>MCL899</t>
  </si>
  <si>
    <t>MCL961</t>
  </si>
  <si>
    <t>MCL406</t>
  </si>
  <si>
    <t>MCL925</t>
  </si>
  <si>
    <t>MCL642</t>
  </si>
  <si>
    <t>MCL425</t>
  </si>
  <si>
    <t>MCL911</t>
  </si>
  <si>
    <t xml:space="preserve">ARREARS </t>
  </si>
  <si>
    <t>CHANGES</t>
  </si>
  <si>
    <t>MWANANCHI CREDIT LIMITED</t>
  </si>
  <si>
    <t xml:space="preserve">PRINCIPAL OUTSTANDING </t>
  </si>
  <si>
    <t>NEW SALES ABOVE TARGET</t>
  </si>
  <si>
    <t>%ACHIEVED ON TOTAL SALES</t>
  </si>
  <si>
    <t>LOAN TYPE</t>
  </si>
  <si>
    <t>WEEKEND</t>
  </si>
  <si>
    <t>UNSECURED</t>
  </si>
  <si>
    <t>TITLE DEED</t>
  </si>
  <si>
    <t>CHECKOFF</t>
  </si>
  <si>
    <t>TRADE FINANCE</t>
  </si>
  <si>
    <t>LOGBOOK</t>
  </si>
  <si>
    <t>LPO FINANCING</t>
  </si>
  <si>
    <t>ASSET FINANCE</t>
  </si>
  <si>
    <t>IMPORT FINANCE</t>
  </si>
  <si>
    <t>STAFF LOAN</t>
  </si>
  <si>
    <t>BODA BODA</t>
  </si>
  <si>
    <t>CHEQUE DISCOUNTING</t>
  </si>
  <si>
    <t>INSURANCE</t>
  </si>
  <si>
    <t>DATE</t>
  </si>
  <si>
    <t>NEW NORMAL SALES</t>
  </si>
  <si>
    <t>MARCH</t>
  </si>
  <si>
    <t>DAILY</t>
  </si>
  <si>
    <t>START DATE</t>
  </si>
  <si>
    <t>TODAY</t>
  </si>
  <si>
    <t>TOTAL SALES  PLUS FULL BOKING</t>
  </si>
  <si>
    <t>CALL CENTER</t>
  </si>
  <si>
    <t>NELSON GITAU</t>
  </si>
  <si>
    <t>JANUARY</t>
  </si>
  <si>
    <t>CAR SALE</t>
  </si>
  <si>
    <t>CAR REG</t>
  </si>
  <si>
    <t>MODEL</t>
  </si>
  <si>
    <t>NAME</t>
  </si>
  <si>
    <t>AMOUNT</t>
  </si>
  <si>
    <t>NISSAN MURANO</t>
  </si>
  <si>
    <t>ELIZABETH MUSYOKI</t>
  </si>
  <si>
    <t>KCF 898G</t>
  </si>
  <si>
    <t>EICHER TRUCK</t>
  </si>
  <si>
    <t>THOMAS KIPTUM KOECH</t>
  </si>
  <si>
    <t>KCW 379R</t>
  </si>
  <si>
    <t>NISSAN MARCH</t>
  </si>
  <si>
    <t>RUTH KATHAMBI MBINGA</t>
  </si>
  <si>
    <t>KAZ 976E</t>
  </si>
  <si>
    <t>TOYOTA HIACE</t>
  </si>
  <si>
    <t>KCU 398P</t>
  </si>
  <si>
    <t>NISSAN JUKE</t>
  </si>
  <si>
    <t>KHMA 743E</t>
  </si>
  <si>
    <t>EXCAVATOR KOMATSU</t>
  </si>
  <si>
    <t>MARTIN WAITHAKA MUEMA</t>
  </si>
  <si>
    <t>                                                      5/3/2024</t>
  </si>
  <si>
    <t>LAWRENCE GACHUA MACHARIA</t>
  </si>
  <si>
    <t>KCU 949G</t>
  </si>
  <si>
    <t>TOYOTA NOAH</t>
  </si>
  <si>
    <t xml:space="preserve">TEAM MEMBERS </t>
  </si>
  <si>
    <t>LAURYNE MUKULU</t>
  </si>
  <si>
    <t>DUNCAN OJIAMBO</t>
  </si>
  <si>
    <t>RELEASE</t>
  </si>
  <si>
    <t>AMOUNT PAID</t>
  </si>
  <si>
    <t>KCM 215K</t>
  </si>
  <si>
    <t>TOYOTA PREMIO</t>
  </si>
  <si>
    <t>JAMES NUGU NGUNG'U</t>
  </si>
  <si>
    <t>Simon Karongo Kamau</t>
  </si>
  <si>
    <t>KBV 925Y</t>
  </si>
  <si>
    <t>NISSAN PRESAGE</t>
  </si>
  <si>
    <t>WILLYS ODHIAMBO OKWARO</t>
  </si>
  <si>
    <t>KDM 933E</t>
  </si>
  <si>
    <t>TOYOTA COASTER BUS</t>
  </si>
  <si>
    <t>ANTHONY MTEKE MDACHI</t>
  </si>
  <si>
    <t>MOMBSA</t>
  </si>
  <si>
    <t>KDJ 540J</t>
  </si>
  <si>
    <t>DEFENDER</t>
  </si>
  <si>
    <t>BONIFACE WAMBUGU WANYIRI</t>
  </si>
  <si>
    <t xml:space="preserve">KCJ 361X </t>
  </si>
  <si>
    <t>FAW TRUCK</t>
  </si>
  <si>
    <t>WILLIAM MWITA ABED MAROA</t>
  </si>
  <si>
    <t>KCE 139T</t>
  </si>
  <si>
    <t>AUDI A4</t>
  </si>
  <si>
    <t>JACOB KAZUNGU</t>
  </si>
  <si>
    <t>KDM 309J</t>
  </si>
  <si>
    <t>MAZDA ATENZA</t>
  </si>
  <si>
    <t>Edmond musali mwendwa</t>
  </si>
  <si>
    <t>KCJ 550U</t>
  </si>
  <si>
    <t>LANDCRUISER V8</t>
  </si>
  <si>
    <t>FRANCIS MUHIKA</t>
  </si>
  <si>
    <t>KDB 530W</t>
  </si>
  <si>
    <t>Toyota Axio</t>
  </si>
  <si>
    <t>RACHAEL NYARANGI SIMEKA</t>
  </si>
  <si>
    <t>KCX 357U</t>
  </si>
  <si>
    <t>MITSUBISHI RVR</t>
  </si>
  <si>
    <t>MARY WANJIRU NJORAA</t>
  </si>
  <si>
    <t>S02125</t>
  </si>
  <si>
    <t>MTD</t>
  </si>
  <si>
    <t>DAILY TARGET</t>
  </si>
  <si>
    <t>PARTIALLY PAID</t>
  </si>
  <si>
    <t>FULLY PAID</t>
  </si>
  <si>
    <t>OVER PAID</t>
  </si>
  <si>
    <t>TOTAL COLLECTIONS</t>
  </si>
  <si>
    <t>PRODUCT</t>
  </si>
  <si>
    <t>USER NAME</t>
  </si>
  <si>
    <t>JOHN NJORO</t>
  </si>
  <si>
    <t>JOSEPH KAREKO</t>
  </si>
  <si>
    <t>ESTHER NYAMBURA</t>
  </si>
  <si>
    <t>WYCLIFFE KITHEKA</t>
  </si>
  <si>
    <t>ENOCK JUMA</t>
  </si>
  <si>
    <t>ANTHONY MUNG'ARA</t>
  </si>
  <si>
    <t>JAPHET MOSBEI</t>
  </si>
  <si>
    <t xml:space="preserve">TOTAL COLLECTIONS </t>
  </si>
  <si>
    <t>TOTAL ACCOUNTS</t>
  </si>
  <si>
    <t>% ACHIEVED</t>
  </si>
  <si>
    <t xml:space="preserve">KCX 263N </t>
  </si>
  <si>
    <t xml:space="preserve">ENOS NJELI KUYA </t>
  </si>
  <si>
    <t>ELSA AKINYI  OLWANDA</t>
  </si>
  <si>
    <t>KBZ 776F</t>
  </si>
  <si>
    <t> HINO BUS</t>
  </si>
  <si>
    <t> KITENGELA</t>
  </si>
  <si>
    <t>MILTON ENGOSI KAMALIK</t>
  </si>
  <si>
    <t>KDL 402T</t>
  </si>
  <si>
    <t>TOYOTA RACTIS</t>
  </si>
  <si>
    <t>TERESIA MUMBI KAMAU</t>
  </si>
  <si>
    <t>KCC 512Q</t>
  </si>
  <si>
    <t>DISCO 3</t>
  </si>
  <si>
    <t>LEAH MUTHONI NDUNGU</t>
  </si>
  <si>
    <t>KBW 597T</t>
  </si>
  <si>
    <t>TOYOTA VOXY</t>
  </si>
  <si>
    <t>JOHN OTIENO OYOO</t>
  </si>
  <si>
    <t>KDC 427C</t>
  </si>
  <si>
    <t>NISSAN NOTE</t>
  </si>
  <si>
    <t>LUCY MUGURE MOGIRE</t>
  </si>
  <si>
    <t>KBT 440C</t>
  </si>
  <si>
    <t>TOYOTA ITS</t>
  </si>
  <si>
    <t>DOMNIC SONKOI LEMEIN</t>
  </si>
  <si>
    <t>KCA  626C</t>
  </si>
  <si>
    <t>TOYOTA LANDCRUISER</t>
  </si>
  <si>
    <t>FRANCIS NYAMU KAGWIMA</t>
  </si>
  <si>
    <t>CAR SALE NON CASH</t>
  </si>
  <si>
    <t>KDN 601Z</t>
  </si>
  <si>
    <t>NISSAN XTRAIL</t>
  </si>
  <si>
    <t>Ruth Nduta Mwangi</t>
  </si>
  <si>
    <t>KDG 482T</t>
  </si>
  <si>
    <t>SUZUKI JIMNY</t>
  </si>
  <si>
    <t>MILDRED KIRIT SIMIYU</t>
  </si>
  <si>
    <t>KCL 603U</t>
  </si>
  <si>
    <t>VANGUARD</t>
  </si>
  <si>
    <t>John Suter</t>
  </si>
  <si>
    <t>KCH 397K</t>
  </si>
  <si>
    <t>PAJERO</t>
  </si>
  <si>
    <t>KENNETH KANIU</t>
  </si>
  <si>
    <t>KCJ 500U</t>
  </si>
  <si>
    <t>KCM 793E</t>
  </si>
  <si>
    <t>TOYOTA HILUX</t>
  </si>
  <si>
    <t>MAKAU KIMEU</t>
  </si>
  <si>
    <t>KDK 500Z</t>
  </si>
  <si>
    <t>PRADO VXL</t>
  </si>
  <si>
    <t>Mohamed Soud Machele</t>
  </si>
  <si>
    <t>KDD 393A</t>
  </si>
  <si>
    <t>SUBARU FORESTER</t>
  </si>
  <si>
    <t>TONNY MAKALE</t>
  </si>
  <si>
    <t>KBZ 912K</t>
  </si>
  <si>
    <t>Magaigwa Daniel Mwita</t>
  </si>
  <si>
    <t>KDK 889K</t>
  </si>
  <si>
    <t>TOYOTA AXIO</t>
  </si>
  <si>
    <t>PEGGY AYAKO KWENDO</t>
  </si>
  <si>
    <t>KCJ 426J</t>
  </si>
  <si>
    <t>MARK X</t>
  </si>
  <si>
    <t>JAMES KARANJA NJOROGE</t>
  </si>
  <si>
    <t>UNITS AT YARD</t>
  </si>
  <si>
    <t>CURRENT</t>
  </si>
  <si>
    <t>START OF THE MONTH OF MARCH</t>
  </si>
  <si>
    <t>VEHICLES AT YARD</t>
  </si>
  <si>
    <t>LEGAL CASES</t>
  </si>
  <si>
    <t>MOTORBIKES AT YARD</t>
  </si>
  <si>
    <t>VEHICLES ON SALE</t>
  </si>
  <si>
    <t>VEHICLES AT GARAGE PROCK KENYA</t>
  </si>
  <si>
    <t>NOT ADVERTISED</t>
  </si>
  <si>
    <t>PAID FEE NOTES</t>
  </si>
  <si>
    <t>AUCTIONEER</t>
  </si>
  <si>
    <t>UNIT REG</t>
  </si>
  <si>
    <t>DATE REPOSSESSED</t>
  </si>
  <si>
    <t>YARD BOOKED</t>
  </si>
  <si>
    <t>CLIENTS' NAME</t>
  </si>
  <si>
    <t>LOAN ID</t>
  </si>
  <si>
    <t>SIRME</t>
  </si>
  <si>
    <t>KCM 851E</t>
  </si>
  <si>
    <t>23/2/2024</t>
  </si>
  <si>
    <t>LEGACY YARD</t>
  </si>
  <si>
    <t xml:space="preserve">KIMOSOP CHERUIYOT KIBOSIA  </t>
  </si>
  <si>
    <t>L34615</t>
  </si>
  <si>
    <t>STARTRUCK YARD</t>
  </si>
  <si>
    <t>L25181</t>
  </si>
  <si>
    <t>KCW 745H</t>
  </si>
  <si>
    <t>26/2/2024</t>
  </si>
  <si>
    <t>JEREMIAH  GITHINJI  MURAYA</t>
  </si>
  <si>
    <t>L32126</t>
  </si>
  <si>
    <t>KCT 891S</t>
  </si>
  <si>
    <t>JUMBA HORRICE AND WILSON MOSETI OMOSO</t>
  </si>
  <si>
    <t>L32068</t>
  </si>
  <si>
    <t>KDA 379U</t>
  </si>
  <si>
    <t>L32069</t>
  </si>
  <si>
    <t>KBZ 492S</t>
  </si>
  <si>
    <t>ELDORET SUPERMAX</t>
  </si>
  <si>
    <t>ROSALINE JEPTANUI CHOGE</t>
  </si>
  <si>
    <t>L30189</t>
  </si>
  <si>
    <t>FAMOUS GEORGE</t>
  </si>
  <si>
    <t xml:space="preserve">TONNY MAKALE </t>
  </si>
  <si>
    <t>L32107</t>
  </si>
  <si>
    <t>FOR YEARS</t>
  </si>
  <si>
    <t>FRANCIS  KINUTHIA MUHIKA</t>
  </si>
  <si>
    <t>L22712</t>
  </si>
  <si>
    <t>KCF367N</t>
  </si>
  <si>
    <t>NYALUOYO YARD</t>
  </si>
  <si>
    <t>GEORGE  OCHIENG ONDAGO</t>
  </si>
  <si>
    <t>L31537</t>
  </si>
  <si>
    <t>MAGAIGWA DANIEL MWITA</t>
  </si>
  <si>
    <t>L31807</t>
  </si>
  <si>
    <t>KCF 352X</t>
  </si>
  <si>
    <t>STANLEY WAKIAGA ROBERT</t>
  </si>
  <si>
    <t>L30886</t>
  </si>
  <si>
    <t>KCR 310E</t>
  </si>
  <si>
    <t>ANTHONY OMONDI OGANGO</t>
  </si>
  <si>
    <t>L33260</t>
  </si>
  <si>
    <t>KDK 708X</t>
  </si>
  <si>
    <t>PAUL KANGETHE NDUNGU</t>
  </si>
  <si>
    <t>L33268</t>
  </si>
  <si>
    <t>SPECTRUM</t>
  </si>
  <si>
    <t>L31694</t>
  </si>
  <si>
    <t>KDA 303X</t>
  </si>
  <si>
    <t>ELIZABETH ARWA ORONDO</t>
  </si>
  <si>
    <t>CCIN002022-1000-005</t>
  </si>
  <si>
    <t>MIKAEL</t>
  </si>
  <si>
    <t>KCP 936A</t>
  </si>
  <si>
    <t>MOCO YARD</t>
  </si>
  <si>
    <t>JOHN ONGWAE MOSONGO</t>
  </si>
  <si>
    <t>L32699</t>
  </si>
  <si>
    <t>LAAR</t>
  </si>
  <si>
    <t>KCB 908B</t>
  </si>
  <si>
    <t>HENRY MUIRURI KURIA</t>
  </si>
  <si>
    <t>L30876</t>
  </si>
  <si>
    <t>PENDING APPROVAL AND PAYMENTS</t>
  </si>
  <si>
    <t>INTERCOUNTY</t>
  </si>
  <si>
    <t>KBZ 216S</t>
  </si>
  <si>
    <t>KEVIN ODHIAMBO JOMO</t>
  </si>
  <si>
    <t>L24822</t>
  </si>
  <si>
    <t>RACHEAL NYARANGI SIMEKA</t>
  </si>
  <si>
    <t>L32312</t>
  </si>
  <si>
    <t>KDD 443F</t>
  </si>
  <si>
    <t>MICAH KAPURUA TAANI</t>
  </si>
  <si>
    <t>L29766</t>
  </si>
  <si>
    <t>L30420</t>
  </si>
  <si>
    <t>KCF 926F</t>
  </si>
  <si>
    <t>NZEMBI - MUTHOKA</t>
  </si>
  <si>
    <t>L33917</t>
  </si>
  <si>
    <t>KCJ 737E</t>
  </si>
  <si>
    <t>LUKA WASAMBO WERE</t>
  </si>
  <si>
    <t>L27345</t>
  </si>
  <si>
    <t>MOVED TO LEGAL TO RECOVER BALANCES</t>
  </si>
  <si>
    <t>LOAN NO.</t>
  </si>
  <si>
    <t>CCIN000247-1000-005</t>
  </si>
  <si>
    <t>Ferdinard Ndungu Waititu</t>
  </si>
  <si>
    <t>KCP 200A AND KBS 254V</t>
  </si>
  <si>
    <t>L30321</t>
  </si>
  <si>
    <t>Robinson Muriithi Ndwiga</t>
  </si>
  <si>
    <t>KDH 979D / KDE 990P / KDH 978K / KDH 939M / KDH 979K / KDH 939K</t>
  </si>
  <si>
    <t>CCIN000521-2000-008</t>
  </si>
  <si>
    <t>CHARLES ODHIAMBO OLOO</t>
  </si>
  <si>
    <t>KCX 775S</t>
  </si>
  <si>
    <t>L08651</t>
  </si>
  <si>
    <t>MALVIN LUSIGE OGANDA</t>
  </si>
  <si>
    <t>KBB 304X</t>
  </si>
  <si>
    <t>L29112</t>
  </si>
  <si>
    <t>Michael Njine Muringi</t>
  </si>
  <si>
    <t>KDD 149Z</t>
  </si>
  <si>
    <t>CCIN001730-8000-001</t>
  </si>
  <si>
    <t>John Njuguna Nduati</t>
  </si>
  <si>
    <t>KBV 453A, KHMA 006P</t>
  </si>
  <si>
    <t>STATUS</t>
  </si>
  <si>
    <t xml:space="preserve">STATUS </t>
  </si>
  <si>
    <t>MACHAKOS</t>
  </si>
  <si>
    <t>APRIL</t>
  </si>
  <si>
    <t>GLADYS CHEBII</t>
  </si>
  <si>
    <t xml:space="preserve">REDEMPTA MUENDI </t>
  </si>
  <si>
    <t>ANTONE ODONGO</t>
  </si>
  <si>
    <t>MCL1054</t>
  </si>
  <si>
    <t>MCL028</t>
  </si>
  <si>
    <t>MCL664</t>
  </si>
  <si>
    <t>MCL349</t>
  </si>
  <si>
    <t>MCL987</t>
  </si>
  <si>
    <t>MCL741</t>
  </si>
  <si>
    <t>MCL887</t>
  </si>
  <si>
    <t>MCL085</t>
  </si>
  <si>
    <t>MCL960</t>
  </si>
  <si>
    <t>MCL587</t>
  </si>
  <si>
    <t>MCL867</t>
  </si>
  <si>
    <t>MCL391</t>
  </si>
  <si>
    <t>MCL358</t>
  </si>
  <si>
    <t>MCL029</t>
  </si>
  <si>
    <t>MCL027</t>
  </si>
  <si>
    <t>MCL288</t>
  </si>
  <si>
    <t>MCL928</t>
  </si>
  <si>
    <t>MCL585</t>
  </si>
  <si>
    <t>MCL651</t>
  </si>
  <si>
    <t>MCL1019</t>
  </si>
  <si>
    <t>MCL1065</t>
  </si>
  <si>
    <t>MCL1037</t>
  </si>
  <si>
    <t>S00422</t>
  </si>
  <si>
    <t>TL0063</t>
  </si>
  <si>
    <t>MCL1116</t>
  </si>
  <si>
    <t>ANNE ANYANGO</t>
  </si>
  <si>
    <t>MCL207</t>
  </si>
  <si>
    <t>MAY</t>
  </si>
  <si>
    <t>S00618</t>
  </si>
  <si>
    <t>MCL1101</t>
  </si>
  <si>
    <t>VIVIAN KIRUI</t>
  </si>
  <si>
    <t>TL0120</t>
  </si>
  <si>
    <t>TL0215</t>
  </si>
  <si>
    <t>MCL1103</t>
  </si>
  <si>
    <t xml:space="preserve">BENARD KEROIGE </t>
  </si>
  <si>
    <t>MCL1076</t>
  </si>
  <si>
    <t>JOHN MUSILI THIONGO</t>
  </si>
  <si>
    <t>MCL1117</t>
  </si>
  <si>
    <t>PETER MAINA</t>
  </si>
  <si>
    <t>MCL1075</t>
  </si>
  <si>
    <t>DAMSKY KISANYA</t>
  </si>
  <si>
    <t>S01905</t>
  </si>
  <si>
    <t>TL0214</t>
  </si>
  <si>
    <t>TL0216</t>
  </si>
  <si>
    <t>TL0246</t>
  </si>
  <si>
    <t>BEVERLY MUVAO</t>
  </si>
  <si>
    <t>MOSES GEOFFREY</t>
  </si>
  <si>
    <t>S02272</t>
  </si>
  <si>
    <t>S02271</t>
  </si>
  <si>
    <t>MCL1069</t>
  </si>
  <si>
    <t>MCL1084</t>
  </si>
  <si>
    <t>NEBART KANGWANA</t>
  </si>
  <si>
    <t>PETER  MUTISYA</t>
  </si>
  <si>
    <t>TEAM LEADER</t>
  </si>
  <si>
    <t>TEAM COUNT</t>
  </si>
  <si>
    <t>ASIGNED TARGET</t>
  </si>
  <si>
    <t xml:space="preserve">TEAM ACHIEVED </t>
  </si>
  <si>
    <t>ASSIGNED %</t>
  </si>
  <si>
    <t>SAMUEL MULINGE (CALL CENTER)</t>
  </si>
  <si>
    <t>CEO</t>
  </si>
  <si>
    <t>CHRISTINE NINA</t>
  </si>
  <si>
    <t>NEW ARREARS</t>
  </si>
  <si>
    <t>ASSIGNED ACCOUNTS</t>
  </si>
  <si>
    <t xml:space="preserve">ASSIGNED ARREARS </t>
  </si>
  <si>
    <t>AMOUNT COLLECTED</t>
  </si>
  <si>
    <t>ACCOUNTS COLLECTED</t>
  </si>
  <si>
    <t>SUPERVISOR</t>
  </si>
  <si>
    <t>REPOSSESION</t>
  </si>
  <si>
    <t>VICTOR OKOMBO</t>
  </si>
  <si>
    <t>THOMAS CHACHA</t>
  </si>
  <si>
    <t>HAMISI NZOMO</t>
  </si>
  <si>
    <t>JANE ROSE WANJALA</t>
  </si>
  <si>
    <t>WILSON MUTAVA</t>
  </si>
  <si>
    <t>MAXWELL ODHIAMBO</t>
  </si>
  <si>
    <t>STEPHEN MULEI</t>
  </si>
  <si>
    <t>ALLAN NZAKA</t>
  </si>
  <si>
    <t>THROUGH RECOVERY</t>
  </si>
  <si>
    <t>BRANCH THEMSELVES</t>
  </si>
  <si>
    <t>TOTAL CARS REPOSSESED</t>
  </si>
  <si>
    <t xml:space="preserve">CAR SALE PREPARED BY </t>
  </si>
  <si>
    <t>UNITS SOLD COUNT CASH</t>
  </si>
  <si>
    <t>UNITS SOLD VALUE CASH</t>
  </si>
  <si>
    <t>VALUE TARGET</t>
  </si>
  <si>
    <t>BRANCH POS</t>
  </si>
  <si>
    <t xml:space="preserve">AMMOUNT COLLECTED </t>
  </si>
  <si>
    <t>QUEEN WANJIRU</t>
  </si>
  <si>
    <t>DEPARTMENT</t>
  </si>
  <si>
    <t>JUNE</t>
  </si>
  <si>
    <t>MCL1154</t>
  </si>
  <si>
    <t>ROSELIA MUTHUI</t>
  </si>
  <si>
    <t>MCL1148</t>
  </si>
  <si>
    <t>FAITH MUTUKU</t>
  </si>
  <si>
    <t>TL0257</t>
  </si>
  <si>
    <t>MCL1163</t>
  </si>
  <si>
    <t>PHILIP OMBILI</t>
  </si>
  <si>
    <t>JUVENTURE ATIENO</t>
  </si>
  <si>
    <t>MCL953</t>
  </si>
  <si>
    <t>JOSEPH ORINA</t>
  </si>
  <si>
    <t>MCL1132</t>
  </si>
  <si>
    <t>FAITH OSORO</t>
  </si>
  <si>
    <t>MCL1140</t>
  </si>
  <si>
    <t>AMBROSE OLOO</t>
  </si>
  <si>
    <t>MCL1155</t>
  </si>
  <si>
    <t>TABITHA MBINYA</t>
  </si>
  <si>
    <t>MCL1158</t>
  </si>
  <si>
    <t>ISIAH ONYANGO</t>
  </si>
  <si>
    <t>MILLICENT AWINO</t>
  </si>
  <si>
    <t>S00978</t>
  </si>
  <si>
    <t>S01883</t>
  </si>
  <si>
    <t>TL0252</t>
  </si>
  <si>
    <t>TL0121</t>
  </si>
  <si>
    <t>TL0255</t>
  </si>
  <si>
    <t>OLGAG ATIENO</t>
  </si>
  <si>
    <t>S01819</t>
  </si>
  <si>
    <t>S02150</t>
  </si>
  <si>
    <t>JULY</t>
  </si>
  <si>
    <t>LOGBOOK PRODUCT MANAGER</t>
  </si>
  <si>
    <t>S02432</t>
  </si>
  <si>
    <t>NANCY MAINA</t>
  </si>
  <si>
    <t>MCL269</t>
  </si>
  <si>
    <t>MCL 1192</t>
  </si>
  <si>
    <t>S02501</t>
  </si>
  <si>
    <t>S02543</t>
  </si>
  <si>
    <t>S02493</t>
  </si>
  <si>
    <t>FAITH NGINA</t>
  </si>
  <si>
    <t>MICHAEL GICHONGE</t>
  </si>
  <si>
    <t>MCL 1165</t>
  </si>
  <si>
    <t>MCL1190</t>
  </si>
  <si>
    <t>S01125</t>
  </si>
  <si>
    <t>TL0254</t>
  </si>
  <si>
    <t>TL0094</t>
  </si>
  <si>
    <t>RO</t>
  </si>
  <si>
    <t>AUGUST</t>
  </si>
  <si>
    <t xml:space="preserve">% ACHIEVED AUGUST </t>
  </si>
  <si>
    <t xml:space="preserve">2024 SALES </t>
  </si>
  <si>
    <t>JOINING DATE</t>
  </si>
  <si>
    <t xml:space="preserve">YEARS SERVED </t>
  </si>
  <si>
    <t>TL0259</t>
  </si>
  <si>
    <t>S01506</t>
  </si>
  <si>
    <t>MCL1166</t>
  </si>
  <si>
    <t>ROLE</t>
  </si>
  <si>
    <t>TLL</t>
  </si>
  <si>
    <t>% ACHIEVED AUGUST</t>
  </si>
  <si>
    <t xml:space="preserve">CC AGENT </t>
  </si>
  <si>
    <t>TIMOTY MUNYOKI</t>
  </si>
  <si>
    <t xml:space="preserve">MCL </t>
  </si>
  <si>
    <t xml:space="preserve">MWANANCHI CREDIT </t>
  </si>
  <si>
    <t>MCL1167</t>
  </si>
  <si>
    <t>MCL641</t>
  </si>
  <si>
    <t>MCL1055</t>
  </si>
  <si>
    <t>OESE BENEDICT</t>
  </si>
  <si>
    <t>ABDALLA MWANIKI</t>
  </si>
  <si>
    <t xml:space="preserve">SAMUEL MULINGE </t>
  </si>
  <si>
    <t>MCL1035</t>
  </si>
  <si>
    <t>MCL1150</t>
  </si>
  <si>
    <t>MCL1187</t>
  </si>
  <si>
    <t>MCL1196</t>
  </si>
  <si>
    <t>TEAM DEFICT</t>
  </si>
  <si>
    <t>INTEREST PAID</t>
  </si>
  <si>
    <t>PENALTY PAID</t>
  </si>
  <si>
    <t>TOTAL PAID</t>
  </si>
  <si>
    <t>ECO BANK</t>
  </si>
  <si>
    <t xml:space="preserve">SEPTEMBER </t>
  </si>
  <si>
    <t>VICTORIA  MBASHU</t>
  </si>
  <si>
    <t>CECLIA WANDERI</t>
  </si>
  <si>
    <t>JANE NYAMBURA</t>
  </si>
  <si>
    <t>SEPTEMBER</t>
  </si>
  <si>
    <t>MCL1226</t>
  </si>
  <si>
    <t>SAMWEL WAMBUA</t>
  </si>
  <si>
    <t>MCL1123</t>
  </si>
  <si>
    <t>TL0251</t>
  </si>
  <si>
    <t>ROSELINE NYANGUNDI</t>
  </si>
  <si>
    <t>%ACHIEVED ON MONEY COLLECTION</t>
  </si>
  <si>
    <t>CARS REPOSSESED</t>
  </si>
  <si>
    <t>CARS SELF BOOKED</t>
  </si>
  <si>
    <t>NORMALIZED AT POINT</t>
  </si>
  <si>
    <t>TOTAL REPOSSESION</t>
  </si>
  <si>
    <t>DOUGLAS MAINA</t>
  </si>
  <si>
    <t>CARS SALE DESK</t>
  </si>
  <si>
    <t xml:space="preserve">VALUE COLLECTED </t>
  </si>
  <si>
    <t>VOLUME COLLECTED</t>
  </si>
  <si>
    <t xml:space="preserve">TITLE DEED </t>
  </si>
  <si>
    <t>LEGAL DEPARTMENT</t>
  </si>
  <si>
    <t>CHECKOFF DEPARTMENT</t>
  </si>
  <si>
    <t>RECOVERY DEPARTMENT</t>
  </si>
  <si>
    <t>HUMAN RESOURCE DEPARTMENT</t>
  </si>
  <si>
    <t>BRANCHES/FINANCE</t>
  </si>
  <si>
    <t>CAR SALES DEPARTMENT</t>
  </si>
  <si>
    <t xml:space="preserve">SHIMIN DESK </t>
  </si>
  <si>
    <t>WEEK ONE</t>
  </si>
  <si>
    <t>WEEK TWO</t>
  </si>
  <si>
    <t>WEEK THREE</t>
  </si>
  <si>
    <t xml:space="preserve">WEEK FOUR </t>
  </si>
  <si>
    <t xml:space="preserve">TOTAL </t>
  </si>
  <si>
    <t>21ST AUGUST.</t>
  </si>
  <si>
    <t xml:space="preserve">20TH SEPTEMBER </t>
  </si>
  <si>
    <t>NEW ARREARS COUNT</t>
  </si>
  <si>
    <t>CHRISTINE NYAMBURA</t>
  </si>
  <si>
    <t>MCL1233</t>
  </si>
  <si>
    <t>S02722</t>
  </si>
  <si>
    <t>SEPT  NEW BUSINES</t>
  </si>
  <si>
    <t>SEPT NEW BUSINES</t>
  </si>
  <si>
    <t>KENNEDY WAGALLA</t>
  </si>
  <si>
    <t>ROSE KANG'OMBE MSHILA</t>
  </si>
  <si>
    <t>CHRISTOPHER KOECH</t>
  </si>
  <si>
    <t>WELDON KIPLAGAT</t>
  </si>
  <si>
    <t>DIANA WALI WAKIO</t>
  </si>
  <si>
    <t>JOSEPH WAMBUA</t>
  </si>
  <si>
    <t>CALEB KIPLAGAT MAIYO</t>
  </si>
  <si>
    <t>MARY KENDI</t>
  </si>
  <si>
    <t>STEPHEN MIGWI</t>
  </si>
  <si>
    <t>HUMPREY GACHERU KABUCHU</t>
  </si>
  <si>
    <t>MIRRIAM KANANA</t>
  </si>
  <si>
    <t>FLORA WAIRIMU</t>
  </si>
  <si>
    <t>JOSEPH MUTHIANI</t>
  </si>
  <si>
    <t>BETH MULI</t>
  </si>
  <si>
    <t>GILBERT KIPRONO</t>
  </si>
  <si>
    <t>ISAAC MUREITHI</t>
  </si>
  <si>
    <t>BRIAN BOKORO RIMBA</t>
  </si>
  <si>
    <t>MCL1224</t>
  </si>
  <si>
    <t>MCL1213</t>
  </si>
  <si>
    <t>MCL1200</t>
  </si>
  <si>
    <t>MCL1211</t>
  </si>
  <si>
    <t>MCL1198</t>
  </si>
  <si>
    <t>MCL1199</t>
  </si>
  <si>
    <t>MCL1207</t>
  </si>
  <si>
    <t>MCL1215</t>
  </si>
  <si>
    <t>MCL1205</t>
  </si>
  <si>
    <t>MCL1212</t>
  </si>
  <si>
    <t>MCL1216</t>
  </si>
  <si>
    <t>MCL1222</t>
  </si>
  <si>
    <t>MCL1225</t>
  </si>
  <si>
    <t>MCL1219</t>
  </si>
  <si>
    <t>MCL1204</t>
  </si>
  <si>
    <t>MCL1237</t>
  </si>
  <si>
    <t>MCL1220</t>
  </si>
  <si>
    <t>TL0004</t>
  </si>
  <si>
    <t>S02462</t>
  </si>
  <si>
    <t>TL0265</t>
  </si>
  <si>
    <t>S02179</t>
  </si>
  <si>
    <t>S00849</t>
  </si>
  <si>
    <t>S02219</t>
  </si>
  <si>
    <t>S02583</t>
  </si>
  <si>
    <t>TL0267</t>
  </si>
  <si>
    <t>S02040</t>
  </si>
  <si>
    <t>S00005</t>
  </si>
  <si>
    <t>TL0266</t>
  </si>
  <si>
    <t>TL0262</t>
  </si>
  <si>
    <t>TL0264</t>
  </si>
  <si>
    <t>MCL1056</t>
  </si>
  <si>
    <t>Team Leader - Checkoff</t>
  </si>
  <si>
    <t>Senior Team Leader - Checkoff</t>
  </si>
  <si>
    <t>Senior Sales Executive-Check off</t>
  </si>
  <si>
    <t>Direct Sales Representative</t>
  </si>
  <si>
    <t xml:space="preserve">TARGET LOANS </t>
  </si>
  <si>
    <t xml:space="preserve">NO OF LOANS </t>
  </si>
  <si>
    <t xml:space="preserve">NO OF MARKETERS SOLD </t>
  </si>
  <si>
    <t xml:space="preserve">TARGET MARKETER </t>
  </si>
  <si>
    <t>MARKETERS TARGET</t>
  </si>
  <si>
    <t xml:space="preserve">PAR </t>
  </si>
  <si>
    <t>PORTFORLIO</t>
  </si>
  <si>
    <t>LOANS TARGET</t>
  </si>
  <si>
    <t>COMMISION ON PORTFORLIO</t>
  </si>
  <si>
    <t xml:space="preserve">COMMISON ON SALES </t>
  </si>
  <si>
    <t>1.5% (ABOVE 75%)</t>
  </si>
  <si>
    <t>above 100%</t>
  </si>
  <si>
    <t>1% (ABOVE 75%)</t>
  </si>
  <si>
    <t xml:space="preserve">PORTFORLIO COMMISSION </t>
  </si>
  <si>
    <t>SALE% ABOVE 100% COMMISSION</t>
  </si>
  <si>
    <t>SALES COMMISSION</t>
  </si>
  <si>
    <t>OVERALL COMMISSION</t>
  </si>
  <si>
    <t xml:space="preserve">% ACHIEVED SEPTEMBER </t>
  </si>
  <si>
    <t>% OF LOANS</t>
  </si>
  <si>
    <t xml:space="preserve">% OF MARKETERS </t>
  </si>
  <si>
    <t>SALES ABOVE 75%</t>
  </si>
  <si>
    <t>TARGET TEAM LEADER</t>
  </si>
  <si>
    <t xml:space="preserve">NO OF TEAMS </t>
  </si>
  <si>
    <t>% OF TEAM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</si>
</sst>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_-;_-@_-"/>
    <numFmt numFmtId="166" formatCode="[$-14009]dd\-mm\-yyyy;@"/>
    <numFmt numFmtId="167" formatCode="[$-14009]dd\-mm\-yy;@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" borderId="5" applyNumberFormat="0" applyAlignment="0" applyProtection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  <xf numFmtId="164" fontId="2" fillId="2" borderId="1" xfId="1" applyFont="1" applyFill="1" applyBorder="1"/>
    <xf numFmtId="164" fontId="0" fillId="0" borderId="1" xfId="0" applyNumberFormat="1" applyBorder="1"/>
    <xf numFmtId="10" fontId="0" fillId="0" borderId="1" xfId="2" applyNumberFormat="1" applyFont="1" applyBorder="1"/>
    <xf numFmtId="0" fontId="2" fillId="2" borderId="1" xfId="0" applyFont="1" applyFill="1" applyBorder="1" applyAlignment="1">
      <alignment wrapText="1"/>
    </xf>
    <xf numFmtId="164" fontId="2" fillId="2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10" fontId="2" fillId="2" borderId="1" xfId="2" applyNumberFormat="1" applyFont="1" applyFill="1" applyBorder="1"/>
    <xf numFmtId="0" fontId="0" fillId="2" borderId="1" xfId="0" applyFill="1" applyBorder="1"/>
    <xf numFmtId="14" fontId="0" fillId="0" borderId="0" xfId="0" applyNumberFormat="1"/>
    <xf numFmtId="14" fontId="0" fillId="0" borderId="1" xfId="0" applyNumberFormat="1" applyBorder="1"/>
    <xf numFmtId="4" fontId="0" fillId="0" borderId="1" xfId="0" applyNumberFormat="1" applyBorder="1"/>
    <xf numFmtId="0" fontId="2" fillId="0" borderId="1" xfId="0" applyFont="1" applyBorder="1"/>
    <xf numFmtId="0" fontId="5" fillId="0" borderId="1" xfId="0" applyFont="1" applyBorder="1"/>
    <xf numFmtId="164" fontId="2" fillId="2" borderId="1" xfId="0" applyNumberFormat="1" applyFont="1" applyFill="1" applyBorder="1"/>
    <xf numFmtId="165" fontId="10" fillId="3" borderId="5" xfId="3" applyNumberFormat="1"/>
    <xf numFmtId="0" fontId="2" fillId="4" borderId="1" xfId="0" applyFont="1" applyFill="1" applyBorder="1"/>
    <xf numFmtId="164" fontId="2" fillId="4" borderId="1" xfId="1" applyFont="1" applyFill="1" applyBorder="1"/>
    <xf numFmtId="3" fontId="0" fillId="0" borderId="1" xfId="0" applyNumberFormat="1" applyBorder="1"/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horizontal="right" wrapText="1"/>
    </xf>
    <xf numFmtId="0" fontId="11" fillId="0" borderId="1" xfId="0" applyFont="1" applyBorder="1"/>
    <xf numFmtId="0" fontId="5" fillId="2" borderId="1" xfId="0" applyFont="1" applyFill="1" applyBorder="1"/>
    <xf numFmtId="3" fontId="5" fillId="2" borderId="1" xfId="0" applyNumberFormat="1" applyFont="1" applyFill="1" applyBorder="1"/>
    <xf numFmtId="0" fontId="12" fillId="0" borderId="1" xfId="0" applyFont="1" applyBorder="1"/>
    <xf numFmtId="43" fontId="0" fillId="0" borderId="1" xfId="4" applyFont="1" applyBorder="1"/>
    <xf numFmtId="0" fontId="2" fillId="6" borderId="1" xfId="0" applyFont="1" applyFill="1" applyBorder="1"/>
    <xf numFmtId="0" fontId="7" fillId="0" borderId="1" xfId="0" applyFont="1" applyBorder="1" applyAlignment="1">
      <alignment wrapText="1"/>
    </xf>
    <xf numFmtId="0" fontId="4" fillId="5" borderId="1" xfId="0" applyFont="1" applyFill="1" applyBorder="1"/>
    <xf numFmtId="0" fontId="6" fillId="5" borderId="1" xfId="0" applyFont="1" applyFill="1" applyBorder="1"/>
    <xf numFmtId="3" fontId="4" fillId="5" borderId="1" xfId="0" applyNumberFormat="1" applyFont="1" applyFill="1" applyBorder="1"/>
    <xf numFmtId="0" fontId="6" fillId="0" borderId="1" xfId="0" applyFont="1" applyBorder="1"/>
    <xf numFmtId="3" fontId="2" fillId="2" borderId="1" xfId="0" applyNumberFormat="1" applyFont="1" applyFill="1" applyBorder="1"/>
    <xf numFmtId="0" fontId="9" fillId="0" borderId="1" xfId="0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6" borderId="1" xfId="0" applyNumberFormat="1" applyFill="1" applyBorder="1"/>
    <xf numFmtId="0" fontId="0" fillId="6" borderId="1" xfId="0" applyFill="1" applyBorder="1"/>
    <xf numFmtId="3" fontId="2" fillId="6" borderId="1" xfId="0" applyNumberFormat="1" applyFont="1" applyFill="1" applyBorder="1"/>
    <xf numFmtId="14" fontId="2" fillId="0" borderId="1" xfId="0" applyNumberFormat="1" applyFont="1" applyBorder="1"/>
    <xf numFmtId="3" fontId="5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1" applyFont="1" applyBorder="1"/>
    <xf numFmtId="0" fontId="2" fillId="4" borderId="2" xfId="0" applyFont="1" applyFill="1" applyBorder="1"/>
    <xf numFmtId="164" fontId="2" fillId="4" borderId="2" xfId="1" applyFont="1" applyFill="1" applyBorder="1"/>
    <xf numFmtId="164" fontId="0" fillId="0" borderId="3" xfId="1" applyFont="1" applyBorder="1"/>
    <xf numFmtId="164" fontId="0" fillId="0" borderId="4" xfId="1" applyFont="1" applyBorder="1"/>
    <xf numFmtId="164" fontId="2" fillId="4" borderId="3" xfId="1" applyFont="1" applyFill="1" applyBorder="1"/>
    <xf numFmtId="164" fontId="2" fillId="4" borderId="4" xfId="1" applyFont="1" applyFill="1" applyBorder="1"/>
    <xf numFmtId="0" fontId="13" fillId="2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/>
    <xf numFmtId="164" fontId="14" fillId="0" borderId="1" xfId="1" applyFont="1" applyBorder="1"/>
    <xf numFmtId="10" fontId="14" fillId="0" borderId="1" xfId="2" applyNumberFormat="1" applyFont="1" applyBorder="1"/>
    <xf numFmtId="43" fontId="14" fillId="0" borderId="1" xfId="0" applyNumberFormat="1" applyFont="1" applyBorder="1"/>
    <xf numFmtId="0" fontId="13" fillId="2" borderId="1" xfId="0" applyFont="1" applyFill="1" applyBorder="1"/>
    <xf numFmtId="3" fontId="13" fillId="2" borderId="1" xfId="0" applyNumberFormat="1" applyFont="1" applyFill="1" applyBorder="1"/>
    <xf numFmtId="10" fontId="13" fillId="2" borderId="1" xfId="2" applyNumberFormat="1" applyFont="1" applyFill="1" applyBorder="1"/>
    <xf numFmtId="0" fontId="14" fillId="0" borderId="1" xfId="2" applyNumberFormat="1" applyFont="1" applyBorder="1"/>
    <xf numFmtId="4" fontId="14" fillId="0" borderId="1" xfId="0" applyNumberFormat="1" applyFont="1" applyBorder="1"/>
    <xf numFmtId="0" fontId="13" fillId="2" borderId="1" xfId="2" applyNumberFormat="1" applyFont="1" applyFill="1" applyBorder="1"/>
    <xf numFmtId="10" fontId="14" fillId="0" borderId="1" xfId="0" applyNumberFormat="1" applyFont="1" applyBorder="1"/>
    <xf numFmtId="164" fontId="13" fillId="2" borderId="1" xfId="0" applyNumberFormat="1" applyFont="1" applyFill="1" applyBorder="1"/>
    <xf numFmtId="0" fontId="13" fillId="7" borderId="1" xfId="0" applyFont="1" applyFill="1" applyBorder="1" applyAlignment="1">
      <alignment wrapText="1"/>
    </xf>
    <xf numFmtId="164" fontId="13" fillId="7" borderId="1" xfId="1" applyFont="1" applyFill="1" applyBorder="1" applyAlignment="1">
      <alignment wrapText="1"/>
    </xf>
    <xf numFmtId="43" fontId="14" fillId="0" borderId="1" xfId="0" applyNumberFormat="1" applyFont="1" applyBorder="1" applyAlignment="1">
      <alignment wrapText="1"/>
    </xf>
    <xf numFmtId="0" fontId="15" fillId="8" borderId="6" xfId="0" applyFont="1" applyFill="1" applyBorder="1"/>
    <xf numFmtId="14" fontId="15" fillId="8" borderId="1" xfId="0" applyNumberFormat="1" applyFont="1" applyFill="1" applyBorder="1"/>
    <xf numFmtId="164" fontId="15" fillId="8" borderId="1" xfId="1" applyFont="1" applyFill="1" applyBorder="1"/>
    <xf numFmtId="0" fontId="16" fillId="0" borderId="1" xfId="0" applyFont="1" applyBorder="1"/>
    <xf numFmtId="164" fontId="16" fillId="0" borderId="1" xfId="1" applyFont="1" applyBorder="1"/>
    <xf numFmtId="43" fontId="16" fillId="0" borderId="1" xfId="2" applyNumberFormat="1" applyFont="1" applyBorder="1"/>
    <xf numFmtId="0" fontId="15" fillId="9" borderId="1" xfId="0" applyFont="1" applyFill="1" applyBorder="1" applyAlignment="1">
      <alignment wrapText="1"/>
    </xf>
    <xf numFmtId="164" fontId="15" fillId="9" borderId="1" xfId="1" applyFont="1" applyFill="1" applyBorder="1"/>
    <xf numFmtId="43" fontId="15" fillId="9" borderId="1" xfId="2" applyNumberFormat="1" applyFont="1" applyFill="1" applyBorder="1"/>
    <xf numFmtId="166" fontId="0" fillId="0" borderId="1" xfId="0" applyNumberFormat="1" applyBorder="1"/>
    <xf numFmtId="167" fontId="0" fillId="0" borderId="1" xfId="0" applyNumberFormat="1" applyBorder="1"/>
    <xf numFmtId="166" fontId="2" fillId="2" borderId="1" xfId="0" applyNumberFormat="1" applyFont="1" applyFill="1" applyBorder="1" applyAlignment="1">
      <alignment wrapText="1"/>
    </xf>
    <xf numFmtId="0" fontId="2" fillId="2" borderId="1" xfId="1" applyNumberFormat="1" applyFont="1" applyFill="1" applyBorder="1" applyAlignment="1">
      <alignment wrapText="1"/>
    </xf>
    <xf numFmtId="166" fontId="2" fillId="2" borderId="1" xfId="1" applyNumberFormat="1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9" fontId="0" fillId="0" borderId="1" xfId="2" applyFont="1" applyBorder="1"/>
    <xf numFmtId="9" fontId="2" fillId="4" borderId="3" xfId="2" applyFont="1" applyFill="1" applyBorder="1"/>
    <xf numFmtId="0" fontId="15" fillId="8" borderId="6" xfId="0" applyFont="1" applyFill="1" applyBorder="1" applyAlignment="1">
      <alignment wrapText="1"/>
    </xf>
    <xf numFmtId="0" fontId="15" fillId="8" borderId="7" xfId="0" applyFont="1" applyFill="1" applyBorder="1"/>
    <xf numFmtId="0" fontId="13" fillId="9" borderId="1" xfId="0" applyFont="1" applyFill="1" applyBorder="1" applyAlignment="1">
      <alignment wrapText="1"/>
    </xf>
    <xf numFmtId="164" fontId="13" fillId="9" borderId="1" xfId="1" applyFont="1" applyFill="1" applyBorder="1"/>
    <xf numFmtId="0" fontId="13" fillId="7" borderId="1" xfId="0" applyFont="1" applyFill="1" applyBorder="1"/>
    <xf numFmtId="164" fontId="13" fillId="7" borderId="1" xfId="1" applyFont="1" applyFill="1" applyBorder="1"/>
    <xf numFmtId="43" fontId="14" fillId="0" borderId="1" xfId="4" applyFont="1" applyBorder="1"/>
    <xf numFmtId="0" fontId="13" fillId="2" borderId="1" xfId="4" applyNumberFormat="1" applyFont="1" applyFill="1" applyBorder="1"/>
    <xf numFmtId="43" fontId="13" fillId="2" borderId="1" xfId="4" applyFont="1" applyFill="1" applyBorder="1"/>
    <xf numFmtId="43" fontId="14" fillId="0" borderId="1" xfId="4" applyFont="1" applyBorder="1" applyAlignment="1">
      <alignment wrapText="1"/>
    </xf>
    <xf numFmtId="43" fontId="13" fillId="2" borderId="1" xfId="4" applyFont="1" applyFill="1" applyBorder="1" applyAlignment="1">
      <alignment wrapText="1"/>
    </xf>
    <xf numFmtId="0" fontId="15" fillId="8" borderId="1" xfId="0" applyFont="1" applyFill="1" applyBorder="1" applyAlignment="1">
      <alignment wrapText="1"/>
    </xf>
    <xf numFmtId="0" fontId="16" fillId="0" borderId="1" xfId="2" applyNumberFormat="1" applyFont="1" applyBorder="1"/>
    <xf numFmtId="0" fontId="15" fillId="9" borderId="1" xfId="2" applyNumberFormat="1" applyFont="1" applyFill="1" applyBorder="1"/>
    <xf numFmtId="0" fontId="14" fillId="0" borderId="1" xfId="1" applyNumberFormat="1" applyFont="1" applyBorder="1"/>
    <xf numFmtId="0" fontId="13" fillId="9" borderId="1" xfId="1" applyNumberFormat="1" applyFont="1" applyFill="1" applyBorder="1"/>
    <xf numFmtId="2" fontId="0" fillId="0" borderId="1" xfId="0" applyNumberFormat="1" applyBorder="1"/>
    <xf numFmtId="0" fontId="0" fillId="0" borderId="8" xfId="0" applyBorder="1"/>
    <xf numFmtId="168" fontId="0" fillId="0" borderId="1" xfId="2" applyNumberFormat="1" applyFont="1" applyBorder="1"/>
    <xf numFmtId="168" fontId="0" fillId="0" borderId="1" xfId="2" applyNumberFormat="1" applyFont="1" applyBorder="1" applyAlignment="1">
      <alignment wrapText="1"/>
    </xf>
    <xf numFmtId="10" fontId="0" fillId="10" borderId="1" xfId="2" applyNumberFormat="1" applyFont="1" applyFill="1" applyBorder="1" applyAlignment="1">
      <alignment wrapText="1"/>
    </xf>
    <xf numFmtId="164" fontId="0" fillId="10" borderId="1" xfId="1" applyFont="1" applyFill="1" applyBorder="1" applyAlignment="1">
      <alignment wrapText="1"/>
    </xf>
    <xf numFmtId="10" fontId="0" fillId="10" borderId="1" xfId="2" applyNumberFormat="1" applyFont="1" applyFill="1" applyBorder="1"/>
    <xf numFmtId="164" fontId="0" fillId="10" borderId="1" xfId="1" applyFont="1" applyFill="1" applyBorder="1"/>
    <xf numFmtId="0" fontId="15" fillId="8" borderId="2" xfId="0" applyFont="1" applyFill="1" applyBorder="1" applyAlignment="1">
      <alignment horizontal="center" wrapText="1"/>
    </xf>
    <xf numFmtId="0" fontId="15" fillId="8" borderId="3" xfId="0" applyFont="1" applyFill="1" applyBorder="1" applyAlignment="1">
      <alignment horizontal="center" wrapText="1"/>
    </xf>
    <xf numFmtId="0" fontId="15" fillId="8" borderId="4" xfId="0" applyFont="1" applyFill="1" applyBorder="1" applyAlignment="1">
      <alignment horizontal="center" wrapText="1"/>
    </xf>
    <xf numFmtId="0" fontId="15" fillId="8" borderId="2" xfId="0" applyFont="1" applyFill="1" applyBorder="1" applyAlignment="1">
      <alignment horizontal="center"/>
    </xf>
    <xf numFmtId="0" fontId="15" fillId="8" borderId="3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</cellXfs>
  <cellStyles count="5">
    <cellStyle name="Comma" xfId="1" builtinId="3"/>
    <cellStyle name="Comma 2" xfId="4" xr:uid="{2349D374-04C5-4FFF-A5A2-D43E57222B56}"/>
    <cellStyle name="Normal" xfId="0" builtinId="0"/>
    <cellStyle name="Output" xfId="3" builtinId="21"/>
    <cellStyle name="Percent" xfId="2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COCMFOSABMS!$A$30:$D$30</c:f>
              <c:strCache>
                <c:ptCount val="4"/>
                <c:pt idx="0">
                  <c:v>VICTORIA  MBASHU</c:v>
                </c:pt>
                <c:pt idx="1">
                  <c:v>KITENGELA</c:v>
                </c:pt>
                <c:pt idx="2">
                  <c:v>FO</c:v>
                </c:pt>
                <c:pt idx="3">
                  <c:v>2024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COCMFOSABMS!$P$1:$X$1</c:f>
              <c:strCache>
                <c:ptCount val="9"/>
                <c:pt idx="0">
                  <c:v> JANUARY  </c:v>
                </c:pt>
                <c:pt idx="1">
                  <c:v> FEBRUARY </c:v>
                </c:pt>
                <c:pt idx="2">
                  <c:v> MARCH </c:v>
                </c:pt>
                <c:pt idx="3">
                  <c:v> APRIL </c:v>
                </c:pt>
                <c:pt idx="4">
                  <c:v> MAY </c:v>
                </c:pt>
                <c:pt idx="5">
                  <c:v> JUNE </c:v>
                </c:pt>
                <c:pt idx="6">
                  <c:v> JULY </c:v>
                </c:pt>
                <c:pt idx="7">
                  <c:v> AUGUST </c:v>
                </c:pt>
                <c:pt idx="8">
                  <c:v> SEPTEMBER </c:v>
                </c:pt>
              </c:strCache>
            </c:strRef>
          </c:cat>
          <c:val>
            <c:numRef>
              <c:f>COCMFOSABMS!$P$30:$X$30</c:f>
              <c:numCache>
                <c:formatCode>_ * #,##0.00_ ;_ * \-#,##0.00_ ;_ * "-"??_ ;_ @_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100000</c:v>
                </c:pt>
                <c:pt idx="7">
                  <c:v>953200</c:v>
                </c:pt>
                <c:pt idx="8">
                  <c:v>99800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D-4ABA-BBF8-48F223D3B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145632"/>
        <c:axId val="2094555120"/>
      </c:lineChart>
      <c:catAx>
        <c:axId val="208214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55120"/>
        <c:crosses val="autoZero"/>
        <c:auto val="1"/>
        <c:lblAlgn val="ctr"/>
        <c:lblOffset val="100"/>
        <c:noMultiLvlLbl val="0"/>
      </c:catAx>
      <c:valAx>
        <c:axId val="20945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45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 sz="1050" b="1">
          <a:solidFill>
            <a:schemeClr val="accen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'LOGBOOK  TEAM LEADERS'!$A$2:$D$2</c:f>
              <c:strCache>
                <c:ptCount val="4"/>
                <c:pt idx="0">
                  <c:v>PHILIP OMBILI</c:v>
                </c:pt>
                <c:pt idx="1">
                  <c:v>VOI</c:v>
                </c:pt>
                <c:pt idx="2">
                  <c:v>TLL</c:v>
                </c:pt>
                <c:pt idx="3">
                  <c:v>2024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'LOGBOOK  TEAM LEADERS'!$P$1:$W$1</c:f>
              <c:strCache>
                <c:ptCount val="8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'LOGBOOK  TEAM LEADERS'!$P$2:$W$2</c:f>
              <c:numCache>
                <c:formatCode>_ * #,##0.00_ ;_ * \-#,##0.00_ ;_ * "-"??_ ;_ @_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1554000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A-47F9-BDF1-DC2B58979C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9584928"/>
        <c:axId val="2009577856"/>
      </c:barChart>
      <c:catAx>
        <c:axId val="20095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577856"/>
        <c:crosses val="autoZero"/>
        <c:auto val="1"/>
        <c:lblAlgn val="ctr"/>
        <c:lblOffset val="100"/>
        <c:noMultiLvlLbl val="0"/>
      </c:catAx>
      <c:valAx>
        <c:axId val="200957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58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 sz="1050" b="1">
          <a:solidFill>
            <a:schemeClr val="accen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'CHECKOFF TEAM LEADERS '!$A$40:$E$40</c:f>
              <c:strCache>
                <c:ptCount val="5"/>
                <c:pt idx="0">
                  <c:v>SELINA NALIAKA</c:v>
                </c:pt>
                <c:pt idx="1">
                  <c:v>MOMBASA</c:v>
                </c:pt>
                <c:pt idx="2">
                  <c:v>COASTAL  REGION</c:v>
                </c:pt>
                <c:pt idx="3">
                  <c:v>Team Leader - Checkoff</c:v>
                </c:pt>
                <c:pt idx="4">
                  <c:v>2024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'CHECKOFF TEAM LEADERS '!$Q$1:$X$1</c:f>
              <c:strCache>
                <c:ptCount val="8"/>
                <c:pt idx="0">
                  <c:v>JANUARY </c:v>
                </c:pt>
                <c:pt idx="1">
                  <c:v> FEBRUARY </c:v>
                </c:pt>
                <c:pt idx="2">
                  <c:v> MARCH </c:v>
                </c:pt>
                <c:pt idx="3">
                  <c:v> APRIL </c:v>
                </c:pt>
                <c:pt idx="4">
                  <c:v> MAY </c:v>
                </c:pt>
                <c:pt idx="5">
                  <c:v> JUNE </c:v>
                </c:pt>
                <c:pt idx="6">
                  <c:v> JULY </c:v>
                </c:pt>
                <c:pt idx="7">
                  <c:v> AUGUST </c:v>
                </c:pt>
              </c:strCache>
            </c:strRef>
          </c:cat>
          <c:val>
            <c:numRef>
              <c:f>'CHECKOFF TEAM LEADERS '!$Q$40:$X$40</c:f>
              <c:numCache>
                <c:formatCode>_ * #,##0.00_ ;_ * \-#,##0.00_ ;_ * "-"??_ ;_ @_ </c:formatCode>
                <c:ptCount val="8"/>
                <c:pt idx="0">
                  <c:v>30000</c:v>
                </c:pt>
                <c:pt idx="1">
                  <c:v>715370</c:v>
                </c:pt>
                <c:pt idx="2">
                  <c:v>1871565</c:v>
                </c:pt>
                <c:pt idx="3">
                  <c:v>0</c:v>
                </c:pt>
                <c:pt idx="4">
                  <c:v>1131004</c:v>
                </c:pt>
                <c:pt idx="5">
                  <c:v>4106252</c:v>
                </c:pt>
                <c:pt idx="6">
                  <c:v>3482300</c:v>
                </c:pt>
                <c:pt idx="7">
                  <c:v>1528900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3-4912-9CEF-F2954C1F55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0256160"/>
        <c:axId val="2100262816"/>
      </c:barChart>
      <c:catAx>
        <c:axId val="21002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2816"/>
        <c:crosses val="autoZero"/>
        <c:auto val="1"/>
        <c:lblAlgn val="ctr"/>
        <c:lblOffset val="100"/>
        <c:noMultiLvlLbl val="0"/>
      </c:catAx>
      <c:valAx>
        <c:axId val="21002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5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 sz="1100" b="1">
          <a:solidFill>
            <a:schemeClr val="accen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'CALL CENTER'!$A$2:$C$2</c:f>
              <c:strCache>
                <c:ptCount val="3"/>
                <c:pt idx="0">
                  <c:v>MACLINE GATI</c:v>
                </c:pt>
                <c:pt idx="1">
                  <c:v>CC AGENT </c:v>
                </c:pt>
                <c:pt idx="2">
                  <c:v>2024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'CALL CENTER'!$O$1:$W$1</c:f>
              <c:strCache>
                <c:ptCount val="9"/>
                <c:pt idx="0">
                  <c:v> JANUARY  </c:v>
                </c:pt>
                <c:pt idx="1">
                  <c:v> FEBRUARY </c:v>
                </c:pt>
                <c:pt idx="2">
                  <c:v> MARCH </c:v>
                </c:pt>
                <c:pt idx="3">
                  <c:v> APRIL </c:v>
                </c:pt>
                <c:pt idx="4">
                  <c:v> MAY </c:v>
                </c:pt>
                <c:pt idx="5">
                  <c:v> JUNE </c:v>
                </c:pt>
                <c:pt idx="6">
                  <c:v> JULY </c:v>
                </c:pt>
                <c:pt idx="7">
                  <c:v> AUGUST </c:v>
                </c:pt>
                <c:pt idx="8">
                  <c:v> SEPTEMBER </c:v>
                </c:pt>
              </c:strCache>
            </c:strRef>
          </c:cat>
          <c:val>
            <c:numRef>
              <c:f>'CALL CENTER'!$O$2:$W$2</c:f>
              <c:numCache>
                <c:formatCode>_ * #,##0.00_ ;_ * \-#,##0.00_ ;_ * "-"??_ ;_ @_ </c:formatCode>
                <c:ptCount val="9"/>
                <c:pt idx="0">
                  <c:v>2110000</c:v>
                </c:pt>
                <c:pt idx="1">
                  <c:v>2730000</c:v>
                </c:pt>
                <c:pt idx="2">
                  <c:v>2700000</c:v>
                </c:pt>
                <c:pt idx="3">
                  <c:v>2700000</c:v>
                </c:pt>
                <c:pt idx="4">
                  <c:v>3280000</c:v>
                </c:pt>
                <c:pt idx="5">
                  <c:v>2220000</c:v>
                </c:pt>
                <c:pt idx="6">
                  <c:v>2835000</c:v>
                </c:pt>
                <c:pt idx="7">
                  <c:v>175000</c:v>
                </c:pt>
                <c:pt idx="8">
                  <c:v>2150000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E6-4659-AEB4-7080E0A88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336000"/>
        <c:axId val="2020337664"/>
      </c:lineChart>
      <c:catAx>
        <c:axId val="202033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337664"/>
        <c:crosses val="autoZero"/>
        <c:auto val="1"/>
        <c:lblAlgn val="ctr"/>
        <c:lblOffset val="100"/>
        <c:noMultiLvlLbl val="0"/>
      </c:catAx>
      <c:valAx>
        <c:axId val="202033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3360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 sz="1100" b="1">
          <a:solidFill>
            <a:schemeClr val="accen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'BRANCHES '!$C$2</c:f>
              <c:strCache>
                <c:ptCount val="1"/>
                <c:pt idx="0">
                  <c:v>PENSION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'BRANCHES '!$K$1:$R$1</c:f>
              <c:strCache>
                <c:ptCount val="8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'BRANCHES '!$K$2:$R$2</c:f>
              <c:numCache>
                <c:formatCode>_ * #,##0.00_ ;_ * \-#,##0.00_ ;_ * "-"??_ ;_ @_ </c:formatCode>
                <c:ptCount val="8"/>
                <c:pt idx="0">
                  <c:v>82244093</c:v>
                </c:pt>
                <c:pt idx="1">
                  <c:v>95136560</c:v>
                </c:pt>
                <c:pt idx="2">
                  <c:v>85917755</c:v>
                </c:pt>
                <c:pt idx="3">
                  <c:v>63160893</c:v>
                </c:pt>
                <c:pt idx="4">
                  <c:v>85618478</c:v>
                </c:pt>
                <c:pt idx="5">
                  <c:v>78524842.650000006</c:v>
                </c:pt>
                <c:pt idx="6">
                  <c:v>157486993.76999998</c:v>
                </c:pt>
                <c:pt idx="7">
                  <c:v>92080749.299999997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C-4184-B622-59BCA1D01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047679"/>
        <c:axId val="790048095"/>
      </c:lineChart>
      <c:catAx>
        <c:axId val="79004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48095"/>
        <c:crosses val="autoZero"/>
        <c:auto val="1"/>
        <c:lblAlgn val="ctr"/>
        <c:lblOffset val="100"/>
        <c:noMultiLvlLbl val="0"/>
      </c:catAx>
      <c:valAx>
        <c:axId val="7900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47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81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 sz="1050" b="1">
          <a:solidFill>
            <a:schemeClr val="accent1">
              <a:lumMod val="7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899166</xdr:colOff>
      <xdr:row>43</xdr:row>
      <xdr:rowOff>45720</xdr:rowOff>
    </xdr:from>
    <xdr:to>
      <xdr:col>14</xdr:col>
      <xdr:colOff>175260</xdr:colOff>
      <xdr:row>64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E084B5-0F2B-171F-B3E5-0C4603F31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636270</xdr:colOff>
      <xdr:row>7</xdr:row>
      <xdr:rowOff>121920</xdr:rowOff>
    </xdr:from>
    <xdr:to>
      <xdr:col>18</xdr:col>
      <xdr:colOff>525780</xdr:colOff>
      <xdr:row>29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665961-210B-9C2A-0C4F-32B8B0459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537210</xdr:colOff>
      <xdr:row>62</xdr:row>
      <xdr:rowOff>160020</xdr:rowOff>
    </xdr:from>
    <xdr:to>
      <xdr:col>18</xdr:col>
      <xdr:colOff>335280</xdr:colOff>
      <xdr:row>85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575FE-3DB6-D9B4-506C-E6BEB1683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19</xdr:row>
      <xdr:rowOff>30480</xdr:rowOff>
    </xdr:from>
    <xdr:to>
      <xdr:col>14</xdr:col>
      <xdr:colOff>167640</xdr:colOff>
      <xdr:row>43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DB0BD2-31D6-2682-5FAC-E588C5908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43</xdr:row>
      <xdr:rowOff>152400</xdr:rowOff>
    </xdr:from>
    <xdr:to>
      <xdr:col>18</xdr:col>
      <xdr:colOff>175260</xdr:colOff>
      <xdr:row>64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977A1D-6891-51F3-A624-91A655C2F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CL%20JENKINS/Documents/MCL%20MT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CL%20JENKINS/Desktop/2024%20ANALYSIS/CHECKOFF/JUNE%20CHECKOFF%20DISBURS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3M"/>
      <sheetName val="ALL SUM"/>
      <sheetName val="BRANCHES "/>
      <sheetName val="ROSELINS TEAM "/>
      <sheetName val="MULINGES TEAM"/>
      <sheetName val="OGADAS TEAM "/>
      <sheetName val="lOGBOOK TEAM"/>
      <sheetName val="COLLECTIONS "/>
      <sheetName val="RSM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 xml:space="preserve">UNIT MANAGERS  </v>
          </cell>
          <cell r="B1" t="str">
            <v>BRANCH</v>
          </cell>
        </row>
        <row r="2">
          <cell r="A2" t="str">
            <v>MILLICENT AWINO</v>
          </cell>
          <cell r="B2" t="str">
            <v>NAKURU</v>
          </cell>
        </row>
        <row r="3">
          <cell r="A3" t="str">
            <v>JOHN MUSILI THIONGO</v>
          </cell>
          <cell r="B3" t="str">
            <v>KITUI</v>
          </cell>
        </row>
        <row r="4">
          <cell r="A4" t="str">
            <v>MORRIS MUGALO</v>
          </cell>
          <cell r="B4" t="str">
            <v>ELDORET</v>
          </cell>
        </row>
        <row r="5">
          <cell r="A5" t="str">
            <v>KENNEDY WAGALLA</v>
          </cell>
          <cell r="B5" t="str">
            <v>KISUMU</v>
          </cell>
        </row>
        <row r="6">
          <cell r="A6" t="str">
            <v>TABITHA MBINYA</v>
          </cell>
          <cell r="B6" t="str">
            <v>MACHAKOS</v>
          </cell>
        </row>
        <row r="7">
          <cell r="A7" t="str">
            <v>BENARD OGELLO</v>
          </cell>
          <cell r="B7" t="str">
            <v>NAKURU</v>
          </cell>
        </row>
        <row r="8">
          <cell r="A8" t="str">
            <v>JANICE KAWIRA</v>
          </cell>
          <cell r="B8" t="str">
            <v>KITUI</v>
          </cell>
        </row>
        <row r="9">
          <cell r="A9" t="str">
            <v>ANTONE ODONGO</v>
          </cell>
          <cell r="B9" t="str">
            <v>THIKA</v>
          </cell>
        </row>
        <row r="10">
          <cell r="A10" t="str">
            <v>RICHARD KABINGA SINGOMBE</v>
          </cell>
          <cell r="B10" t="str">
            <v>KISUMU</v>
          </cell>
        </row>
        <row r="11">
          <cell r="A11" t="str">
            <v>STEVE HABWE</v>
          </cell>
          <cell r="B11" t="str">
            <v>HOMABAY</v>
          </cell>
        </row>
        <row r="12">
          <cell r="A12" t="str">
            <v>FRIDAH MWONDO</v>
          </cell>
          <cell r="B12" t="str">
            <v>KITENGELA</v>
          </cell>
        </row>
        <row r="13">
          <cell r="A13" t="str">
            <v>RACHAEL MBITHE</v>
          </cell>
          <cell r="B13" t="str">
            <v>ECOBANK</v>
          </cell>
        </row>
        <row r="14">
          <cell r="A14" t="str">
            <v>STEVE ODONGO</v>
          </cell>
          <cell r="B14" t="str">
            <v>MOMBASA</v>
          </cell>
        </row>
        <row r="15">
          <cell r="A15" t="str">
            <v>CAROLINE MUTILE</v>
          </cell>
          <cell r="B15" t="str">
            <v>PENSION</v>
          </cell>
        </row>
        <row r="16">
          <cell r="A16" t="str">
            <v>HAAVIAH ODONGO</v>
          </cell>
          <cell r="B16" t="str">
            <v>KISUMU</v>
          </cell>
        </row>
        <row r="17">
          <cell r="A17" t="str">
            <v>GLADYS PAUL</v>
          </cell>
          <cell r="B17" t="str">
            <v>MACHAKOS</v>
          </cell>
        </row>
        <row r="18">
          <cell r="A18" t="str">
            <v>ISIAH ONYANGO</v>
          </cell>
          <cell r="B18" t="str">
            <v>NAKURU</v>
          </cell>
        </row>
        <row r="19">
          <cell r="A19" t="str">
            <v>FRANSISCA JERUTICH</v>
          </cell>
          <cell r="B19" t="str">
            <v>ELDORET</v>
          </cell>
        </row>
        <row r="20">
          <cell r="A20" t="str">
            <v>ROBERT GABRIEL</v>
          </cell>
          <cell r="B20" t="str">
            <v>ELDORET</v>
          </cell>
        </row>
        <row r="21">
          <cell r="A21" t="str">
            <v>STEPHENE NYAUMA</v>
          </cell>
          <cell r="B21" t="str">
            <v>KISUMU</v>
          </cell>
        </row>
        <row r="22">
          <cell r="A22" t="str">
            <v>SELINA NALIAKA</v>
          </cell>
          <cell r="B22" t="str">
            <v>MOMBASA</v>
          </cell>
        </row>
        <row r="23">
          <cell r="A23" t="str">
            <v>WINFRED MAKENA</v>
          </cell>
          <cell r="B23" t="str">
            <v>THIKA</v>
          </cell>
        </row>
        <row r="24">
          <cell r="A24" t="str">
            <v>ALICE LOMO</v>
          </cell>
          <cell r="B24" t="str">
            <v>ELDORET</v>
          </cell>
        </row>
        <row r="25">
          <cell r="A25" t="str">
            <v>PETER MAINA</v>
          </cell>
          <cell r="B25" t="str">
            <v>NAKURU</v>
          </cell>
        </row>
        <row r="26">
          <cell r="A26" t="str">
            <v>DAMSKY KISANYA</v>
          </cell>
          <cell r="B26" t="str">
            <v>PENSION</v>
          </cell>
        </row>
        <row r="27">
          <cell r="A27" t="str">
            <v>ELIJAH NGILA</v>
          </cell>
          <cell r="B27" t="str">
            <v>THIKA</v>
          </cell>
        </row>
        <row r="28">
          <cell r="A28" t="str">
            <v>LUKAS MANAMAWE</v>
          </cell>
          <cell r="B28" t="str">
            <v>MOMBASA</v>
          </cell>
        </row>
        <row r="29">
          <cell r="A29" t="str">
            <v>JOSEPH ORINA</v>
          </cell>
          <cell r="B29" t="str">
            <v>HOMABAY</v>
          </cell>
        </row>
        <row r="30">
          <cell r="A30" t="str">
            <v>JUVENTURE ATIENO</v>
          </cell>
          <cell r="B30" t="str">
            <v>HOMABAY</v>
          </cell>
        </row>
        <row r="31">
          <cell r="A31" t="str">
            <v>CLAIRE WANGECHI</v>
          </cell>
          <cell r="B31" t="str">
            <v>THIKA</v>
          </cell>
        </row>
        <row r="32">
          <cell r="A32" t="str">
            <v>ROSE KANG'OMBE MSHILA</v>
          </cell>
          <cell r="B32" t="str">
            <v>VOI</v>
          </cell>
        </row>
        <row r="33">
          <cell r="A33" t="str">
            <v>AMBROSE OLOO</v>
          </cell>
          <cell r="B33" t="str">
            <v>KISUMU</v>
          </cell>
        </row>
        <row r="34">
          <cell r="A34" t="str">
            <v>IRENE MUSYOKI</v>
          </cell>
          <cell r="B34" t="str">
            <v>KITENGELA</v>
          </cell>
        </row>
        <row r="35">
          <cell r="A35" t="str">
            <v>SAMWEL MUTINDA</v>
          </cell>
          <cell r="B35" t="str">
            <v>THIKA</v>
          </cell>
        </row>
        <row r="36">
          <cell r="A36" t="str">
            <v>JEREMIAH KAMULA</v>
          </cell>
          <cell r="B36" t="str">
            <v>THIKA</v>
          </cell>
        </row>
        <row r="37">
          <cell r="A37" t="str">
            <v>CHRISTOPHER KOECH</v>
          </cell>
          <cell r="B37" t="str">
            <v>ELDORET</v>
          </cell>
        </row>
        <row r="38">
          <cell r="A38" t="str">
            <v>SALOME MWANDIRI</v>
          </cell>
          <cell r="B38" t="str">
            <v>THIKA</v>
          </cell>
        </row>
        <row r="39">
          <cell r="A39" t="str">
            <v>DANIEL MUGUNA</v>
          </cell>
          <cell r="B39" t="str">
            <v>THIKA</v>
          </cell>
        </row>
        <row r="40">
          <cell r="A40" t="str">
            <v>WELDON KIPLAGAT</v>
          </cell>
          <cell r="B40" t="str">
            <v>NAKURU</v>
          </cell>
        </row>
        <row r="41">
          <cell r="A41" t="str">
            <v>FAITH OSORO</v>
          </cell>
          <cell r="B41" t="str">
            <v>KISUMU</v>
          </cell>
        </row>
        <row r="42">
          <cell r="A42" t="str">
            <v>DIANA WALI WAKIO</v>
          </cell>
          <cell r="B42" t="str">
            <v>VOI</v>
          </cell>
        </row>
        <row r="43">
          <cell r="A43" t="str">
            <v>JOSEPH WAMBUA</v>
          </cell>
          <cell r="B43" t="str">
            <v>MACHAKOS</v>
          </cell>
        </row>
        <row r="44">
          <cell r="A44" t="str">
            <v>CALEB KIPLAGAT MAIYO</v>
          </cell>
          <cell r="B44" t="str">
            <v>ELDORET</v>
          </cell>
        </row>
        <row r="45">
          <cell r="A45" t="str">
            <v xml:space="preserve">BENARD KEROIGE </v>
          </cell>
          <cell r="B45" t="str">
            <v>HOMABAY</v>
          </cell>
        </row>
        <row r="46">
          <cell r="A46" t="str">
            <v>MICHAEL GICHONGE</v>
          </cell>
          <cell r="B46" t="str">
            <v>THIKA</v>
          </cell>
        </row>
        <row r="47">
          <cell r="A47" t="str">
            <v>MARY KENDI</v>
          </cell>
          <cell r="B47" t="str">
            <v>ECOBANK</v>
          </cell>
        </row>
        <row r="48">
          <cell r="A48" t="str">
            <v>FAITH NGINA</v>
          </cell>
          <cell r="B48" t="str">
            <v>KITENGELA</v>
          </cell>
        </row>
        <row r="49">
          <cell r="A49" t="str">
            <v>STEPHEN MIGWI</v>
          </cell>
          <cell r="B49" t="str">
            <v>THIKA</v>
          </cell>
        </row>
        <row r="50">
          <cell r="A50" t="str">
            <v>HUMPREY GACHERU KABUCHU</v>
          </cell>
          <cell r="B50" t="str">
            <v>THIKA</v>
          </cell>
        </row>
        <row r="51">
          <cell r="A51" t="str">
            <v>MIRRIAM KANANA</v>
          </cell>
          <cell r="B51" t="str">
            <v>ECOBANK</v>
          </cell>
        </row>
        <row r="52">
          <cell r="A52" t="str">
            <v>FLORA WAIRIMU</v>
          </cell>
          <cell r="B52" t="str">
            <v>THIKA</v>
          </cell>
        </row>
        <row r="53">
          <cell r="A53" t="str">
            <v>JOSEPH MUTHIANI</v>
          </cell>
          <cell r="B53" t="str">
            <v>MACHAKOS</v>
          </cell>
        </row>
        <row r="54">
          <cell r="A54" t="str">
            <v>BETH MULI</v>
          </cell>
          <cell r="B54" t="str">
            <v>KITUI</v>
          </cell>
        </row>
        <row r="55">
          <cell r="A55" t="str">
            <v>GILBERT KIPRONO</v>
          </cell>
          <cell r="B55" t="str">
            <v>NAKURU</v>
          </cell>
        </row>
        <row r="56">
          <cell r="A56" t="str">
            <v>ISAAC MUREITHI</v>
          </cell>
          <cell r="B56" t="str">
            <v>THIKA</v>
          </cell>
        </row>
        <row r="57">
          <cell r="A57" t="str">
            <v>BRIAN BOKORO RIMBA</v>
          </cell>
          <cell r="B57" t="str">
            <v>VOI</v>
          </cell>
        </row>
        <row r="58">
          <cell r="A58" t="str">
            <v>OTHER STAFF</v>
          </cell>
        </row>
        <row r="59">
          <cell r="A59" t="str">
            <v>TOTAL</v>
          </cell>
          <cell r="B59"/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SALES "/>
      <sheetName val="WEEKLY SALES "/>
      <sheetName val="MONTHLY SALES "/>
      <sheetName val="WEEKLY  TO WEEK SALES "/>
      <sheetName val="NEW EXISITNG "/>
      <sheetName val="PENDING FULL BOOKING"/>
      <sheetName val="PENDING ANALYSIS "/>
      <sheetName val="Fully Booked"/>
      <sheetName val="REGIONAL EFFICENCY"/>
      <sheetName val="MARKETERS ANALYSIS"/>
      <sheetName val="MARKETERS ALONE"/>
      <sheetName val="REGIONAL MARKTERS "/>
      <sheetName val="DAILY WEEKLY GRAPHS "/>
      <sheetName val="REGIONS"/>
      <sheetName val="PRODUCT MANAGER EFFICIENCY"/>
      <sheetName val="SALES "/>
      <sheetName val="SUMMARY"/>
      <sheetName val="disbursment and by product summ"/>
      <sheetName val="BYPRODUCT CHANGE"/>
      <sheetName val="CLEARANCE"/>
      <sheetName val="Sheet1"/>
      <sheetName val="Sheet4"/>
      <sheetName val="CHECKOFF P&amp;L"/>
      <sheetName val="Sheet5"/>
      <sheetName val="CHECKOFF YEAR TO DATE "/>
      <sheetName val="SUMMARY YTD"/>
      <sheetName val="DAY TO DAY PERFORMANCE"/>
      <sheetName val="PENDING BUY OFF CASES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UNIT MANAGERS  </v>
          </cell>
          <cell r="E1" t="str">
            <v>TOTAL</v>
          </cell>
        </row>
        <row r="2">
          <cell r="A2" t="str">
            <v>RACHAEL MBITHE</v>
          </cell>
          <cell r="E2">
            <v>6503060</v>
          </cell>
        </row>
        <row r="3">
          <cell r="A3" t="str">
            <v>EVALENE WAMBUI</v>
          </cell>
          <cell r="E3">
            <v>0</v>
          </cell>
        </row>
        <row r="4">
          <cell r="A4" t="str">
            <v>ALICE LOMO</v>
          </cell>
          <cell r="E4">
            <v>2577000</v>
          </cell>
        </row>
        <row r="5">
          <cell r="A5" t="str">
            <v>FRANSISCA JERUTICH</v>
          </cell>
          <cell r="E5">
            <v>2764800</v>
          </cell>
        </row>
        <row r="6">
          <cell r="A6" t="str">
            <v>ROBERT GABRIEL</v>
          </cell>
          <cell r="E6">
            <v>3725460</v>
          </cell>
        </row>
        <row r="7">
          <cell r="A7" t="str">
            <v>MORRIS MUGALO</v>
          </cell>
          <cell r="E7">
            <v>150000</v>
          </cell>
        </row>
        <row r="8">
          <cell r="A8" t="str">
            <v>STEVE HABWE</v>
          </cell>
          <cell r="E8">
            <v>3970540</v>
          </cell>
        </row>
        <row r="9">
          <cell r="A9" t="str">
            <v>MICHAEL OKUMU</v>
          </cell>
          <cell r="E9">
            <v>182300</v>
          </cell>
        </row>
        <row r="10">
          <cell r="A10" t="str">
            <v>JUVENTURE ATIENO</v>
          </cell>
          <cell r="E10">
            <v>1888700</v>
          </cell>
        </row>
        <row r="11">
          <cell r="A11" t="str">
            <v>FINLET MOGAKA</v>
          </cell>
          <cell r="E11">
            <v>0</v>
          </cell>
        </row>
        <row r="12">
          <cell r="A12" t="str">
            <v xml:space="preserve">BENARD KEROIGE </v>
          </cell>
          <cell r="E12">
            <v>1113152</v>
          </cell>
        </row>
        <row r="13">
          <cell r="A13" t="str">
            <v>JOSEPH ORINA</v>
          </cell>
          <cell r="E13">
            <v>1568400</v>
          </cell>
        </row>
        <row r="14">
          <cell r="A14" t="str">
            <v>RICHARD KABINGA SINGOMBE</v>
          </cell>
          <cell r="E14">
            <v>2609847</v>
          </cell>
        </row>
        <row r="15">
          <cell r="A15" t="str">
            <v>STEPHENE NYAUMA</v>
          </cell>
          <cell r="E15">
            <v>4730657</v>
          </cell>
        </row>
        <row r="16">
          <cell r="A16" t="str">
            <v>OLIVER ODONGO</v>
          </cell>
          <cell r="E16">
            <v>1085620</v>
          </cell>
        </row>
        <row r="17">
          <cell r="A17" t="str">
            <v>HAAVIAH ODONGO</v>
          </cell>
          <cell r="E17">
            <v>1277600</v>
          </cell>
        </row>
        <row r="18">
          <cell r="A18" t="str">
            <v>MICHAEL ADHOLA</v>
          </cell>
          <cell r="E18">
            <v>30050</v>
          </cell>
        </row>
        <row r="19">
          <cell r="A19" t="str">
            <v>MAUREEN ATIENO</v>
          </cell>
          <cell r="E19">
            <v>16050</v>
          </cell>
        </row>
        <row r="20">
          <cell r="A20" t="str">
            <v>PHILEMON ONYANGO</v>
          </cell>
          <cell r="E20">
            <v>662650</v>
          </cell>
        </row>
        <row r="21">
          <cell r="A21" t="str">
            <v>FAITH OSORO</v>
          </cell>
          <cell r="E21">
            <v>1121955</v>
          </cell>
        </row>
        <row r="22">
          <cell r="A22" t="str">
            <v>AMBROSE OLOO</v>
          </cell>
          <cell r="E22">
            <v>30000</v>
          </cell>
        </row>
        <row r="23">
          <cell r="A23" t="str">
            <v>FRIDAH MWONDO</v>
          </cell>
          <cell r="E23">
            <v>2207941</v>
          </cell>
        </row>
        <row r="24">
          <cell r="A24" t="str">
            <v>IRENE MUSYOKI</v>
          </cell>
          <cell r="E24">
            <v>5662300</v>
          </cell>
        </row>
        <row r="25">
          <cell r="A25" t="str">
            <v>GLADYS PAUL</v>
          </cell>
          <cell r="E25">
            <v>1989926</v>
          </cell>
        </row>
        <row r="26">
          <cell r="A26" t="str">
            <v xml:space="preserve">JOSEPH NDOO KIMUNDI </v>
          </cell>
          <cell r="E26">
            <v>0</v>
          </cell>
        </row>
        <row r="27">
          <cell r="A27" t="str">
            <v>TABITHA MBINYA</v>
          </cell>
          <cell r="E27">
            <v>0</v>
          </cell>
        </row>
        <row r="28">
          <cell r="A28" t="str">
            <v>JOHN MUSILI THIONGO</v>
          </cell>
          <cell r="E28">
            <v>4618058</v>
          </cell>
        </row>
        <row r="29">
          <cell r="A29" t="str">
            <v>JANICE KAWIRA</v>
          </cell>
          <cell r="E29">
            <v>6699934</v>
          </cell>
        </row>
        <row r="30">
          <cell r="A30" t="str">
            <v>STEVE ODONGO</v>
          </cell>
          <cell r="E30">
            <v>2837500</v>
          </cell>
        </row>
        <row r="31">
          <cell r="A31" t="str">
            <v>LUKAS MANAMAWE</v>
          </cell>
          <cell r="E31">
            <v>925800</v>
          </cell>
        </row>
        <row r="32">
          <cell r="A32" t="str">
            <v>GLADYS WAKESHO</v>
          </cell>
          <cell r="E32">
            <v>0</v>
          </cell>
        </row>
        <row r="33">
          <cell r="A33" t="str">
            <v>SELINA NALIAKA</v>
          </cell>
          <cell r="E33">
            <v>4106252</v>
          </cell>
        </row>
        <row r="34">
          <cell r="A34" t="str">
            <v>NELSON MANDELA</v>
          </cell>
          <cell r="E34">
            <v>2082294</v>
          </cell>
        </row>
        <row r="35">
          <cell r="A35" t="str">
            <v>BENARD OGELLO</v>
          </cell>
          <cell r="E35">
            <v>5735915</v>
          </cell>
        </row>
        <row r="36">
          <cell r="A36" t="str">
            <v>ISIAH ONYANGO</v>
          </cell>
          <cell r="E36">
            <v>6100</v>
          </cell>
        </row>
        <row r="37">
          <cell r="A37" t="str">
            <v>MILLICENT AWINO</v>
          </cell>
          <cell r="E37">
            <v>898000</v>
          </cell>
        </row>
        <row r="38">
          <cell r="A38" t="str">
            <v>PETER MAINA</v>
          </cell>
          <cell r="E38">
            <v>1095791</v>
          </cell>
        </row>
        <row r="39">
          <cell r="A39" t="str">
            <v>CAROLINE MUTILE</v>
          </cell>
          <cell r="E39">
            <v>2877916</v>
          </cell>
        </row>
        <row r="40">
          <cell r="A40" t="str">
            <v>LUCY AKOTH</v>
          </cell>
          <cell r="E40">
            <v>727500</v>
          </cell>
        </row>
        <row r="41">
          <cell r="A41" t="str">
            <v>DAMSKY KISANYA</v>
          </cell>
          <cell r="E41">
            <v>3105422</v>
          </cell>
        </row>
        <row r="42">
          <cell r="A42" t="str">
            <v>SAMWEL MUTINDA</v>
          </cell>
          <cell r="E42">
            <v>1513200</v>
          </cell>
        </row>
        <row r="43">
          <cell r="A43" t="str">
            <v>WINFRED MAKENA</v>
          </cell>
          <cell r="E43">
            <v>8033108</v>
          </cell>
        </row>
        <row r="44">
          <cell r="A44" t="str">
            <v>SUSAN WAMBUI</v>
          </cell>
          <cell r="E44">
            <v>0</v>
          </cell>
        </row>
        <row r="45">
          <cell r="A45" t="str">
            <v>JUSTINE MWANGI</v>
          </cell>
          <cell r="E45">
            <v>0</v>
          </cell>
        </row>
        <row r="46">
          <cell r="A46" t="str">
            <v>SALOME MWANDIRI</v>
          </cell>
          <cell r="E46">
            <v>2323786</v>
          </cell>
        </row>
        <row r="47">
          <cell r="A47" t="str">
            <v>ELIJAH NGILA</v>
          </cell>
          <cell r="E47">
            <v>123612</v>
          </cell>
        </row>
        <row r="48">
          <cell r="A48" t="str">
            <v>DANIEL MUGUNA</v>
          </cell>
          <cell r="E48">
            <v>903900</v>
          </cell>
        </row>
        <row r="49">
          <cell r="A49" t="str">
            <v>CLAIRE WANGECHI</v>
          </cell>
          <cell r="E49">
            <v>1806900</v>
          </cell>
        </row>
        <row r="50">
          <cell r="A50" t="str">
            <v>PAUL KINYUA</v>
          </cell>
          <cell r="E50">
            <v>1732200</v>
          </cell>
        </row>
        <row r="51">
          <cell r="A51" t="str">
            <v>JEREMIAH KAMULA</v>
          </cell>
          <cell r="E51">
            <v>1866500</v>
          </cell>
        </row>
        <row r="52">
          <cell r="A52" t="str">
            <v>ANTONE ODONGO</v>
          </cell>
          <cell r="E52">
            <v>1941925</v>
          </cell>
        </row>
        <row r="53">
          <cell r="A53" t="str">
            <v>RUTH WAMBUI</v>
          </cell>
          <cell r="E53">
            <v>309994</v>
          </cell>
        </row>
        <row r="54">
          <cell r="A54" t="str">
            <v>MILLICENT KIRUKI</v>
          </cell>
          <cell r="E54">
            <v>2049400</v>
          </cell>
        </row>
        <row r="55">
          <cell r="A55" t="str">
            <v>JACKSON MABUTO</v>
          </cell>
          <cell r="E55">
            <v>0</v>
          </cell>
        </row>
        <row r="56">
          <cell r="A56" t="str">
            <v>OTHER STAFF</v>
          </cell>
          <cell r="E56">
            <v>16851878</v>
          </cell>
        </row>
        <row r="57">
          <cell r="A57" t="str">
            <v>TOTAL</v>
          </cell>
          <cell r="E57">
            <v>121040893</v>
          </cell>
        </row>
        <row r="59">
          <cell r="E59"/>
        </row>
        <row r="60">
          <cell r="A60" t="str">
            <v>EMPLOYER</v>
          </cell>
          <cell r="E60" t="str">
            <v xml:space="preserve">TOTAL </v>
          </cell>
        </row>
        <row r="61">
          <cell r="A61" t="str">
            <v>OOP POLICE</v>
          </cell>
          <cell r="E61">
            <v>0</v>
          </cell>
        </row>
        <row r="62">
          <cell r="A62" t="str">
            <v>OOP-ADPOL</v>
          </cell>
          <cell r="E62">
            <v>0</v>
          </cell>
        </row>
        <row r="63">
          <cell r="A63" t="str">
            <v>TSC</v>
          </cell>
          <cell r="E63">
            <v>41729707</v>
          </cell>
        </row>
        <row r="64">
          <cell r="A64" t="str">
            <v>COUNTY</v>
          </cell>
          <cell r="E64">
            <v>48563034</v>
          </cell>
        </row>
        <row r="65">
          <cell r="A65" t="str">
            <v>MINISTRIES</v>
          </cell>
          <cell r="E65">
            <v>24247387</v>
          </cell>
        </row>
        <row r="66">
          <cell r="A66" t="str">
            <v>PRISONS</v>
          </cell>
          <cell r="E66">
            <v>4700849</v>
          </cell>
        </row>
        <row r="67">
          <cell r="A67" t="str">
            <v>OOP MAIN</v>
          </cell>
          <cell r="E67">
            <v>1434116</v>
          </cell>
        </row>
        <row r="68">
          <cell r="A68" t="str">
            <v>PARASTATAL</v>
          </cell>
          <cell r="E68">
            <v>104800</v>
          </cell>
        </row>
        <row r="69">
          <cell r="A69" t="str">
            <v>DCI</v>
          </cell>
          <cell r="E69">
            <v>0</v>
          </cell>
        </row>
        <row r="70">
          <cell r="A70" t="str">
            <v>NYS</v>
          </cell>
          <cell r="E70">
            <v>232900</v>
          </cell>
        </row>
        <row r="71">
          <cell r="A71" t="str">
            <v>UNIVERSITY</v>
          </cell>
          <cell r="E71">
            <v>0</v>
          </cell>
        </row>
        <row r="72">
          <cell r="A72" t="str">
            <v>DOD</v>
          </cell>
          <cell r="E72">
            <v>28100</v>
          </cell>
        </row>
        <row r="73">
          <cell r="A73"/>
          <cell r="E73">
            <v>121040893</v>
          </cell>
        </row>
        <row r="75">
          <cell r="E75" t="str">
            <v>COUNT</v>
          </cell>
        </row>
        <row r="76">
          <cell r="A76" t="str">
            <v>Employer</v>
          </cell>
          <cell r="E76" t="str">
            <v>NEW</v>
          </cell>
        </row>
        <row r="77">
          <cell r="A77" t="str">
            <v>BARINGO COUNTY</v>
          </cell>
          <cell r="E77">
            <v>0</v>
          </cell>
        </row>
        <row r="78">
          <cell r="A78" t="str">
            <v>TANA RIVER</v>
          </cell>
          <cell r="E78">
            <v>0</v>
          </cell>
        </row>
        <row r="79">
          <cell r="A79" t="str">
            <v>NYAMIRA COUNTY</v>
          </cell>
          <cell r="E79">
            <v>6</v>
          </cell>
        </row>
        <row r="80">
          <cell r="A80" t="str">
            <v>MOMBASA COUNTY</v>
          </cell>
          <cell r="E80">
            <v>4</v>
          </cell>
        </row>
        <row r="81">
          <cell r="A81" t="str">
            <v>KAJIADO COUNTY</v>
          </cell>
          <cell r="E81">
            <v>0</v>
          </cell>
        </row>
        <row r="82">
          <cell r="A82" t="str">
            <v>BUSIA COUNTY</v>
          </cell>
          <cell r="E82">
            <v>0</v>
          </cell>
        </row>
        <row r="83">
          <cell r="A83" t="str">
            <v>TRANS-NZOIA</v>
          </cell>
          <cell r="E83">
            <v>0</v>
          </cell>
        </row>
        <row r="84">
          <cell r="A84" t="str">
            <v>UASIN GISHU</v>
          </cell>
          <cell r="E84">
            <v>0</v>
          </cell>
        </row>
        <row r="85">
          <cell r="A85" t="str">
            <v>HOMABAY COUNTY</v>
          </cell>
          <cell r="E85">
            <v>9</v>
          </cell>
        </row>
        <row r="86">
          <cell r="A86" t="str">
            <v>TAITA TAVETA</v>
          </cell>
          <cell r="E86">
            <v>0</v>
          </cell>
        </row>
        <row r="87">
          <cell r="A87" t="str">
            <v>NAIROBI COUNTY</v>
          </cell>
          <cell r="E87">
            <v>11</v>
          </cell>
        </row>
        <row r="88">
          <cell r="A88" t="str">
            <v>NAROK COUNTY</v>
          </cell>
          <cell r="E88">
            <v>0</v>
          </cell>
        </row>
        <row r="89">
          <cell r="A89" t="str">
            <v xml:space="preserve">Homabay county </v>
          </cell>
          <cell r="E89">
            <v>0</v>
          </cell>
        </row>
        <row r="90">
          <cell r="A90" t="str">
            <v>MIGORI COUNTY</v>
          </cell>
          <cell r="E90">
            <v>0</v>
          </cell>
        </row>
        <row r="91">
          <cell r="A91" t="str">
            <v>KISUMU COUNTY</v>
          </cell>
          <cell r="E91">
            <v>4</v>
          </cell>
        </row>
        <row r="92">
          <cell r="A92" t="str">
            <v>BUNGOMA COUNTY</v>
          </cell>
          <cell r="E92">
            <v>2</v>
          </cell>
        </row>
        <row r="93">
          <cell r="A93" t="str">
            <v>SIAYA COUNTY</v>
          </cell>
          <cell r="E93">
            <v>3</v>
          </cell>
        </row>
        <row r="94">
          <cell r="A94" t="str">
            <v>KISII COUNTY</v>
          </cell>
          <cell r="E94">
            <v>2</v>
          </cell>
        </row>
        <row r="95">
          <cell r="A95" t="str">
            <v>MACHAKOS</v>
          </cell>
          <cell r="E95">
            <v>0</v>
          </cell>
        </row>
        <row r="96">
          <cell r="A96" t="str">
            <v>TOTAL</v>
          </cell>
          <cell r="E96">
            <v>41</v>
          </cell>
        </row>
        <row r="98">
          <cell r="A98"/>
          <cell r="E98"/>
        </row>
        <row r="100">
          <cell r="A100" t="str">
            <v>EMPLOYER</v>
          </cell>
          <cell r="E100" t="str">
            <v>COASTAL  REGION</v>
          </cell>
        </row>
        <row r="101">
          <cell r="A101" t="str">
            <v>OOP POLICE</v>
          </cell>
          <cell r="E101">
            <v>0</v>
          </cell>
        </row>
        <row r="102">
          <cell r="A102" t="str">
            <v>OOP-ADPOL</v>
          </cell>
          <cell r="E102">
            <v>0</v>
          </cell>
        </row>
        <row r="103">
          <cell r="A103" t="str">
            <v>TSC</v>
          </cell>
          <cell r="E103">
            <v>4443442</v>
          </cell>
        </row>
        <row r="104">
          <cell r="A104" t="str">
            <v>COUNTY</v>
          </cell>
          <cell r="E104">
            <v>4629410</v>
          </cell>
        </row>
        <row r="105">
          <cell r="A105" t="str">
            <v>MINISTRIES</v>
          </cell>
          <cell r="E105">
            <v>1889200</v>
          </cell>
        </row>
        <row r="106">
          <cell r="A106" t="str">
            <v>PRISONS</v>
          </cell>
          <cell r="E106">
            <v>1388898</v>
          </cell>
        </row>
        <row r="107">
          <cell r="A107" t="str">
            <v>OOP MAIN</v>
          </cell>
          <cell r="E107">
            <v>0</v>
          </cell>
        </row>
        <row r="108">
          <cell r="A108" t="str">
            <v>PARASTATAL</v>
          </cell>
          <cell r="E108">
            <v>0</v>
          </cell>
        </row>
        <row r="109">
          <cell r="A109" t="str">
            <v>NYS</v>
          </cell>
          <cell r="E109">
            <v>10000</v>
          </cell>
        </row>
        <row r="110">
          <cell r="A110" t="str">
            <v>UNIVERSITY</v>
          </cell>
          <cell r="E110">
            <v>0</v>
          </cell>
        </row>
        <row r="111">
          <cell r="A111" t="str">
            <v>DCI</v>
          </cell>
          <cell r="E111">
            <v>0</v>
          </cell>
        </row>
        <row r="112">
          <cell r="A112" t="str">
            <v>DOD</v>
          </cell>
          <cell r="E112">
            <v>0</v>
          </cell>
        </row>
        <row r="113">
          <cell r="A113" t="str">
            <v>TOTAL</v>
          </cell>
          <cell r="E113">
            <v>12360950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CFBB-86F9-44EA-B0D8-8A46EEA3C583}">
  <dimension ref="A1:B2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6.85546875" customWidth="1"/>
    <col min="4" max="4" width="12" bestFit="1" customWidth="1"/>
    <col min="6" max="6" width="11" bestFit="1" customWidth="1"/>
  </cols>
  <sheetData>
    <row r="1" spans="1:2" x14ac:dyDescent="0.25">
      <c r="A1" t="s">
        <v>235</v>
      </c>
      <c r="B1" s="12">
        <v>45377</v>
      </c>
    </row>
    <row r="2" spans="1:2" x14ac:dyDescent="0.25">
      <c r="A2" t="s">
        <v>236</v>
      </c>
      <c r="B2" s="12">
        <v>45406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A7BA-CB31-4FFA-9702-F033C2D02CD0}">
  <dimension ref="A1:AG33"/>
  <sheetViews>
    <sheetView zoomScaleNormal="100" workbookViewId="0">
      <pane xSplit="1" topLeftCell="T1" activePane="topRight" state="frozen"/>
      <selection activeCell="A26" sqref="A26"/>
      <selection pane="topRight" activeCell="W15" sqref="W15"/>
    </sheetView>
  </sheetViews>
  <sheetFormatPr defaultColWidth="9.140625" defaultRowHeight="15" x14ac:dyDescent="0.25"/>
  <cols>
    <col min="1" max="1" width="29.5703125" style="1" bestFit="1" customWidth="1"/>
    <col min="2" max="2" width="13.5703125" style="1" bestFit="1" customWidth="1"/>
    <col min="3" max="3" width="5.28515625" style="1" bestFit="1" customWidth="1"/>
    <col min="4" max="4" width="10.7109375" style="1" bestFit="1" customWidth="1"/>
    <col min="5" max="5" width="11.5703125" style="1" customWidth="1"/>
    <col min="6" max="6" width="25" style="1" bestFit="1" customWidth="1"/>
    <col min="7" max="7" width="8.7109375" style="1" bestFit="1" customWidth="1"/>
    <col min="8" max="8" width="7.85546875" style="1" bestFit="1" customWidth="1"/>
    <col min="9" max="9" width="12.28515625" style="1" bestFit="1" customWidth="1"/>
    <col min="10" max="10" width="13.42578125" style="2" bestFit="1" customWidth="1"/>
    <col min="11" max="11" width="13.42578125" style="2" customWidth="1"/>
    <col min="12" max="12" width="14.7109375" style="2" bestFit="1" customWidth="1"/>
    <col min="13" max="17" width="13.42578125" style="2" bestFit="1" customWidth="1"/>
    <col min="18" max="24" width="13.42578125" style="2" customWidth="1"/>
    <col min="25" max="25" width="11.42578125" style="1" bestFit="1" customWidth="1"/>
    <col min="26" max="26" width="7.5703125" style="1" bestFit="1" customWidth="1"/>
    <col min="27" max="28" width="14.42578125" style="1" bestFit="1" customWidth="1"/>
    <col min="29" max="29" width="8" style="1" bestFit="1" customWidth="1"/>
    <col min="30" max="30" width="14.42578125" style="1" bestFit="1" customWidth="1"/>
    <col min="31" max="31" width="13.42578125" style="1" bestFit="1" customWidth="1"/>
    <col min="32" max="32" width="11.7109375" style="2" bestFit="1" customWidth="1"/>
    <col min="33" max="16384" width="9.140625" style="1"/>
  </cols>
  <sheetData>
    <row r="1" spans="1:32" s="9" customFormat="1" ht="45" x14ac:dyDescent="0.25">
      <c r="A1" s="7" t="s">
        <v>0</v>
      </c>
      <c r="B1" s="7" t="s">
        <v>1</v>
      </c>
      <c r="C1" s="7" t="s">
        <v>2</v>
      </c>
      <c r="D1" s="7">
        <v>2024</v>
      </c>
      <c r="E1" s="7" t="s">
        <v>628</v>
      </c>
      <c r="F1" s="7" t="s">
        <v>629</v>
      </c>
      <c r="G1" s="7" t="s">
        <v>78</v>
      </c>
      <c r="H1" s="7" t="s">
        <v>111</v>
      </c>
      <c r="I1" s="7" t="s">
        <v>234</v>
      </c>
      <c r="J1" s="8" t="s">
        <v>173</v>
      </c>
      <c r="K1" s="8" t="s">
        <v>183</v>
      </c>
      <c r="L1" s="8" t="s">
        <v>40</v>
      </c>
      <c r="M1" s="8" t="s">
        <v>43</v>
      </c>
      <c r="N1" s="8" t="s">
        <v>42</v>
      </c>
      <c r="O1" s="8" t="s">
        <v>41</v>
      </c>
      <c r="P1" s="8" t="s">
        <v>39</v>
      </c>
      <c r="Q1" s="8" t="s">
        <v>166</v>
      </c>
      <c r="R1" s="8" t="s">
        <v>233</v>
      </c>
      <c r="S1" s="8" t="s">
        <v>489</v>
      </c>
      <c r="T1" s="8" t="s">
        <v>520</v>
      </c>
      <c r="U1" s="8" t="s">
        <v>580</v>
      </c>
      <c r="V1" s="8" t="s">
        <v>608</v>
      </c>
      <c r="W1" s="8" t="s">
        <v>625</v>
      </c>
      <c r="X1" s="8" t="s">
        <v>659</v>
      </c>
      <c r="Y1" s="7" t="s">
        <v>626</v>
      </c>
      <c r="Z1" s="7" t="s">
        <v>487</v>
      </c>
      <c r="AA1" s="7" t="s">
        <v>153</v>
      </c>
      <c r="AB1" s="7" t="s">
        <v>154</v>
      </c>
      <c r="AC1" s="7" t="s">
        <v>156</v>
      </c>
      <c r="AD1" s="7" t="s">
        <v>155</v>
      </c>
      <c r="AE1" s="7" t="s">
        <v>693</v>
      </c>
      <c r="AF1" s="8" t="s">
        <v>159</v>
      </c>
    </row>
    <row r="2" spans="1:32" x14ac:dyDescent="0.25">
      <c r="A2" s="1" t="s">
        <v>582</v>
      </c>
      <c r="B2" s="1" t="s">
        <v>488</v>
      </c>
      <c r="C2" s="1" t="s">
        <v>10</v>
      </c>
      <c r="D2" s="1" t="s">
        <v>627</v>
      </c>
      <c r="E2" s="80">
        <v>45449</v>
      </c>
      <c r="F2" s="80" t="str">
        <f t="shared" ref="F2:F33" ca="1" si="0">DATEDIF(E2, TODAY(), "Y") &amp; " Years, " &amp; DATEDIF(E2, TODAY(), "YM") &amp; " Months, " &amp; DATEDIF(E2, TODAY(), "MD") &amp; " Days"</f>
        <v>0 Years, 3 Months, 19 Days</v>
      </c>
      <c r="G2" s="1" t="s">
        <v>581</v>
      </c>
      <c r="H2" s="1" t="s">
        <v>614</v>
      </c>
      <c r="I2" s="5">
        <f t="shared" ref="I2:I33" si="1">J2/26</f>
        <v>38461.538461538461</v>
      </c>
      <c r="J2" s="2">
        <v>1000000</v>
      </c>
      <c r="K2" s="2">
        <f>IFERROR(I2*((NETWORKDAYS.INTL(SUMMARRY!$B$1,SUMMARRY!$B$2,11))),"")</f>
        <v>1000000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720000</v>
      </c>
      <c r="W2" s="2">
        <v>1785000</v>
      </c>
      <c r="X2" s="2">
        <v>4234580</v>
      </c>
      <c r="Y2" s="6">
        <f t="shared" ref="Y2:Y33" si="2">X2/K2</f>
        <v>4.2345800000000002</v>
      </c>
      <c r="Z2" s="6" t="str">
        <f t="shared" ref="Z2:Z33" si="3">IF(Y2&gt;=80%,"TEAM A","OTHERS")</f>
        <v>TEAM A</v>
      </c>
      <c r="AA2" s="5">
        <v>12751012.43</v>
      </c>
      <c r="AB2" s="2">
        <v>31888.36</v>
      </c>
      <c r="AC2" s="6">
        <f t="shared" ref="AC2:AC33" si="4">IFERROR(AB2/AA2,0)</f>
        <v>2.5008492600144066E-3</v>
      </c>
      <c r="AD2" s="2">
        <v>6566085.4299999997</v>
      </c>
      <c r="AE2" s="2">
        <v>3116647</v>
      </c>
      <c r="AF2" s="2">
        <f>IF(AND(Y2&gt;=80%,AC2&lt;5%),AE2*0.02,0)+IF(AND(AD2&gt;300000000,AC2&lt;5%),0.1%*AD2,0)</f>
        <v>62332.94</v>
      </c>
    </row>
    <row r="3" spans="1:32" x14ac:dyDescent="0.25">
      <c r="A3" s="1" t="s">
        <v>18</v>
      </c>
      <c r="B3" s="1" t="s">
        <v>19</v>
      </c>
      <c r="C3" s="1" t="s">
        <v>10</v>
      </c>
      <c r="D3" s="1" t="s">
        <v>627</v>
      </c>
      <c r="E3" s="80">
        <v>45245</v>
      </c>
      <c r="F3" s="80" t="str">
        <f t="shared" ca="1" si="0"/>
        <v>0 Years, 10 Months, 10 Days</v>
      </c>
      <c r="G3" s="1" t="s">
        <v>501</v>
      </c>
      <c r="H3" s="1" t="s">
        <v>144</v>
      </c>
      <c r="I3" s="5">
        <f t="shared" si="1"/>
        <v>76923.076923076922</v>
      </c>
      <c r="J3" s="2">
        <v>2000000</v>
      </c>
      <c r="K3" s="2">
        <f>IFERROR(I3*((NETWORKDAYS.INTL(SUMMARRY!$B$1,SUMMARRY!$B$2,11))),"")</f>
        <v>2000000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250460</v>
      </c>
      <c r="R3" s="2">
        <v>1278747</v>
      </c>
      <c r="S3" s="2">
        <v>2042300</v>
      </c>
      <c r="T3" s="2">
        <v>4914667</v>
      </c>
      <c r="U3" s="2">
        <v>1774700</v>
      </c>
      <c r="V3" s="2">
        <v>3343600</v>
      </c>
      <c r="W3" s="2">
        <v>4113100</v>
      </c>
      <c r="X3" s="2">
        <v>6124300</v>
      </c>
      <c r="Y3" s="6">
        <f t="shared" si="2"/>
        <v>3.0621499999999999</v>
      </c>
      <c r="Z3" s="6" t="str">
        <f t="shared" si="3"/>
        <v>TEAM A</v>
      </c>
      <c r="AA3" s="5">
        <v>88140646.599999979</v>
      </c>
      <c r="AB3" s="2">
        <v>952877.05888888892</v>
      </c>
      <c r="AC3" s="6">
        <f t="shared" si="4"/>
        <v>1.0810869850016384E-2</v>
      </c>
      <c r="AD3" s="2">
        <v>25170342.060000002</v>
      </c>
      <c r="AE3" s="2">
        <v>4821274</v>
      </c>
      <c r="AF3" s="2">
        <f t="shared" ref="AF3:AF33" si="5">IF(AND(Y3&gt;=80%,AC3&lt;5%),AE3*0.02,0)+IF(AND(AD3&gt;300000000,AC3&lt;5%),0.1%*AD3,0)</f>
        <v>96425.48</v>
      </c>
    </row>
    <row r="4" spans="1:32" x14ac:dyDescent="0.25">
      <c r="A4" s="1" t="s">
        <v>657</v>
      </c>
      <c r="B4" s="1" t="s">
        <v>26</v>
      </c>
      <c r="C4" s="1" t="s">
        <v>624</v>
      </c>
      <c r="D4" s="1" t="s">
        <v>627</v>
      </c>
      <c r="E4" s="80">
        <v>44830</v>
      </c>
      <c r="F4" s="80" t="str">
        <f t="shared" ca="1" si="0"/>
        <v>1 Years, 11 Months, 30 Days</v>
      </c>
      <c r="G4" s="1" t="s">
        <v>94</v>
      </c>
      <c r="H4" s="1" t="s">
        <v>112</v>
      </c>
      <c r="I4" s="1">
        <f t="shared" si="1"/>
        <v>192307.69230769231</v>
      </c>
      <c r="J4" s="2">
        <v>5000000</v>
      </c>
      <c r="K4" s="2">
        <f>IFERROR(I4*((NETWORKDAYS.INTL(SUMMARRY!$B$1,SUMMARRY!$B$2,11))),"")</f>
        <v>5000000</v>
      </c>
      <c r="L4" s="2">
        <v>3000000</v>
      </c>
      <c r="M4" s="2">
        <v>1711000</v>
      </c>
      <c r="N4" s="2">
        <v>2510195</v>
      </c>
      <c r="O4" s="2">
        <v>2259000</v>
      </c>
      <c r="P4" s="2">
        <v>1008734</v>
      </c>
      <c r="Q4" s="2">
        <v>2146334</v>
      </c>
      <c r="R4" s="2">
        <v>2486267</v>
      </c>
      <c r="S4" s="2">
        <v>2743320</v>
      </c>
      <c r="T4" s="2">
        <v>1580000</v>
      </c>
      <c r="U4" s="2">
        <v>0</v>
      </c>
      <c r="V4" s="2">
        <v>0</v>
      </c>
      <c r="W4" s="2">
        <v>0</v>
      </c>
      <c r="X4" s="2">
        <v>10738486</v>
      </c>
      <c r="Y4" s="6">
        <f t="shared" si="2"/>
        <v>2.1476972000000001</v>
      </c>
      <c r="Z4" s="6" t="str">
        <f t="shared" si="3"/>
        <v>TEAM A</v>
      </c>
      <c r="AA4" s="5">
        <v>11762116.949999999</v>
      </c>
      <c r="AB4" s="2">
        <v>0</v>
      </c>
      <c r="AC4" s="6">
        <f t="shared" si="4"/>
        <v>0</v>
      </c>
      <c r="AD4" s="2">
        <v>10907707.949999999</v>
      </c>
      <c r="AE4" s="2">
        <v>2052787</v>
      </c>
      <c r="AF4" s="2">
        <f t="shared" si="5"/>
        <v>41055.74</v>
      </c>
    </row>
    <row r="5" spans="1:32" x14ac:dyDescent="0.25">
      <c r="A5" s="1" t="s">
        <v>171</v>
      </c>
      <c r="B5" s="1" t="s">
        <v>26</v>
      </c>
      <c r="C5" s="1" t="s">
        <v>624</v>
      </c>
      <c r="D5" s="1" t="s">
        <v>627</v>
      </c>
      <c r="E5" s="80">
        <v>45234</v>
      </c>
      <c r="F5" s="80" t="str">
        <f t="shared" ca="1" si="0"/>
        <v>0 Years, 10 Months, 21 Days</v>
      </c>
      <c r="G5" s="1" t="s">
        <v>100</v>
      </c>
      <c r="H5" s="1" t="s">
        <v>119</v>
      </c>
      <c r="I5" s="1">
        <f t="shared" si="1"/>
        <v>192307.69230769231</v>
      </c>
      <c r="J5" s="2">
        <v>5000000</v>
      </c>
      <c r="K5" s="2">
        <f>IFERROR(I5*((NETWORKDAYS.INTL(SUMMARRY!$B$1,SUMMARRY!$B$2,11))),"")</f>
        <v>5000000</v>
      </c>
      <c r="L5" s="2">
        <v>2000000</v>
      </c>
      <c r="M5" s="2">
        <v>2749187</v>
      </c>
      <c r="N5" s="2">
        <v>2617607</v>
      </c>
      <c r="O5" s="2">
        <v>2635757</v>
      </c>
      <c r="P5" s="2">
        <v>2281998</v>
      </c>
      <c r="Q5" s="2">
        <v>1454551</v>
      </c>
      <c r="R5" s="2">
        <v>1430000</v>
      </c>
      <c r="S5" s="2">
        <v>651140</v>
      </c>
      <c r="T5" s="2">
        <v>1784831</v>
      </c>
      <c r="U5" s="2">
        <v>1159034</v>
      </c>
      <c r="V5" s="2">
        <v>3509910</v>
      </c>
      <c r="W5" s="2">
        <v>12037265</v>
      </c>
      <c r="X5" s="2">
        <v>7829807</v>
      </c>
      <c r="Y5" s="6">
        <f t="shared" si="2"/>
        <v>1.5659613999999999</v>
      </c>
      <c r="Z5" s="6" t="str">
        <f t="shared" si="3"/>
        <v>TEAM A</v>
      </c>
      <c r="AA5" s="5">
        <v>17805108.030000001</v>
      </c>
      <c r="AB5" s="2">
        <v>427177.12</v>
      </c>
      <c r="AC5" s="6">
        <f t="shared" si="4"/>
        <v>2.3991829719889658E-2</v>
      </c>
      <c r="AD5" s="2">
        <v>13303274.989999998</v>
      </c>
      <c r="AE5" s="2">
        <v>3250540</v>
      </c>
      <c r="AF5" s="2">
        <f t="shared" si="5"/>
        <v>65010.8</v>
      </c>
    </row>
    <row r="6" spans="1:32" x14ac:dyDescent="0.25">
      <c r="A6" s="1" t="s">
        <v>25</v>
      </c>
      <c r="B6" s="1" t="s">
        <v>26</v>
      </c>
      <c r="C6" s="1" t="s">
        <v>10</v>
      </c>
      <c r="D6" s="1" t="s">
        <v>627</v>
      </c>
      <c r="E6" s="80">
        <v>44531</v>
      </c>
      <c r="F6" s="80" t="str">
        <f t="shared" ca="1" si="0"/>
        <v>2 Years, 9 Months, 24 Days</v>
      </c>
      <c r="G6" s="1" t="s">
        <v>505</v>
      </c>
      <c r="H6" s="1" t="s">
        <v>148</v>
      </c>
      <c r="I6" s="5">
        <f t="shared" si="1"/>
        <v>769230.76923076925</v>
      </c>
      <c r="J6" s="2">
        <v>20000000</v>
      </c>
      <c r="K6" s="2">
        <f>IFERROR(I6*((NETWORKDAYS.INTL(SUMMARRY!$B$1,SUMMARRY!$B$2,11))),"")</f>
        <v>20000000</v>
      </c>
      <c r="L6" s="2">
        <v>5000000</v>
      </c>
      <c r="M6" s="2">
        <v>16361516</v>
      </c>
      <c r="N6" s="2">
        <v>50727714</v>
      </c>
      <c r="O6" s="2">
        <v>1017000</v>
      </c>
      <c r="P6" s="2">
        <v>25565000</v>
      </c>
      <c r="Q6" s="2">
        <v>26008511</v>
      </c>
      <c r="R6" s="2">
        <v>26344434</v>
      </c>
      <c r="S6" s="2">
        <v>10651011</v>
      </c>
      <c r="T6" s="2">
        <v>27265653</v>
      </c>
      <c r="U6" s="2">
        <v>19826270</v>
      </c>
      <c r="V6" s="2">
        <v>66602352</v>
      </c>
      <c r="W6" s="2">
        <v>29642573</v>
      </c>
      <c r="X6" s="2">
        <v>30745570</v>
      </c>
      <c r="Y6" s="6">
        <f t="shared" si="2"/>
        <v>1.5372785</v>
      </c>
      <c r="Z6" s="6" t="str">
        <f t="shared" si="3"/>
        <v>TEAM A</v>
      </c>
      <c r="AA6" s="5">
        <v>259780632.20999995</v>
      </c>
      <c r="AB6" s="2">
        <v>480627.21</v>
      </c>
      <c r="AC6" s="6">
        <f t="shared" si="4"/>
        <v>1.8501271858152744E-3</v>
      </c>
      <c r="AD6" s="2">
        <v>199281614.38999999</v>
      </c>
      <c r="AE6" s="2">
        <v>2790442</v>
      </c>
      <c r="AF6" s="2">
        <f t="shared" si="5"/>
        <v>55808.840000000004</v>
      </c>
    </row>
    <row r="7" spans="1:32" x14ac:dyDescent="0.25">
      <c r="A7" s="1" t="s">
        <v>491</v>
      </c>
      <c r="B7" s="1" t="s">
        <v>488</v>
      </c>
      <c r="C7" s="1" t="s">
        <v>7</v>
      </c>
      <c r="D7" s="1" t="s">
        <v>627</v>
      </c>
      <c r="E7" s="80">
        <v>45356</v>
      </c>
      <c r="F7" s="80" t="str">
        <f t="shared" ca="1" si="0"/>
        <v>0 Years, 6 Months, 20 Days</v>
      </c>
      <c r="G7" s="1" t="s">
        <v>513</v>
      </c>
      <c r="H7" s="1" t="s">
        <v>515</v>
      </c>
      <c r="I7" s="5">
        <f t="shared" si="1"/>
        <v>134615.38461538462</v>
      </c>
      <c r="J7" s="2">
        <v>3500000</v>
      </c>
      <c r="K7" s="2">
        <f>IFERROR(I7*((NETWORKDAYS.INTL(SUMMARRY!$B$1,SUMMARRY!$B$2,11))),"")</f>
        <v>3500000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2034975</v>
      </c>
      <c r="T7" s="2">
        <v>1725840</v>
      </c>
      <c r="U7" s="2">
        <v>2459900</v>
      </c>
      <c r="V7" s="2">
        <v>861100</v>
      </c>
      <c r="W7" s="2">
        <v>2627500</v>
      </c>
      <c r="X7" s="2">
        <v>5215200</v>
      </c>
      <c r="Y7" s="6">
        <f t="shared" si="2"/>
        <v>1.4900571428571427</v>
      </c>
      <c r="Z7" s="6" t="str">
        <f t="shared" si="3"/>
        <v>TEAM A</v>
      </c>
      <c r="AA7" s="5">
        <v>47556570.32</v>
      </c>
      <c r="AB7" s="2">
        <v>229906.2</v>
      </c>
      <c r="AC7" s="6">
        <f t="shared" si="4"/>
        <v>4.834373009933236E-3</v>
      </c>
      <c r="AD7" s="2">
        <v>13401099.5</v>
      </c>
      <c r="AE7" s="2">
        <v>4502963</v>
      </c>
      <c r="AF7" s="2">
        <f t="shared" si="5"/>
        <v>90059.26</v>
      </c>
    </row>
    <row r="8" spans="1:32" x14ac:dyDescent="0.25">
      <c r="A8" s="1" t="s">
        <v>6</v>
      </c>
      <c r="B8" s="1" t="s">
        <v>4</v>
      </c>
      <c r="C8" s="1" t="s">
        <v>7</v>
      </c>
      <c r="D8" s="1" t="s">
        <v>627</v>
      </c>
      <c r="E8" s="80">
        <v>44944</v>
      </c>
      <c r="F8" s="80" t="str">
        <f t="shared" ca="1" si="0"/>
        <v>1 Years, 8 Months, 7 Days</v>
      </c>
      <c r="G8" s="1" t="s">
        <v>495</v>
      </c>
      <c r="H8" s="1" t="s">
        <v>138</v>
      </c>
      <c r="I8" s="5">
        <f t="shared" si="1"/>
        <v>961538.4615384615</v>
      </c>
      <c r="J8" s="2">
        <v>25000000</v>
      </c>
      <c r="K8" s="2">
        <f>IFERROR(I8*((NETWORKDAYS.INTL(SUMMARRY!$B$1,SUMMARRY!$B$2,11))),"")</f>
        <v>25000000</v>
      </c>
      <c r="M8" s="2">
        <v>9196212</v>
      </c>
      <c r="N8" s="2">
        <v>1937000</v>
      </c>
      <c r="O8" s="2">
        <v>1520000</v>
      </c>
      <c r="P8" s="2">
        <v>7110050</v>
      </c>
      <c r="Q8" s="2">
        <v>8575000</v>
      </c>
      <c r="R8" s="2">
        <v>7906375</v>
      </c>
      <c r="S8" s="2">
        <v>2927000</v>
      </c>
      <c r="T8" s="2">
        <v>8221153</v>
      </c>
      <c r="U8" s="2">
        <v>4782759</v>
      </c>
      <c r="V8" s="2">
        <v>2306500</v>
      </c>
      <c r="W8" s="2">
        <v>27039403.300000001</v>
      </c>
      <c r="X8" s="2">
        <v>35430377.399999999</v>
      </c>
      <c r="Y8" s="6">
        <f t="shared" si="2"/>
        <v>1.4172150959999998</v>
      </c>
      <c r="Z8" s="6" t="str">
        <f t="shared" si="3"/>
        <v>TEAM A</v>
      </c>
      <c r="AA8" s="5">
        <v>76817055.710000008</v>
      </c>
      <c r="AB8" s="2">
        <v>16290357.09</v>
      </c>
      <c r="AC8" s="6">
        <f t="shared" si="4"/>
        <v>0.21206692887969317</v>
      </c>
      <c r="AD8" s="2">
        <v>61489283.659999996</v>
      </c>
      <c r="AE8" s="2">
        <v>14843595</v>
      </c>
      <c r="AF8" s="2">
        <f t="shared" si="5"/>
        <v>0</v>
      </c>
    </row>
    <row r="9" spans="1:32" x14ac:dyDescent="0.25">
      <c r="A9" s="1" t="s">
        <v>21</v>
      </c>
      <c r="B9" s="1" t="s">
        <v>20</v>
      </c>
      <c r="C9" s="1" t="s">
        <v>7</v>
      </c>
      <c r="D9" s="1" t="s">
        <v>627</v>
      </c>
      <c r="E9" s="80">
        <v>44813</v>
      </c>
      <c r="F9" s="80" t="str">
        <f t="shared" ca="1" si="0"/>
        <v>2 Years, 0 Months, 16 Days</v>
      </c>
      <c r="G9" s="1" t="s">
        <v>502</v>
      </c>
      <c r="H9" s="1" t="s">
        <v>145</v>
      </c>
      <c r="I9" s="5">
        <f t="shared" si="1"/>
        <v>288461.53846153844</v>
      </c>
      <c r="J9" s="2">
        <v>7500000</v>
      </c>
      <c r="K9" s="2">
        <f>IFERROR(I9*((NETWORKDAYS.INTL(SUMMARRY!$B$1,SUMMARRY!$B$2,11))),"")</f>
        <v>7499999.9999999991</v>
      </c>
      <c r="L9" s="2">
        <v>2000000</v>
      </c>
      <c r="M9" s="2">
        <v>10007000</v>
      </c>
      <c r="N9" s="2">
        <v>6867752</v>
      </c>
      <c r="O9" s="2">
        <v>4151110</v>
      </c>
      <c r="P9" s="2">
        <v>5178500</v>
      </c>
      <c r="Q9" s="2">
        <v>8811646.3900000006</v>
      </c>
      <c r="R9" s="2">
        <v>4546600</v>
      </c>
      <c r="S9" s="2">
        <v>3108000</v>
      </c>
      <c r="T9" s="2">
        <v>5083000</v>
      </c>
      <c r="U9" s="2">
        <v>6114900</v>
      </c>
      <c r="V9" s="2">
        <v>4535000</v>
      </c>
      <c r="W9" s="2">
        <v>3979865</v>
      </c>
      <c r="X9" s="2">
        <v>9413500</v>
      </c>
      <c r="Y9" s="6">
        <f t="shared" si="2"/>
        <v>1.2551333333333334</v>
      </c>
      <c r="Z9" s="6" t="str">
        <f t="shared" si="3"/>
        <v>TEAM A</v>
      </c>
      <c r="AA9" s="5">
        <v>37314026.799999997</v>
      </c>
      <c r="AB9" s="2">
        <v>5679022.5700000003</v>
      </c>
      <c r="AC9" s="6">
        <f t="shared" si="4"/>
        <v>0.15219538219337939</v>
      </c>
      <c r="AD9" s="2">
        <v>24720506.789999999</v>
      </c>
      <c r="AE9" s="2">
        <v>6361818</v>
      </c>
      <c r="AF9" s="2">
        <f t="shared" si="5"/>
        <v>0</v>
      </c>
    </row>
    <row r="10" spans="1:32" x14ac:dyDescent="0.25">
      <c r="A10" s="1" t="s">
        <v>11</v>
      </c>
      <c r="B10" s="1" t="s">
        <v>12</v>
      </c>
      <c r="C10" s="1" t="s">
        <v>10</v>
      </c>
      <c r="D10" s="1" t="s">
        <v>627</v>
      </c>
      <c r="E10" s="80">
        <v>44963</v>
      </c>
      <c r="F10" s="80" t="str">
        <f t="shared" ca="1" si="0"/>
        <v>1 Years, 7 Months, 19 Days</v>
      </c>
      <c r="G10" s="1" t="s">
        <v>497</v>
      </c>
      <c r="H10" s="1" t="s">
        <v>140</v>
      </c>
      <c r="I10" s="5">
        <f t="shared" si="1"/>
        <v>96153.846153846156</v>
      </c>
      <c r="J10" s="2">
        <v>2500000</v>
      </c>
      <c r="K10" s="2">
        <f>IFERROR(I10*((NETWORKDAYS.INTL(SUMMARRY!$B$1,SUMMARRY!$B$2,11))),"")</f>
        <v>2500000</v>
      </c>
      <c r="L10" s="2">
        <v>0</v>
      </c>
      <c r="M10" s="2">
        <v>0</v>
      </c>
      <c r="N10" s="2">
        <v>0</v>
      </c>
      <c r="O10" s="2">
        <v>0</v>
      </c>
      <c r="P10" s="2">
        <v>309341</v>
      </c>
      <c r="Q10" s="2">
        <v>999521</v>
      </c>
      <c r="R10" s="2">
        <v>1520999</v>
      </c>
      <c r="S10" s="2">
        <v>1439386</v>
      </c>
      <c r="T10" s="2">
        <v>1820043</v>
      </c>
      <c r="U10" s="2">
        <v>281464</v>
      </c>
      <c r="V10" s="2">
        <v>80000</v>
      </c>
      <c r="W10" s="2">
        <v>80000</v>
      </c>
      <c r="X10" s="2">
        <v>3062800</v>
      </c>
      <c r="Y10" s="6">
        <f t="shared" si="2"/>
        <v>1.22512</v>
      </c>
      <c r="Z10" s="6" t="str">
        <f t="shared" si="3"/>
        <v>TEAM A</v>
      </c>
      <c r="AA10" s="5">
        <v>31181080.039999999</v>
      </c>
      <c r="AB10" s="2">
        <v>153573.01999999999</v>
      </c>
      <c r="AC10" s="6">
        <f t="shared" si="4"/>
        <v>4.9251988642789804E-3</v>
      </c>
      <c r="AD10" s="2">
        <v>8807580.8000000007</v>
      </c>
      <c r="AE10" s="2">
        <v>868733</v>
      </c>
      <c r="AF10" s="2">
        <f t="shared" si="5"/>
        <v>17374.66</v>
      </c>
    </row>
    <row r="11" spans="1:32" x14ac:dyDescent="0.25">
      <c r="A11" s="1" t="s">
        <v>3</v>
      </c>
      <c r="B11" s="1" t="s">
        <v>4</v>
      </c>
      <c r="C11" s="1" t="s">
        <v>5</v>
      </c>
      <c r="D11" s="1" t="s">
        <v>627</v>
      </c>
      <c r="E11" s="80">
        <v>45273</v>
      </c>
      <c r="F11" s="80" t="str">
        <f t="shared" ca="1" si="0"/>
        <v>0 Years, 9 Months, 12 Days</v>
      </c>
      <c r="G11" s="1" t="s">
        <v>494</v>
      </c>
      <c r="H11" s="1" t="s">
        <v>157</v>
      </c>
      <c r="I11" s="5">
        <f t="shared" si="1"/>
        <v>1346153.8461538462</v>
      </c>
      <c r="J11" s="2">
        <v>35000000</v>
      </c>
      <c r="K11" s="2">
        <f>IFERROR(I11*((NETWORKDAYS.INTL(SUMMARRY!$B$1,SUMMARRY!$B$2,11))),"")</f>
        <v>35000000</v>
      </c>
      <c r="L11" s="2">
        <v>30000000</v>
      </c>
      <c r="M11" s="2">
        <v>27892069</v>
      </c>
      <c r="N11" s="2">
        <v>26811617</v>
      </c>
      <c r="O11" s="2">
        <v>33919367</v>
      </c>
      <c r="P11" s="2">
        <v>38788576</v>
      </c>
      <c r="Q11" s="2">
        <v>90066182</v>
      </c>
      <c r="R11" s="2">
        <v>23574801</v>
      </c>
      <c r="S11" s="2">
        <v>22054400</v>
      </c>
      <c r="T11" s="2">
        <v>45514569.299999997</v>
      </c>
      <c r="U11" s="2">
        <v>28720354</v>
      </c>
      <c r="V11" s="2">
        <v>30683970</v>
      </c>
      <c r="W11" s="2">
        <v>26370463.050000001</v>
      </c>
      <c r="X11" s="2">
        <v>41269228</v>
      </c>
      <c r="Y11" s="6">
        <f t="shared" si="2"/>
        <v>1.1791208</v>
      </c>
      <c r="Z11" s="6" t="str">
        <f t="shared" si="3"/>
        <v>TEAM A</v>
      </c>
      <c r="AA11" s="5">
        <v>333758632.98000002</v>
      </c>
      <c r="AB11" s="2">
        <v>87077357.020000011</v>
      </c>
      <c r="AC11" s="6">
        <f t="shared" si="4"/>
        <v>0.26089919005995565</v>
      </c>
      <c r="AD11" s="2">
        <v>273603629.70999998</v>
      </c>
      <c r="AE11" s="2">
        <v>19019127</v>
      </c>
      <c r="AF11" s="2">
        <f t="shared" si="5"/>
        <v>0</v>
      </c>
    </row>
    <row r="12" spans="1:32" x14ac:dyDescent="0.25">
      <c r="A12" s="1" t="s">
        <v>518</v>
      </c>
      <c r="B12" s="1" t="s">
        <v>13</v>
      </c>
      <c r="C12" s="1" t="s">
        <v>10</v>
      </c>
      <c r="D12" s="1" t="s">
        <v>627</v>
      </c>
      <c r="E12" s="80">
        <v>45418</v>
      </c>
      <c r="F12" s="80" t="str">
        <f t="shared" ca="1" si="0"/>
        <v>0 Years, 4 Months, 19 Days</v>
      </c>
      <c r="G12" s="1" t="s">
        <v>517</v>
      </c>
      <c r="H12" s="1" t="s">
        <v>607</v>
      </c>
      <c r="I12" s="5">
        <f t="shared" si="1"/>
        <v>38461.538461538461</v>
      </c>
      <c r="J12" s="2">
        <v>1000000</v>
      </c>
      <c r="K12" s="2">
        <f>IFERROR(I12*((NETWORKDAYS.INTL(SUMMARRY!$B$1,SUMMARRY!$B$2,11))),"")</f>
        <v>1000000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545500</v>
      </c>
      <c r="V12" s="2">
        <v>617270</v>
      </c>
      <c r="W12" s="2">
        <v>913250</v>
      </c>
      <c r="X12" s="2">
        <v>1134650</v>
      </c>
      <c r="Y12" s="6">
        <f t="shared" si="2"/>
        <v>1.1346499999999999</v>
      </c>
      <c r="Z12" s="6" t="str">
        <f t="shared" si="3"/>
        <v>TEAM A</v>
      </c>
      <c r="AA12" s="5">
        <v>8269984.7999999998</v>
      </c>
      <c r="AB12" s="2">
        <v>615.70000000000005</v>
      </c>
      <c r="AC12" s="6">
        <f t="shared" si="4"/>
        <v>7.4449955458201088E-5</v>
      </c>
      <c r="AD12" s="2">
        <v>2836911.5</v>
      </c>
      <c r="AE12" s="2">
        <v>834731.3</v>
      </c>
      <c r="AF12" s="2">
        <f t="shared" si="5"/>
        <v>16694.626</v>
      </c>
    </row>
    <row r="13" spans="1:32" x14ac:dyDescent="0.25">
      <c r="A13" s="1" t="s">
        <v>22</v>
      </c>
      <c r="B13" s="1" t="s">
        <v>20</v>
      </c>
      <c r="C13" s="1" t="s">
        <v>10</v>
      </c>
      <c r="D13" s="1" t="s">
        <v>627</v>
      </c>
      <c r="E13" s="80">
        <v>45180</v>
      </c>
      <c r="F13" s="80" t="str">
        <f t="shared" ca="1" si="0"/>
        <v>1 Years, 0 Months, 14 Days</v>
      </c>
      <c r="G13" s="1" t="s">
        <v>503</v>
      </c>
      <c r="H13" s="1" t="s">
        <v>146</v>
      </c>
      <c r="I13" s="5">
        <f t="shared" si="1"/>
        <v>153846.15384615384</v>
      </c>
      <c r="J13" s="2">
        <v>4000000</v>
      </c>
      <c r="K13" s="2">
        <f>IFERROR(I13*((NETWORKDAYS.INTL(SUMMARRY!$B$1,SUMMARRY!$B$2,11))),"")</f>
        <v>4000000</v>
      </c>
      <c r="L13" s="2">
        <v>2000000</v>
      </c>
      <c r="M13" s="2">
        <v>1367000</v>
      </c>
      <c r="N13" s="2">
        <v>1800000</v>
      </c>
      <c r="O13" s="2">
        <v>1243500</v>
      </c>
      <c r="P13" s="2">
        <v>1700000</v>
      </c>
      <c r="Q13" s="2">
        <v>949000</v>
      </c>
      <c r="R13" s="2">
        <v>385000</v>
      </c>
      <c r="S13" s="2">
        <v>630000</v>
      </c>
      <c r="T13" s="2">
        <v>1834000</v>
      </c>
      <c r="U13" s="2">
        <v>5389775</v>
      </c>
      <c r="V13" s="2">
        <v>1236600</v>
      </c>
      <c r="W13" s="2">
        <v>1530000</v>
      </c>
      <c r="X13" s="2">
        <v>4442900</v>
      </c>
      <c r="Y13" s="6">
        <f t="shared" si="2"/>
        <v>1.110725</v>
      </c>
      <c r="Z13" s="6" t="str">
        <f t="shared" si="3"/>
        <v>TEAM A</v>
      </c>
      <c r="AA13" s="5">
        <v>17317397.380000003</v>
      </c>
      <c r="AB13" s="2">
        <v>444521.19</v>
      </c>
      <c r="AC13" s="6">
        <f t="shared" si="4"/>
        <v>2.566905293247939E-2</v>
      </c>
      <c r="AD13" s="2">
        <v>11050347.710000001</v>
      </c>
      <c r="AE13" s="2">
        <v>2990425</v>
      </c>
      <c r="AF13" s="2">
        <f t="shared" si="5"/>
        <v>59808.5</v>
      </c>
    </row>
    <row r="14" spans="1:32" x14ac:dyDescent="0.25">
      <c r="A14" s="1" t="s">
        <v>44</v>
      </c>
      <c r="B14" s="1" t="s">
        <v>34</v>
      </c>
      <c r="C14" s="1" t="s">
        <v>7</v>
      </c>
      <c r="D14" s="1" t="s">
        <v>627</v>
      </c>
      <c r="E14" s="80">
        <v>45140</v>
      </c>
      <c r="F14" s="80" t="str">
        <f t="shared" ca="1" si="0"/>
        <v>1 Years, 1 Months, 23 Days</v>
      </c>
      <c r="G14" s="1" t="s">
        <v>104</v>
      </c>
      <c r="H14" s="1" t="s">
        <v>606</v>
      </c>
      <c r="I14" s="5">
        <f t="shared" si="1"/>
        <v>192307.69230769231</v>
      </c>
      <c r="J14" s="2">
        <v>5000000</v>
      </c>
      <c r="K14" s="2">
        <f>IFERROR(I14*((NETWORKDAYS.INTL(SUMMARRY!$B$1,SUMMARRY!$B$2,11))),"")</f>
        <v>5000000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3431704</v>
      </c>
      <c r="V14" s="2">
        <v>2484749.6</v>
      </c>
      <c r="W14" s="2">
        <v>2659683</v>
      </c>
      <c r="X14" s="2">
        <v>4563350</v>
      </c>
      <c r="Y14" s="6">
        <f t="shared" si="2"/>
        <v>0.91266999999999998</v>
      </c>
      <c r="Z14" s="6" t="str">
        <f t="shared" si="3"/>
        <v>TEAM A</v>
      </c>
      <c r="AA14" s="5">
        <v>9080980.8100000024</v>
      </c>
      <c r="AB14" s="2">
        <v>10397.07</v>
      </c>
      <c r="AC14" s="6">
        <f t="shared" si="4"/>
        <v>1.1449280884451066E-3</v>
      </c>
      <c r="AD14" s="2">
        <v>4907783.9700000007</v>
      </c>
      <c r="AE14" s="2">
        <v>2539468</v>
      </c>
      <c r="AF14" s="2">
        <f t="shared" si="5"/>
        <v>50789.36</v>
      </c>
    </row>
    <row r="15" spans="1:32" x14ac:dyDescent="0.25">
      <c r="A15" s="1" t="s">
        <v>8</v>
      </c>
      <c r="B15" s="1" t="s">
        <v>9</v>
      </c>
      <c r="C15" s="1" t="s">
        <v>10</v>
      </c>
      <c r="D15" s="1" t="s">
        <v>627</v>
      </c>
      <c r="E15" s="80">
        <v>44536</v>
      </c>
      <c r="F15" s="80" t="str">
        <f t="shared" ca="1" si="0"/>
        <v>2 Years, 9 Months, 19 Days</v>
      </c>
      <c r="G15" s="1" t="s">
        <v>496</v>
      </c>
      <c r="H15" s="1" t="s">
        <v>139</v>
      </c>
      <c r="I15" s="5">
        <f t="shared" si="1"/>
        <v>115384.61538461539</v>
      </c>
      <c r="J15" s="2">
        <v>3000000</v>
      </c>
      <c r="K15" s="2">
        <f>IFERROR(I15*((NETWORKDAYS.INTL(SUMMARRY!$B$1,SUMMARRY!$B$2,11))),"")</f>
        <v>3000000</v>
      </c>
      <c r="L15" s="2">
        <v>2000000</v>
      </c>
      <c r="M15" s="2">
        <v>4857000</v>
      </c>
      <c r="N15" s="2">
        <v>1390000</v>
      </c>
      <c r="O15" s="2">
        <v>1543728</v>
      </c>
      <c r="P15" s="2">
        <v>1605000</v>
      </c>
      <c r="Q15" s="2">
        <v>2764178</v>
      </c>
      <c r="R15" s="2">
        <v>2400021</v>
      </c>
      <c r="S15" s="2">
        <v>2760602.6</v>
      </c>
      <c r="T15" s="2">
        <v>2626300</v>
      </c>
      <c r="U15" s="2">
        <v>6015000</v>
      </c>
      <c r="V15" s="2">
        <v>5162760</v>
      </c>
      <c r="W15" s="2">
        <v>3352800</v>
      </c>
      <c r="X15" s="2">
        <v>2544717</v>
      </c>
      <c r="Y15" s="6">
        <f t="shared" si="2"/>
        <v>0.84823899999999997</v>
      </c>
      <c r="Z15" s="6" t="str">
        <f t="shared" si="3"/>
        <v>TEAM A</v>
      </c>
      <c r="AA15" s="5">
        <v>41728146.570000008</v>
      </c>
      <c r="AB15" s="2">
        <v>4694903.4399999995</v>
      </c>
      <c r="AC15" s="6">
        <f t="shared" si="4"/>
        <v>0.11251166960229546</v>
      </c>
      <c r="AD15" s="2">
        <v>21162618.949999996</v>
      </c>
      <c r="AE15" s="2">
        <v>2420539</v>
      </c>
      <c r="AF15" s="2">
        <f t="shared" si="5"/>
        <v>0</v>
      </c>
    </row>
    <row r="16" spans="1:32" x14ac:dyDescent="0.25">
      <c r="A16" s="1" t="s">
        <v>31</v>
      </c>
      <c r="B16" s="1" t="s">
        <v>30</v>
      </c>
      <c r="C16" s="1" t="s">
        <v>32</v>
      </c>
      <c r="D16" s="1" t="s">
        <v>627</v>
      </c>
      <c r="E16" s="80">
        <v>45167</v>
      </c>
      <c r="F16" s="80" t="str">
        <f t="shared" ca="1" si="0"/>
        <v>1 Years, 0 Months, 27 Days</v>
      </c>
      <c r="G16" s="1" t="s">
        <v>92</v>
      </c>
      <c r="H16" s="1" t="s">
        <v>150</v>
      </c>
      <c r="I16" s="5">
        <f t="shared" si="1"/>
        <v>192307.69230769231</v>
      </c>
      <c r="J16" s="2">
        <v>5000000</v>
      </c>
      <c r="K16" s="2">
        <f>IFERROR(I16*((NETWORKDAYS.INTL(SUMMARRY!$B$1,SUMMARRY!$B$2,11))),"")</f>
        <v>5000000</v>
      </c>
      <c r="L16" s="2">
        <v>5000000</v>
      </c>
      <c r="M16" s="2">
        <v>3750000</v>
      </c>
      <c r="N16" s="2">
        <v>3015532</v>
      </c>
      <c r="O16" s="2">
        <v>6239500</v>
      </c>
      <c r="P16" s="2">
        <v>1971000</v>
      </c>
      <c r="Q16" s="2">
        <v>16602925</v>
      </c>
      <c r="R16" s="2">
        <v>2625000</v>
      </c>
      <c r="S16" s="2">
        <v>3134488</v>
      </c>
      <c r="T16" s="2">
        <v>6033310</v>
      </c>
      <c r="U16" s="2">
        <v>5230000</v>
      </c>
      <c r="V16" s="2">
        <v>1536000</v>
      </c>
      <c r="W16" s="2">
        <v>5221707</v>
      </c>
      <c r="X16" s="2">
        <v>3876500</v>
      </c>
      <c r="Y16" s="6">
        <f t="shared" si="2"/>
        <v>0.77529999999999999</v>
      </c>
      <c r="Z16" s="6" t="str">
        <f t="shared" si="3"/>
        <v>OTHERS</v>
      </c>
      <c r="AA16" s="5">
        <v>39090510.70000001</v>
      </c>
      <c r="AB16" s="2">
        <v>8623769.8099999987</v>
      </c>
      <c r="AC16" s="6">
        <f t="shared" si="4"/>
        <v>0.22061031323389685</v>
      </c>
      <c r="AD16" s="2">
        <v>29701419.789999999</v>
      </c>
      <c r="AE16" s="2">
        <v>588990</v>
      </c>
      <c r="AF16" s="2">
        <f t="shared" si="5"/>
        <v>0</v>
      </c>
    </row>
    <row r="17" spans="1:33" x14ac:dyDescent="0.25">
      <c r="A17" s="1" t="s">
        <v>36</v>
      </c>
      <c r="B17" s="1" t="s">
        <v>37</v>
      </c>
      <c r="C17" s="1" t="s">
        <v>38</v>
      </c>
      <c r="D17" s="1" t="s">
        <v>627</v>
      </c>
      <c r="E17" s="80">
        <v>45170</v>
      </c>
      <c r="F17" s="80" t="str">
        <f t="shared" ca="1" si="0"/>
        <v>1 Years, 0 Months, 24 Days</v>
      </c>
      <c r="G17" s="1" t="s">
        <v>511</v>
      </c>
      <c r="H17" s="1" t="s">
        <v>158</v>
      </c>
      <c r="I17" s="5">
        <f t="shared" si="1"/>
        <v>192307.69230769231</v>
      </c>
      <c r="J17" s="2">
        <v>5000000</v>
      </c>
      <c r="K17" s="2">
        <f>IFERROR(I17*((NETWORKDAYS.INTL(SUMMARRY!$B$1,SUMMARRY!$B$2,11))),"")</f>
        <v>5000000</v>
      </c>
      <c r="L17" s="2">
        <v>3500000</v>
      </c>
      <c r="M17" s="2">
        <v>3488295.92</v>
      </c>
      <c r="N17" s="2">
        <v>3873521.83</v>
      </c>
      <c r="O17" s="2">
        <v>918925</v>
      </c>
      <c r="P17" s="2">
        <v>2460627</v>
      </c>
      <c r="Q17" s="2">
        <v>2736338</v>
      </c>
      <c r="R17" s="2">
        <v>3964716</v>
      </c>
      <c r="S17" s="2">
        <v>1343882</v>
      </c>
      <c r="T17" s="2">
        <v>2736756</v>
      </c>
      <c r="U17" s="2">
        <v>2827200</v>
      </c>
      <c r="V17" s="2">
        <v>3787000</v>
      </c>
      <c r="W17" s="2">
        <v>2651100</v>
      </c>
      <c r="X17" s="2">
        <v>3694200</v>
      </c>
      <c r="Y17" s="6">
        <f t="shared" si="2"/>
        <v>0.73884000000000005</v>
      </c>
      <c r="Z17" s="6" t="str">
        <f t="shared" si="3"/>
        <v>OTHERS</v>
      </c>
      <c r="AA17" s="5">
        <v>101689568.66000001</v>
      </c>
      <c r="AB17" s="2">
        <v>1913281.9700000004</v>
      </c>
      <c r="AC17" s="6">
        <f t="shared" si="4"/>
        <v>1.8814928563588226E-2</v>
      </c>
      <c r="AD17" s="2">
        <v>29494144.630000003</v>
      </c>
      <c r="AE17" s="2">
        <v>1932416</v>
      </c>
      <c r="AF17" s="2">
        <f t="shared" si="5"/>
        <v>0</v>
      </c>
    </row>
    <row r="18" spans="1:33" x14ac:dyDescent="0.25">
      <c r="A18" s="1" t="s">
        <v>14</v>
      </c>
      <c r="B18" s="1" t="s">
        <v>13</v>
      </c>
      <c r="C18" s="1" t="s">
        <v>7</v>
      </c>
      <c r="D18" s="1" t="s">
        <v>627</v>
      </c>
      <c r="E18" s="80">
        <v>45000</v>
      </c>
      <c r="F18" s="80" t="str">
        <f t="shared" ca="1" si="0"/>
        <v>1 Years, 6 Months, 10 Days</v>
      </c>
      <c r="G18" s="1" t="s">
        <v>498</v>
      </c>
      <c r="H18" s="1" t="s">
        <v>141</v>
      </c>
      <c r="I18" s="5">
        <f t="shared" si="1"/>
        <v>115384.61538461539</v>
      </c>
      <c r="J18" s="2">
        <v>3000000</v>
      </c>
      <c r="K18" s="2">
        <f>IFERROR(I18*((NETWORKDAYS.INTL(SUMMARRY!$B$1,SUMMARRY!$B$2,11))),"")</f>
        <v>3000000</v>
      </c>
      <c r="L18" s="2">
        <v>1000000</v>
      </c>
      <c r="M18" s="2">
        <v>815000</v>
      </c>
      <c r="N18" s="2">
        <v>1418239</v>
      </c>
      <c r="O18" s="2">
        <v>823091</v>
      </c>
      <c r="P18" s="2">
        <v>651478</v>
      </c>
      <c r="Q18" s="2">
        <v>1148905</v>
      </c>
      <c r="R18" s="2">
        <v>1769136</v>
      </c>
      <c r="S18" s="2">
        <v>2446682</v>
      </c>
      <c r="T18" s="2">
        <v>1825300</v>
      </c>
      <c r="U18" s="2">
        <v>2150466</v>
      </c>
      <c r="V18" s="2">
        <v>2981300</v>
      </c>
      <c r="W18" s="2">
        <v>1543000</v>
      </c>
      <c r="X18" s="2">
        <v>2012285</v>
      </c>
      <c r="Y18" s="6">
        <f t="shared" si="2"/>
        <v>0.6707616666666667</v>
      </c>
      <c r="Z18" s="6" t="str">
        <f t="shared" si="3"/>
        <v>OTHERS</v>
      </c>
      <c r="AA18" s="5">
        <v>34497909.370000005</v>
      </c>
      <c r="AB18" s="2">
        <v>3658035.9500000007</v>
      </c>
      <c r="AC18" s="6">
        <f t="shared" si="4"/>
        <v>0.10603645313014515</v>
      </c>
      <c r="AD18" s="2">
        <v>13271207.319999998</v>
      </c>
      <c r="AE18" s="2">
        <v>1700493</v>
      </c>
      <c r="AF18" s="2">
        <f t="shared" si="5"/>
        <v>0</v>
      </c>
    </row>
    <row r="19" spans="1:33" x14ac:dyDescent="0.25">
      <c r="A19" s="1" t="s">
        <v>28</v>
      </c>
      <c r="B19" s="1" t="s">
        <v>26</v>
      </c>
      <c r="C19" s="1" t="s">
        <v>7</v>
      </c>
      <c r="D19" s="1" t="s">
        <v>627</v>
      </c>
      <c r="E19" s="80">
        <v>44341</v>
      </c>
      <c r="F19" s="80" t="str">
        <f t="shared" ca="1" si="0"/>
        <v>3 Years, 4 Months, 0 Days</v>
      </c>
      <c r="G19" s="1" t="s">
        <v>507</v>
      </c>
      <c r="H19" s="1">
        <v>19</v>
      </c>
      <c r="I19" s="5">
        <f t="shared" si="1"/>
        <v>769230.76923076925</v>
      </c>
      <c r="J19" s="2">
        <v>20000000</v>
      </c>
      <c r="K19" s="2">
        <f>IFERROR(I19*((NETWORKDAYS.INTL(SUMMARRY!$B$1,SUMMARRY!$B$2,11))),"")</f>
        <v>20000000</v>
      </c>
      <c r="L19" s="2">
        <v>5000000</v>
      </c>
      <c r="M19" s="2">
        <v>16565030</v>
      </c>
      <c r="N19" s="2">
        <v>15381433</v>
      </c>
      <c r="O19" s="2">
        <v>8163977</v>
      </c>
      <c r="P19" s="2">
        <v>19913353</v>
      </c>
      <c r="Q19" s="2">
        <v>17660000</v>
      </c>
      <c r="R19" s="2">
        <v>9192500</v>
      </c>
      <c r="S19" s="2">
        <v>15309047</v>
      </c>
      <c r="T19" s="2">
        <v>13130067</v>
      </c>
      <c r="U19" s="2">
        <v>13515165</v>
      </c>
      <c r="V19" s="2">
        <v>29235816.119999997</v>
      </c>
      <c r="W19" s="2">
        <v>31537781</v>
      </c>
      <c r="X19" s="2">
        <v>12833720</v>
      </c>
      <c r="Y19" s="6">
        <f t="shared" si="2"/>
        <v>0.64168599999999998</v>
      </c>
      <c r="Z19" s="6" t="str">
        <f t="shared" si="3"/>
        <v>OTHERS</v>
      </c>
      <c r="AA19" s="5">
        <v>206558181.08999997</v>
      </c>
      <c r="AB19" s="2">
        <v>12797476.300000001</v>
      </c>
      <c r="AC19" s="6">
        <f t="shared" si="4"/>
        <v>6.1955794887756009E-2</v>
      </c>
      <c r="AD19" s="2">
        <v>144187022.56999996</v>
      </c>
      <c r="AE19" s="2">
        <v>6952565</v>
      </c>
      <c r="AF19" s="2">
        <f t="shared" si="5"/>
        <v>0</v>
      </c>
    </row>
    <row r="20" spans="1:33" x14ac:dyDescent="0.25">
      <c r="A20" s="1" t="s">
        <v>33</v>
      </c>
      <c r="B20" s="1" t="s">
        <v>30</v>
      </c>
      <c r="C20" s="1" t="s">
        <v>10</v>
      </c>
      <c r="D20" s="1" t="s">
        <v>627</v>
      </c>
      <c r="E20" s="80">
        <v>45244</v>
      </c>
      <c r="F20" s="80" t="str">
        <f t="shared" ca="1" si="0"/>
        <v>0 Years, 10 Months, 11 Days</v>
      </c>
      <c r="G20" s="1" t="s">
        <v>509</v>
      </c>
      <c r="H20" s="1" t="s">
        <v>151</v>
      </c>
      <c r="I20" s="5">
        <f t="shared" si="1"/>
        <v>57692.307692307695</v>
      </c>
      <c r="J20" s="2">
        <v>1500000</v>
      </c>
      <c r="K20" s="2">
        <f>IFERROR(I20*((NETWORKDAYS.INTL(SUMMARRY!$B$1,SUMMARRY!$B$2,11))),"")</f>
        <v>1500000</v>
      </c>
      <c r="L20" s="2">
        <v>0</v>
      </c>
      <c r="M20" s="2">
        <v>0</v>
      </c>
      <c r="N20" s="2">
        <v>0</v>
      </c>
      <c r="O20" s="2">
        <v>2328000</v>
      </c>
      <c r="P20" s="2">
        <v>924000</v>
      </c>
      <c r="Q20" s="2">
        <v>370750</v>
      </c>
      <c r="R20" s="2">
        <v>240000</v>
      </c>
      <c r="S20" s="2">
        <v>1020000</v>
      </c>
      <c r="T20" s="2">
        <v>1170000</v>
      </c>
      <c r="U20" s="2">
        <v>840000</v>
      </c>
      <c r="V20" s="2">
        <v>395534.25</v>
      </c>
      <c r="W20" s="2">
        <v>865000</v>
      </c>
      <c r="X20" s="2">
        <v>931750</v>
      </c>
      <c r="Y20" s="6">
        <f t="shared" si="2"/>
        <v>0.62116666666666664</v>
      </c>
      <c r="Z20" s="6" t="str">
        <f t="shared" si="3"/>
        <v>OTHERS</v>
      </c>
      <c r="AA20" s="5">
        <v>3235546.01</v>
      </c>
      <c r="AB20" s="2">
        <v>2074295.01</v>
      </c>
      <c r="AC20" s="6">
        <f t="shared" si="4"/>
        <v>0.6410958161587077</v>
      </c>
      <c r="AD20" s="2">
        <v>2002171</v>
      </c>
      <c r="AE20" s="2">
        <v>265508.45</v>
      </c>
      <c r="AF20" s="2">
        <f t="shared" si="5"/>
        <v>0</v>
      </c>
    </row>
    <row r="21" spans="1:33" x14ac:dyDescent="0.25">
      <c r="A21" s="1" t="s">
        <v>239</v>
      </c>
      <c r="B21" s="1" t="s">
        <v>34</v>
      </c>
      <c r="C21" s="1" t="s">
        <v>7</v>
      </c>
      <c r="D21" s="1" t="s">
        <v>627</v>
      </c>
      <c r="E21" s="80">
        <v>44424</v>
      </c>
      <c r="F21" s="80" t="str">
        <f t="shared" ca="1" si="0"/>
        <v>3 Years, 1 Months, 9 Days</v>
      </c>
      <c r="G21" s="1" t="s">
        <v>519</v>
      </c>
      <c r="H21" s="1" t="s">
        <v>521</v>
      </c>
      <c r="I21" s="5">
        <f t="shared" si="1"/>
        <v>288461.53846153844</v>
      </c>
      <c r="J21" s="2">
        <v>7500000</v>
      </c>
      <c r="K21" s="2">
        <f>IFERROR(I21*((NETWORKDAYS.INTL(SUMMARRY!$B$1,SUMMARRY!$B$2,11))),"")</f>
        <v>7499999.9999999991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3375000</v>
      </c>
      <c r="U21" s="2">
        <v>2423750.4</v>
      </c>
      <c r="V21" s="2">
        <v>8961654.6699999999</v>
      </c>
      <c r="W21" s="2">
        <v>4278506</v>
      </c>
      <c r="X21" s="2">
        <v>4605500</v>
      </c>
      <c r="Y21" s="6">
        <f t="shared" si="2"/>
        <v>0.61406666666666676</v>
      </c>
      <c r="Z21" s="6" t="str">
        <f t="shared" si="3"/>
        <v>OTHERS</v>
      </c>
      <c r="AA21" s="5">
        <v>28454905.029999997</v>
      </c>
      <c r="AB21" s="2">
        <v>1444098.55</v>
      </c>
      <c r="AC21" s="6">
        <f t="shared" si="4"/>
        <v>5.0750425927532962E-2</v>
      </c>
      <c r="AD21" s="2">
        <v>22145933.98</v>
      </c>
      <c r="AE21" s="2">
        <v>4317763</v>
      </c>
      <c r="AF21" s="2">
        <f t="shared" si="5"/>
        <v>0</v>
      </c>
    </row>
    <row r="22" spans="1:33" x14ac:dyDescent="0.25">
      <c r="A22" s="1" t="s">
        <v>23</v>
      </c>
      <c r="B22" s="1" t="s">
        <v>24</v>
      </c>
      <c r="C22" s="1" t="s">
        <v>10</v>
      </c>
      <c r="D22" s="1" t="s">
        <v>627</v>
      </c>
      <c r="E22" s="80">
        <v>44593</v>
      </c>
      <c r="F22" s="80" t="str">
        <f t="shared" ca="1" si="0"/>
        <v>2 Years, 7 Months, 24 Days</v>
      </c>
      <c r="G22" s="1" t="s">
        <v>504</v>
      </c>
      <c r="H22" s="1" t="s">
        <v>147</v>
      </c>
      <c r="I22" s="5">
        <f t="shared" si="1"/>
        <v>115384.61538461539</v>
      </c>
      <c r="J22" s="2">
        <v>3000000</v>
      </c>
      <c r="K22" s="2">
        <f>IFERROR(I22*((NETWORKDAYS.INTL(SUMMARRY!$B$1,SUMMARRY!$B$2,11))),"")</f>
        <v>3000000</v>
      </c>
      <c r="L22" s="2">
        <v>500000</v>
      </c>
      <c r="M22" s="2">
        <v>2199462</v>
      </c>
      <c r="N22" s="2">
        <v>4493676</v>
      </c>
      <c r="O22" s="2">
        <v>950000</v>
      </c>
      <c r="P22" s="2">
        <v>1460000</v>
      </c>
      <c r="Q22" s="2">
        <v>1120000</v>
      </c>
      <c r="R22" s="2">
        <v>1086039</v>
      </c>
      <c r="S22" s="2">
        <v>2484519</v>
      </c>
      <c r="T22" s="2">
        <v>2660910</v>
      </c>
      <c r="U22" s="2">
        <v>2655558</v>
      </c>
      <c r="V22" s="2">
        <v>2002400</v>
      </c>
      <c r="W22" s="2">
        <v>4207523.3100000005</v>
      </c>
      <c r="X22" s="2">
        <v>1613000</v>
      </c>
      <c r="Y22" s="6">
        <f t="shared" si="2"/>
        <v>0.53766666666666663</v>
      </c>
      <c r="Z22" s="6" t="str">
        <f t="shared" si="3"/>
        <v>OTHERS</v>
      </c>
      <c r="AA22" s="5">
        <v>38036215.979999997</v>
      </c>
      <c r="AB22" s="2">
        <v>3016905.13</v>
      </c>
      <c r="AC22" s="6">
        <f t="shared" si="4"/>
        <v>7.9316647365403892E-2</v>
      </c>
      <c r="AD22" s="2">
        <v>15615262.969999999</v>
      </c>
      <c r="AE22" s="2">
        <v>1201516</v>
      </c>
      <c r="AF22" s="2">
        <f t="shared" si="5"/>
        <v>0</v>
      </c>
    </row>
    <row r="23" spans="1:33" x14ac:dyDescent="0.25">
      <c r="A23" s="1" t="s">
        <v>584</v>
      </c>
      <c r="B23" s="1" t="s">
        <v>37</v>
      </c>
      <c r="C23" s="1" t="s">
        <v>38</v>
      </c>
      <c r="D23" s="1" t="s">
        <v>627</v>
      </c>
      <c r="E23" s="80">
        <v>45449</v>
      </c>
      <c r="F23" s="80" t="str">
        <f t="shared" ca="1" si="0"/>
        <v>0 Years, 3 Months, 19 Days</v>
      </c>
      <c r="G23" s="1" t="s">
        <v>583</v>
      </c>
      <c r="H23" s="1" t="s">
        <v>585</v>
      </c>
      <c r="I23" s="5">
        <f t="shared" si="1"/>
        <v>76923.076923076922</v>
      </c>
      <c r="J23" s="2">
        <v>2000000</v>
      </c>
      <c r="K23" s="2">
        <f>IFERROR(I23*((NETWORKDAYS.INTL(SUMMARRY!$B$1,SUMMARRY!$B$2,11))),"")</f>
        <v>2000000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61800</v>
      </c>
      <c r="V23" s="2">
        <v>0</v>
      </c>
      <c r="W23" s="2">
        <v>827600</v>
      </c>
      <c r="X23" s="2">
        <v>1074800</v>
      </c>
      <c r="Y23" s="6">
        <f t="shared" si="2"/>
        <v>0.53739999999999999</v>
      </c>
      <c r="Z23" s="6" t="str">
        <f t="shared" si="3"/>
        <v>OTHERS</v>
      </c>
      <c r="AA23" s="5">
        <v>11424817.800000001</v>
      </c>
      <c r="AB23" s="2">
        <v>0</v>
      </c>
      <c r="AC23" s="6">
        <f t="shared" si="4"/>
        <v>0</v>
      </c>
      <c r="AD23" s="2">
        <v>3029230</v>
      </c>
      <c r="AE23" s="2">
        <v>265494</v>
      </c>
      <c r="AF23" s="2">
        <f t="shared" si="5"/>
        <v>0</v>
      </c>
    </row>
    <row r="24" spans="1:33" x14ac:dyDescent="0.25">
      <c r="A24" s="1" t="s">
        <v>35</v>
      </c>
      <c r="B24" s="1" t="s">
        <v>34</v>
      </c>
      <c r="C24" s="1" t="s">
        <v>7</v>
      </c>
      <c r="D24" s="1" t="s">
        <v>627</v>
      </c>
      <c r="E24" s="80">
        <v>44690</v>
      </c>
      <c r="F24" s="80" t="str">
        <f t="shared" ca="1" si="0"/>
        <v>2 Years, 4 Months, 16 Days</v>
      </c>
      <c r="G24" s="1" t="s">
        <v>510</v>
      </c>
      <c r="H24" s="1" t="s">
        <v>152</v>
      </c>
      <c r="I24" s="5">
        <f t="shared" si="1"/>
        <v>769230.76923076925</v>
      </c>
      <c r="J24" s="2">
        <v>20000000</v>
      </c>
      <c r="K24" s="2">
        <f>IFERROR(I24*((NETWORKDAYS.INTL(SUMMARRY!$B$1,SUMMARRY!$B$2,11))),"")</f>
        <v>20000000</v>
      </c>
      <c r="L24" s="2">
        <v>5000000</v>
      </c>
      <c r="M24" s="2">
        <v>1447000</v>
      </c>
      <c r="N24" s="2">
        <v>7382428</v>
      </c>
      <c r="O24" s="2">
        <v>15300000</v>
      </c>
      <c r="P24" s="2">
        <v>8760343.3300000001</v>
      </c>
      <c r="Q24" s="2">
        <v>9430000</v>
      </c>
      <c r="R24" s="2">
        <v>19270121.109999999</v>
      </c>
      <c r="S24" s="2">
        <v>10389840.67</v>
      </c>
      <c r="T24" s="2">
        <v>7894300</v>
      </c>
      <c r="U24" s="2">
        <v>16510785.91</v>
      </c>
      <c r="V24" s="2">
        <v>8830874.3399999999</v>
      </c>
      <c r="W24" s="2">
        <v>9979145.0899999999</v>
      </c>
      <c r="X24" s="2">
        <v>10431067</v>
      </c>
      <c r="Y24" s="6">
        <f t="shared" si="2"/>
        <v>0.52155335000000003</v>
      </c>
      <c r="Z24" s="6" t="str">
        <f t="shared" si="3"/>
        <v>OTHERS</v>
      </c>
      <c r="AA24" s="5">
        <v>109689821.97000001</v>
      </c>
      <c r="AB24" s="2">
        <v>33994460.689999998</v>
      </c>
      <c r="AC24" s="6">
        <f t="shared" si="4"/>
        <v>0.30991444857388345</v>
      </c>
      <c r="AD24" s="2">
        <v>73446759.410000011</v>
      </c>
      <c r="AE24" s="2">
        <v>9156610</v>
      </c>
      <c r="AF24" s="2">
        <f t="shared" si="5"/>
        <v>0</v>
      </c>
    </row>
    <row r="25" spans="1:33" x14ac:dyDescent="0.25">
      <c r="A25" s="1" t="s">
        <v>16</v>
      </c>
      <c r="B25" s="1" t="s">
        <v>17</v>
      </c>
      <c r="C25" s="1" t="s">
        <v>7</v>
      </c>
      <c r="D25" s="1" t="s">
        <v>627</v>
      </c>
      <c r="E25" s="80">
        <v>43977</v>
      </c>
      <c r="F25" s="80" t="str">
        <f t="shared" ca="1" si="0"/>
        <v>4 Years, 3 Months, 30 Days</v>
      </c>
      <c r="G25" s="1" t="s">
        <v>500</v>
      </c>
      <c r="H25" s="1" t="s">
        <v>143</v>
      </c>
      <c r="I25" s="5">
        <f t="shared" si="1"/>
        <v>384615.38461538462</v>
      </c>
      <c r="J25" s="2">
        <v>10000000</v>
      </c>
      <c r="K25" s="2">
        <f>IFERROR(I25*((NETWORKDAYS.INTL(SUMMARRY!$B$1,SUMMARRY!$B$2,11))),"")</f>
        <v>10000000</v>
      </c>
      <c r="L25" s="2">
        <v>5000000</v>
      </c>
      <c r="M25" s="2">
        <v>11845261</v>
      </c>
      <c r="N25" s="2">
        <v>8714850</v>
      </c>
      <c r="O25" s="2">
        <v>5620000</v>
      </c>
      <c r="P25" s="2">
        <v>7250717</v>
      </c>
      <c r="Q25" s="2">
        <v>4750901</v>
      </c>
      <c r="R25" s="2">
        <v>5722500</v>
      </c>
      <c r="S25" s="2">
        <v>9585467</v>
      </c>
      <c r="T25" s="2">
        <v>15087386</v>
      </c>
      <c r="U25" s="2">
        <v>10272009</v>
      </c>
      <c r="V25" s="2">
        <v>11919614</v>
      </c>
      <c r="W25" s="2">
        <v>20018828</v>
      </c>
      <c r="X25" s="2">
        <v>5049667</v>
      </c>
      <c r="Y25" s="6">
        <f t="shared" si="2"/>
        <v>0.50496669999999999</v>
      </c>
      <c r="Z25" s="6" t="str">
        <f t="shared" si="3"/>
        <v>OTHERS</v>
      </c>
      <c r="AA25" s="5">
        <v>43721342.969999999</v>
      </c>
      <c r="AB25" s="2">
        <v>8115144.0399999991</v>
      </c>
      <c r="AC25" s="6">
        <f t="shared" si="4"/>
        <v>0.18561058487083337</v>
      </c>
      <c r="AD25" s="2">
        <v>32914455.82</v>
      </c>
      <c r="AE25" s="2">
        <v>4793320</v>
      </c>
      <c r="AF25" s="2">
        <f t="shared" si="5"/>
        <v>0</v>
      </c>
    </row>
    <row r="26" spans="1:33" x14ac:dyDescent="0.25">
      <c r="A26" s="1" t="s">
        <v>15</v>
      </c>
      <c r="B26" s="1" t="s">
        <v>13</v>
      </c>
      <c r="C26" s="1" t="s">
        <v>7</v>
      </c>
      <c r="D26" s="1" t="s">
        <v>627</v>
      </c>
      <c r="E26" s="80">
        <v>45177</v>
      </c>
      <c r="F26" s="80" t="str">
        <f t="shared" ca="1" si="0"/>
        <v>1 Years, 0 Months, 17 Days</v>
      </c>
      <c r="G26" s="1" t="s">
        <v>499</v>
      </c>
      <c r="H26" s="1" t="s">
        <v>142</v>
      </c>
      <c r="I26" s="5">
        <f t="shared" si="1"/>
        <v>192307.69230769231</v>
      </c>
      <c r="J26" s="2">
        <v>5000000</v>
      </c>
      <c r="K26" s="2">
        <f>IFERROR(I26*((NETWORKDAYS.INTL(SUMMARRY!$B$1,SUMMARRY!$B$2,11))),"")</f>
        <v>5000000</v>
      </c>
      <c r="L26" s="2">
        <v>2000000</v>
      </c>
      <c r="M26" s="2">
        <v>769971</v>
      </c>
      <c r="N26" s="2">
        <v>314039</v>
      </c>
      <c r="O26" s="2">
        <v>5155906</v>
      </c>
      <c r="P26" s="2">
        <v>832013</v>
      </c>
      <c r="Q26" s="2">
        <v>2194485</v>
      </c>
      <c r="R26" s="2">
        <v>1283625</v>
      </c>
      <c r="S26" s="2">
        <v>3539924</v>
      </c>
      <c r="T26" s="2">
        <v>2505009</v>
      </c>
      <c r="U26" s="2">
        <v>2781617</v>
      </c>
      <c r="V26" s="2">
        <v>2965274</v>
      </c>
      <c r="W26" s="2">
        <v>3423333</v>
      </c>
      <c r="X26" s="2">
        <v>2431357</v>
      </c>
      <c r="Y26" s="6">
        <f t="shared" si="2"/>
        <v>0.48627140000000002</v>
      </c>
      <c r="Z26" s="6" t="str">
        <f t="shared" si="3"/>
        <v>OTHERS</v>
      </c>
      <c r="AA26" s="5">
        <v>59170377.630000018</v>
      </c>
      <c r="AB26" s="2">
        <v>1110107.03</v>
      </c>
      <c r="AC26" s="6">
        <f t="shared" si="4"/>
        <v>1.8761195626325763E-2</v>
      </c>
      <c r="AD26" s="2">
        <v>21595138.02</v>
      </c>
      <c r="AE26" s="2">
        <v>629822</v>
      </c>
      <c r="AF26" s="2">
        <f t="shared" si="5"/>
        <v>0</v>
      </c>
    </row>
    <row r="27" spans="1:33" x14ac:dyDescent="0.25">
      <c r="A27" s="1" t="s">
        <v>611</v>
      </c>
      <c r="B27" s="1" t="s">
        <v>30</v>
      </c>
      <c r="C27" s="1" t="s">
        <v>10</v>
      </c>
      <c r="D27" s="1" t="s">
        <v>627</v>
      </c>
      <c r="E27" s="80">
        <v>45102</v>
      </c>
      <c r="F27" s="80" t="str">
        <f t="shared" ca="1" si="0"/>
        <v>1 Years, 3 Months, 0 Days</v>
      </c>
      <c r="G27" s="1" t="s">
        <v>613</v>
      </c>
      <c r="H27" s="1" t="s">
        <v>616</v>
      </c>
      <c r="I27" s="5">
        <f t="shared" si="1"/>
        <v>38461.538461538461</v>
      </c>
      <c r="J27" s="2">
        <v>1000000</v>
      </c>
      <c r="K27" s="2">
        <f>IFERROR(I27*((NETWORKDAYS.INTL(SUMMARRY!$B$1,SUMMARRY!$B$2,11))),"")</f>
        <v>1000000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40288</v>
      </c>
      <c r="W27" s="2">
        <v>190000</v>
      </c>
      <c r="X27" s="2">
        <v>240000</v>
      </c>
      <c r="Y27" s="6">
        <f t="shared" si="2"/>
        <v>0.24</v>
      </c>
      <c r="Z27" s="6" t="str">
        <f t="shared" si="3"/>
        <v>OTHERS</v>
      </c>
      <c r="AA27" s="5">
        <v>1229588.8</v>
      </c>
      <c r="AB27" s="2">
        <v>0</v>
      </c>
      <c r="AC27" s="6">
        <f t="shared" si="4"/>
        <v>0</v>
      </c>
      <c r="AD27" s="2">
        <v>487300</v>
      </c>
      <c r="AE27" s="2">
        <v>240120</v>
      </c>
      <c r="AF27" s="2">
        <f t="shared" si="5"/>
        <v>0</v>
      </c>
      <c r="AG27" s="2"/>
    </row>
    <row r="28" spans="1:33" x14ac:dyDescent="0.25">
      <c r="A28" s="1" t="s">
        <v>523</v>
      </c>
      <c r="B28" s="1" t="s">
        <v>17</v>
      </c>
      <c r="C28" s="1" t="s">
        <v>10</v>
      </c>
      <c r="D28" s="1" t="s">
        <v>627</v>
      </c>
      <c r="E28" s="13">
        <v>45452</v>
      </c>
      <c r="F28" s="80" t="str">
        <f t="shared" ca="1" si="0"/>
        <v>0 Years, 3 Months, 16 Days</v>
      </c>
      <c r="G28" s="1" t="s">
        <v>522</v>
      </c>
      <c r="H28" s="1" t="s">
        <v>525</v>
      </c>
      <c r="I28" s="1">
        <f t="shared" si="1"/>
        <v>76923.076923076922</v>
      </c>
      <c r="J28" s="2">
        <v>2000000</v>
      </c>
      <c r="K28" s="2">
        <f>IFERROR(I28*((NETWORKDAYS.INTL(SUMMARRY!$B$1,SUMMARRY!$B$2,11))),"")</f>
        <v>2000000</v>
      </c>
      <c r="T28" s="2">
        <v>1020369</v>
      </c>
      <c r="U28" s="2">
        <v>767752</v>
      </c>
      <c r="V28" s="2">
        <v>385500</v>
      </c>
      <c r="W28" s="2">
        <v>926938</v>
      </c>
      <c r="X28" s="2">
        <v>412100</v>
      </c>
      <c r="Y28" s="6">
        <f t="shared" si="2"/>
        <v>0.20605000000000001</v>
      </c>
      <c r="Z28" s="6" t="str">
        <f t="shared" si="3"/>
        <v>OTHERS</v>
      </c>
      <c r="AA28" s="5">
        <v>6186175.7699999996</v>
      </c>
      <c r="AB28" s="2">
        <v>42098.400000000001</v>
      </c>
      <c r="AC28" s="6">
        <f t="shared" si="4"/>
        <v>6.8052382546511456E-3</v>
      </c>
      <c r="AD28" s="2">
        <v>2788392.13</v>
      </c>
      <c r="AE28" s="2">
        <v>355030</v>
      </c>
      <c r="AF28" s="2">
        <f t="shared" si="5"/>
        <v>0</v>
      </c>
    </row>
    <row r="29" spans="1:33" x14ac:dyDescent="0.25">
      <c r="A29" s="1" t="s">
        <v>172</v>
      </c>
      <c r="B29" s="1" t="s">
        <v>17</v>
      </c>
      <c r="C29" s="1" t="s">
        <v>7</v>
      </c>
      <c r="D29" s="1" t="s">
        <v>627</v>
      </c>
      <c r="E29" s="80">
        <v>45414</v>
      </c>
      <c r="F29" s="80" t="str">
        <f t="shared" ca="1" si="0"/>
        <v>0 Years, 4 Months, 23 Days</v>
      </c>
      <c r="G29" s="1" t="s">
        <v>512</v>
      </c>
      <c r="H29" s="1" t="s">
        <v>302</v>
      </c>
      <c r="I29" s="5">
        <f t="shared" si="1"/>
        <v>192307.69230769231</v>
      </c>
      <c r="J29" s="2">
        <v>5000000</v>
      </c>
      <c r="K29" s="2">
        <f>IFERROR(I29*((NETWORKDAYS.INTL(SUMMARRY!$B$1,SUMMARRY!$B$2,11))),"")</f>
        <v>5000000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600000</v>
      </c>
      <c r="S29" s="2">
        <v>0</v>
      </c>
      <c r="T29" s="2">
        <v>2470000</v>
      </c>
      <c r="U29" s="2">
        <v>1555000</v>
      </c>
      <c r="V29" s="2">
        <v>1584403</v>
      </c>
      <c r="W29" s="2">
        <v>1777317</v>
      </c>
      <c r="X29" s="2">
        <v>672000</v>
      </c>
      <c r="Y29" s="6">
        <f t="shared" si="2"/>
        <v>0.13439999999999999</v>
      </c>
      <c r="Z29" s="6" t="str">
        <f t="shared" si="3"/>
        <v>OTHERS</v>
      </c>
      <c r="AA29" s="5">
        <v>6787787.5399999991</v>
      </c>
      <c r="AB29" s="2">
        <v>847588.37</v>
      </c>
      <c r="AC29" s="6">
        <f t="shared" si="4"/>
        <v>0.12486960810208271</v>
      </c>
      <c r="AD29" s="2">
        <v>4813265.07</v>
      </c>
      <c r="AE29" s="2">
        <v>672420</v>
      </c>
      <c r="AF29" s="2">
        <f t="shared" si="5"/>
        <v>0</v>
      </c>
    </row>
    <row r="30" spans="1:33" x14ac:dyDescent="0.25">
      <c r="A30" s="1" t="s">
        <v>656</v>
      </c>
      <c r="B30" s="1" t="s">
        <v>17</v>
      </c>
      <c r="C30" s="1" t="s">
        <v>10</v>
      </c>
      <c r="D30" s="1" t="s">
        <v>627</v>
      </c>
      <c r="E30" s="80">
        <v>44197</v>
      </c>
      <c r="F30" s="80" t="str">
        <f t="shared" ca="1" si="0"/>
        <v>3 Years, 8 Months, 24 Days</v>
      </c>
      <c r="G30" s="1" t="s">
        <v>612</v>
      </c>
      <c r="H30" s="1" t="s">
        <v>615</v>
      </c>
      <c r="I30" s="5">
        <f t="shared" si="1"/>
        <v>153846.15384615384</v>
      </c>
      <c r="J30" s="2">
        <v>4000000</v>
      </c>
      <c r="K30" s="2">
        <f>IFERROR(I30*((NETWORKDAYS.INTL(SUMMARRY!$B$1,SUMMARRY!$B$2,11))),"")</f>
        <v>4000000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100000</v>
      </c>
      <c r="W30" s="2">
        <v>953200</v>
      </c>
      <c r="X30" s="2">
        <v>99800</v>
      </c>
      <c r="Y30" s="6">
        <f t="shared" si="2"/>
        <v>2.495E-2</v>
      </c>
      <c r="Z30" s="6" t="str">
        <f t="shared" si="3"/>
        <v>OTHERS</v>
      </c>
      <c r="AA30" s="5">
        <v>1100223</v>
      </c>
      <c r="AB30" s="2">
        <v>0</v>
      </c>
      <c r="AC30" s="6">
        <f t="shared" si="4"/>
        <v>0</v>
      </c>
      <c r="AD30" s="2">
        <v>652463</v>
      </c>
      <c r="AE30" s="2">
        <v>99920</v>
      </c>
      <c r="AF30" s="2">
        <f t="shared" si="5"/>
        <v>0</v>
      </c>
    </row>
    <row r="31" spans="1:33" x14ac:dyDescent="0.25">
      <c r="A31" s="1" t="s">
        <v>27</v>
      </c>
      <c r="B31" s="1" t="s">
        <v>26</v>
      </c>
      <c r="C31" s="1" t="s">
        <v>7</v>
      </c>
      <c r="D31" s="1" t="s">
        <v>627</v>
      </c>
      <c r="E31" s="80">
        <v>43497</v>
      </c>
      <c r="F31" s="80" t="str">
        <f t="shared" ca="1" si="0"/>
        <v>5 Years, 7 Months, 24 Days</v>
      </c>
      <c r="G31" s="1" t="s">
        <v>506</v>
      </c>
      <c r="H31" s="1" t="s">
        <v>149</v>
      </c>
      <c r="I31" s="5">
        <f t="shared" si="1"/>
        <v>576923.07692307688</v>
      </c>
      <c r="J31" s="2">
        <v>15000000</v>
      </c>
      <c r="K31" s="2">
        <f>IFERROR(I31*((NETWORKDAYS.INTL(SUMMARRY!$B$1,SUMMARRY!$B$2,11))),"")</f>
        <v>14999999.999999998</v>
      </c>
      <c r="L31" s="2">
        <v>10000000</v>
      </c>
      <c r="M31" s="2">
        <v>25542233</v>
      </c>
      <c r="N31" s="2">
        <v>18685000</v>
      </c>
      <c r="O31" s="2">
        <v>18339000</v>
      </c>
      <c r="P31" s="2">
        <v>16551302</v>
      </c>
      <c r="Q31" s="2">
        <v>24311827</v>
      </c>
      <c r="R31" s="2">
        <v>15530000</v>
      </c>
      <c r="S31" s="2">
        <v>10704000</v>
      </c>
      <c r="T31" s="2">
        <v>27043656</v>
      </c>
      <c r="U31" s="2">
        <v>17641326.649999999</v>
      </c>
      <c r="V31" s="2">
        <v>36374549.649999999</v>
      </c>
      <c r="W31" s="2">
        <v>13652284.300000001</v>
      </c>
      <c r="X31" s="2">
        <v>200000</v>
      </c>
      <c r="Y31" s="6">
        <f t="shared" si="2"/>
        <v>1.3333333333333334E-2</v>
      </c>
      <c r="Z31" s="6" t="str">
        <f t="shared" si="3"/>
        <v>OTHERS</v>
      </c>
      <c r="AA31" s="5">
        <v>86045060.560000032</v>
      </c>
      <c r="AB31" s="2">
        <v>9731348.2000000011</v>
      </c>
      <c r="AC31" s="6">
        <f t="shared" si="4"/>
        <v>0.11309595387191622</v>
      </c>
      <c r="AD31" s="2">
        <v>64580556.899999999</v>
      </c>
      <c r="AE31" s="2">
        <v>200120</v>
      </c>
      <c r="AF31" s="2">
        <f t="shared" si="5"/>
        <v>0</v>
      </c>
    </row>
    <row r="32" spans="1:33" x14ac:dyDescent="0.25">
      <c r="A32" s="1" t="s">
        <v>29</v>
      </c>
      <c r="B32" s="1" t="s">
        <v>30</v>
      </c>
      <c r="C32" s="1" t="s">
        <v>10</v>
      </c>
      <c r="D32" s="1" t="s">
        <v>627</v>
      </c>
      <c r="E32" s="80">
        <v>44205</v>
      </c>
      <c r="F32" s="80" t="str">
        <f t="shared" ca="1" si="0"/>
        <v>3 Years, 8 Months, 16 Days</v>
      </c>
      <c r="G32" s="1" t="s">
        <v>508</v>
      </c>
      <c r="H32" s="1" t="s">
        <v>168</v>
      </c>
      <c r="I32" s="5">
        <f t="shared" si="1"/>
        <v>76923.076923076922</v>
      </c>
      <c r="J32" s="2">
        <v>2000000</v>
      </c>
      <c r="K32" s="2">
        <f>IFERROR(I32*((NETWORKDAYS.INTL(SUMMARRY!$B$1,SUMMARRY!$B$2,11))),"")</f>
        <v>2000000</v>
      </c>
      <c r="L32" s="2">
        <v>2000000</v>
      </c>
      <c r="M32" s="2">
        <v>1900500</v>
      </c>
      <c r="N32" s="2">
        <v>523270</v>
      </c>
      <c r="O32" s="2">
        <v>1212000</v>
      </c>
      <c r="P32" s="2">
        <v>623000</v>
      </c>
      <c r="Q32" s="2">
        <v>405000</v>
      </c>
      <c r="R32" s="2">
        <v>960697</v>
      </c>
      <c r="S32" s="2">
        <v>1610000</v>
      </c>
      <c r="T32" s="2">
        <v>3440000</v>
      </c>
      <c r="U32" s="2">
        <v>1408195</v>
      </c>
      <c r="V32" s="2">
        <v>50000</v>
      </c>
      <c r="W32" s="2">
        <v>0</v>
      </c>
      <c r="X32" s="2">
        <v>0</v>
      </c>
      <c r="Y32" s="6">
        <f t="shared" si="2"/>
        <v>0</v>
      </c>
      <c r="Z32" s="6" t="str">
        <f t="shared" si="3"/>
        <v>OTHERS</v>
      </c>
      <c r="AA32" s="5">
        <v>8103528.21</v>
      </c>
      <c r="AB32" s="2">
        <v>70587.930000000008</v>
      </c>
      <c r="AC32" s="6">
        <f t="shared" si="4"/>
        <v>8.7107650113307875E-3</v>
      </c>
      <c r="AD32" s="2">
        <v>4166513.16</v>
      </c>
      <c r="AE32" s="2">
        <v>0</v>
      </c>
      <c r="AF32" s="2">
        <f t="shared" si="5"/>
        <v>0</v>
      </c>
    </row>
    <row r="33" spans="1:32" x14ac:dyDescent="0.25">
      <c r="A33" s="1" t="s">
        <v>658</v>
      </c>
      <c r="B33" s="1" t="s">
        <v>34</v>
      </c>
      <c r="C33" s="1" t="s">
        <v>10</v>
      </c>
      <c r="D33" s="1" t="s">
        <v>627</v>
      </c>
      <c r="E33" s="13">
        <v>45360</v>
      </c>
      <c r="F33" s="80" t="str">
        <f t="shared" ca="1" si="0"/>
        <v>0 Years, 6 Months, 16 Days</v>
      </c>
      <c r="G33" s="1" t="s">
        <v>660</v>
      </c>
      <c r="I33" s="1">
        <f t="shared" si="1"/>
        <v>192307.69230769231</v>
      </c>
      <c r="J33" s="2">
        <v>5000000</v>
      </c>
      <c r="K33" s="2">
        <f>IFERROR(I33*((NETWORKDAYS.INTL(SUMMARRY!$B$1,SUMMARRY!$B$2,11))),"")</f>
        <v>5000000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6">
        <f t="shared" si="2"/>
        <v>0</v>
      </c>
      <c r="Z33" s="6" t="str">
        <f t="shared" si="3"/>
        <v>OTHERS</v>
      </c>
      <c r="AA33" s="5">
        <v>0</v>
      </c>
      <c r="AB33" s="2">
        <v>0</v>
      </c>
      <c r="AC33" s="6">
        <f t="shared" si="4"/>
        <v>0</v>
      </c>
      <c r="AD33" s="2">
        <v>0</v>
      </c>
      <c r="AE33" s="2">
        <v>0</v>
      </c>
      <c r="AF33" s="2">
        <f t="shared" si="5"/>
        <v>0</v>
      </c>
    </row>
  </sheetData>
  <sortState ref="A2:AF33">
    <sortCondition descending="1" ref="Y2:Y33"/>
  </sortState>
  <phoneticPr fontId="3" type="noConversion"/>
  <conditionalFormatting sqref="Y2:Y33">
    <cfRule type="cellIs" dxfId="29" priority="11" operator="between">
      <formula>0</formula>
      <formula>0.3</formula>
    </cfRule>
    <cfRule type="cellIs" dxfId="28" priority="12" operator="between">
      <formula>0.31</formula>
      <formula>0.49</formula>
    </cfRule>
  </conditionalFormatting>
  <conditionalFormatting sqref="A24">
    <cfRule type="duplicateValues" dxfId="27" priority="7"/>
  </conditionalFormatting>
  <conditionalFormatting sqref="A1:A1048576">
    <cfRule type="duplicateValues" dxfId="26" priority="13"/>
  </conditionalFormatting>
  <conditionalFormatting sqref="G32">
    <cfRule type="duplicateValues" dxfId="25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0C33-B5B9-403F-858B-1C9503D283FC}">
  <dimension ref="A1:AF4"/>
  <sheetViews>
    <sheetView zoomScaleNormal="100" workbookViewId="0">
      <pane xSplit="1" topLeftCell="R1" activePane="topRight" state="frozen"/>
      <selection pane="topRight" activeCell="AE7" sqref="AE7"/>
    </sheetView>
  </sheetViews>
  <sheetFormatPr defaultColWidth="9.140625" defaultRowHeight="15" x14ac:dyDescent="0.25"/>
  <cols>
    <col min="1" max="1" width="17.85546875" style="1" bestFit="1" customWidth="1"/>
    <col min="2" max="2" width="13.5703125" style="1" bestFit="1" customWidth="1"/>
    <col min="3" max="3" width="13.5703125" style="1" customWidth="1"/>
    <col min="4" max="4" width="12.7109375" style="1" customWidth="1"/>
    <col min="5" max="5" width="13.5703125" style="1" customWidth="1"/>
    <col min="6" max="6" width="23" style="1" bestFit="1" customWidth="1"/>
    <col min="7" max="7" width="8.7109375" style="1" bestFit="1" customWidth="1"/>
    <col min="8" max="8" width="10.85546875" style="1" bestFit="1" customWidth="1"/>
    <col min="9" max="9" width="11.28515625" style="1" bestFit="1" customWidth="1"/>
    <col min="10" max="10" width="17" style="2" bestFit="1" customWidth="1"/>
    <col min="11" max="11" width="12.7109375" style="2" bestFit="1" customWidth="1"/>
    <col min="12" max="12" width="16.7109375" style="2" customWidth="1"/>
    <col min="13" max="13" width="11.28515625" style="1" bestFit="1" customWidth="1"/>
    <col min="14" max="21" width="12.7109375" style="1" bestFit="1" customWidth="1"/>
    <col min="22" max="24" width="12.7109375" style="1" customWidth="1"/>
    <col min="25" max="25" width="16.28515625" style="1" bestFit="1" customWidth="1"/>
    <col min="26" max="26" width="7.5703125" style="1" bestFit="1" customWidth="1"/>
    <col min="27" max="27" width="16.42578125" style="1" bestFit="1" customWidth="1"/>
    <col min="28" max="28" width="13.85546875" style="1" bestFit="1" customWidth="1"/>
    <col min="29" max="29" width="7" style="1" bestFit="1" customWidth="1"/>
    <col min="30" max="30" width="13.85546875" style="1" bestFit="1" customWidth="1"/>
    <col min="31" max="31" width="18.5703125" style="1" bestFit="1" customWidth="1"/>
    <col min="32" max="32" width="11.7109375" style="1" bestFit="1" customWidth="1"/>
    <col min="33" max="16384" width="9.140625" style="1"/>
  </cols>
  <sheetData>
    <row r="1" spans="1:32" s="9" customFormat="1" ht="30" x14ac:dyDescent="0.25">
      <c r="A1" s="7" t="s">
        <v>0</v>
      </c>
      <c r="B1" s="7" t="s">
        <v>1</v>
      </c>
      <c r="C1" s="7" t="s">
        <v>633</v>
      </c>
      <c r="D1" s="7">
        <v>2024</v>
      </c>
      <c r="E1" s="7" t="s">
        <v>628</v>
      </c>
      <c r="F1" s="7" t="s">
        <v>629</v>
      </c>
      <c r="G1" s="7" t="s">
        <v>78</v>
      </c>
      <c r="H1" s="7" t="s">
        <v>111</v>
      </c>
      <c r="I1" s="7" t="s">
        <v>234</v>
      </c>
      <c r="J1" s="8" t="s">
        <v>173</v>
      </c>
      <c r="K1" s="8" t="s">
        <v>183</v>
      </c>
      <c r="L1" s="8" t="s">
        <v>40</v>
      </c>
      <c r="M1" s="7" t="s">
        <v>43</v>
      </c>
      <c r="N1" s="7" t="s">
        <v>42</v>
      </c>
      <c r="O1" s="7" t="s">
        <v>41</v>
      </c>
      <c r="P1" s="7" t="s">
        <v>39</v>
      </c>
      <c r="Q1" s="7" t="s">
        <v>166</v>
      </c>
      <c r="R1" s="7" t="s">
        <v>233</v>
      </c>
      <c r="S1" s="7" t="s">
        <v>489</v>
      </c>
      <c r="T1" s="7" t="s">
        <v>520</v>
      </c>
      <c r="U1" s="7" t="s">
        <v>580</v>
      </c>
      <c r="V1" s="7" t="s">
        <v>608</v>
      </c>
      <c r="W1" s="7" t="s">
        <v>625</v>
      </c>
      <c r="X1" s="7" t="s">
        <v>659</v>
      </c>
      <c r="Y1" s="7" t="s">
        <v>626</v>
      </c>
      <c r="Z1" s="7" t="s">
        <v>486</v>
      </c>
      <c r="AA1" s="7" t="s">
        <v>153</v>
      </c>
      <c r="AB1" s="7" t="s">
        <v>154</v>
      </c>
      <c r="AC1" s="7" t="s">
        <v>156</v>
      </c>
      <c r="AD1" s="7" t="s">
        <v>155</v>
      </c>
      <c r="AE1" s="7" t="s">
        <v>694</v>
      </c>
      <c r="AF1" s="7" t="s">
        <v>159</v>
      </c>
    </row>
    <row r="2" spans="1:32" x14ac:dyDescent="0.25">
      <c r="A2" s="1" t="s">
        <v>587</v>
      </c>
      <c r="B2" s="1" t="s">
        <v>37</v>
      </c>
      <c r="C2" s="1" t="s">
        <v>634</v>
      </c>
      <c r="D2" s="1" t="s">
        <v>627</v>
      </c>
      <c r="E2" s="81">
        <v>45449</v>
      </c>
      <c r="F2" s="1" t="str">
        <f ca="1">DATEDIF(E2, TODAY(), "Y") &amp; " Years, " &amp; DATEDIF(E2, TODAY(), "YM") &amp; " Months, " &amp; DATEDIF(E2, TODAY(), "MD") &amp; " Days"</f>
        <v>0 Years, 3 Months, 19 Days</v>
      </c>
      <c r="G2" s="1" t="s">
        <v>586</v>
      </c>
      <c r="H2" s="1" t="s">
        <v>610</v>
      </c>
      <c r="I2" s="5">
        <f t="shared" ref="I2:I4" si="0">J2/26</f>
        <v>134615.38461538462</v>
      </c>
      <c r="J2" s="2">
        <v>3500000</v>
      </c>
      <c r="K2" s="2">
        <f>IFERROR(I2*((NETWORKDAYS.INTL(SUMMARRY!$B$1,SUMMARRY!$B$2,11))),"")</f>
        <v>3500000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1554000</v>
      </c>
      <c r="W2" s="2">
        <v>0</v>
      </c>
      <c r="X2" s="2">
        <v>1494500</v>
      </c>
      <c r="Y2" s="6">
        <f>X2/K2</f>
        <v>0.42699999999999999</v>
      </c>
      <c r="Z2" s="6" t="str">
        <f t="shared" ref="Z2:Z4" si="1">IF(Y2&gt;=80%,"TEAM A","OTHERS")</f>
        <v>OTHERS</v>
      </c>
      <c r="AA2" s="2">
        <v>4378223.46</v>
      </c>
      <c r="AB2" s="2">
        <v>60928.46</v>
      </c>
      <c r="AC2" s="6">
        <f t="shared" ref="AC2:AC4" si="2">IFERROR(AB2/AA2,0)</f>
        <v>1.3916251775783048E-2</v>
      </c>
      <c r="AD2" s="2">
        <v>2964049.19</v>
      </c>
      <c r="AE2" s="2">
        <v>1280131</v>
      </c>
      <c r="AF2" s="2">
        <f>IF(AND(AE2&gt;(0.5*J2),AC2&lt;5%),(AE2-0.5*J2)*0.02,0)</f>
        <v>0</v>
      </c>
    </row>
    <row r="3" spans="1:32" x14ac:dyDescent="0.25">
      <c r="A3" s="1" t="s">
        <v>490</v>
      </c>
      <c r="B3" s="1" t="s">
        <v>9</v>
      </c>
      <c r="C3" s="1" t="s">
        <v>634</v>
      </c>
      <c r="D3" s="1" t="s">
        <v>627</v>
      </c>
      <c r="E3" s="81">
        <v>45349</v>
      </c>
      <c r="F3" s="1" t="str">
        <f t="shared" ref="F3:F4" ca="1" si="3">DATEDIF(E3, TODAY(), "Y") &amp; " Years, " &amp; DATEDIF(E3, TODAY(), "YM") &amp; " Months, " &amp; DATEDIF(E3, TODAY(), "MD") &amp; " Days"</f>
        <v>0 Years, 6 Months, 29 Days</v>
      </c>
      <c r="G3" s="1" t="s">
        <v>514</v>
      </c>
      <c r="H3" s="1" t="s">
        <v>524</v>
      </c>
      <c r="I3" s="5">
        <f t="shared" si="0"/>
        <v>153846.15384615384</v>
      </c>
      <c r="J3" s="2">
        <v>4000000</v>
      </c>
      <c r="K3" s="2">
        <f>IFERROR(I3*((NETWORKDAYS.INTL(SUMMARRY!$B$1,SUMMARRY!$B$2,11))),"")</f>
        <v>4000000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1815000</v>
      </c>
      <c r="U3" s="2">
        <v>2661000</v>
      </c>
      <c r="V3" s="2">
        <v>1367200</v>
      </c>
      <c r="W3" s="2">
        <v>384000</v>
      </c>
      <c r="X3" s="2">
        <v>1043000</v>
      </c>
      <c r="Y3" s="6">
        <f t="shared" ref="Y3:Y4" si="4">X3/K3</f>
        <v>0.26074999999999998</v>
      </c>
      <c r="Z3" s="6" t="str">
        <f t="shared" si="1"/>
        <v>OTHERS</v>
      </c>
      <c r="AA3" s="2">
        <v>10967748.359999999</v>
      </c>
      <c r="AB3" s="2">
        <v>208122.99999999997</v>
      </c>
      <c r="AC3" s="6">
        <f t="shared" si="2"/>
        <v>1.897590947281726E-2</v>
      </c>
      <c r="AD3" s="2">
        <v>6342643.4400000004</v>
      </c>
      <c r="AE3" s="2">
        <v>949512</v>
      </c>
      <c r="AF3" s="2">
        <f>IF(AND(AE3&gt;(0.5*J3),AC3&lt;5%),(AE3-0.5*J3)*0.02,0)</f>
        <v>0</v>
      </c>
    </row>
    <row r="4" spans="1:32" x14ac:dyDescent="0.25">
      <c r="A4" s="1" t="s">
        <v>661</v>
      </c>
      <c r="B4" s="1" t="s">
        <v>24</v>
      </c>
      <c r="C4" s="1" t="s">
        <v>634</v>
      </c>
      <c r="D4" s="1" t="s">
        <v>627</v>
      </c>
      <c r="E4" s="81">
        <v>45419</v>
      </c>
      <c r="F4" s="1" t="str">
        <f t="shared" ca="1" si="3"/>
        <v>0 Years, 4 Months, 18 Days</v>
      </c>
      <c r="G4" s="1" t="s">
        <v>662</v>
      </c>
      <c r="H4" s="1" t="s">
        <v>663</v>
      </c>
      <c r="I4" s="5">
        <f t="shared" si="0"/>
        <v>153846.15384615384</v>
      </c>
      <c r="J4" s="2">
        <v>4000000</v>
      </c>
      <c r="K4" s="2">
        <f>IFERROR(I4*((NETWORKDAYS.INTL(SUMMARRY!$B$1,SUMMARRY!$B$2,11))),"")</f>
        <v>4000000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236000</v>
      </c>
      <c r="V4" s="2">
        <v>2559600</v>
      </c>
      <c r="W4" s="2">
        <v>0</v>
      </c>
      <c r="X4" s="2">
        <v>188000</v>
      </c>
      <c r="Y4" s="6">
        <f t="shared" si="4"/>
        <v>4.7E-2</v>
      </c>
      <c r="Z4" s="6" t="str">
        <f t="shared" si="1"/>
        <v>OTHERS</v>
      </c>
      <c r="AA4" s="2">
        <v>2723605.27</v>
      </c>
      <c r="AB4" s="2">
        <v>70617.26999999999</v>
      </c>
      <c r="AC4" s="6">
        <f t="shared" si="2"/>
        <v>2.5927865090377061E-2</v>
      </c>
      <c r="AD4" s="2">
        <v>1686214.23</v>
      </c>
      <c r="AE4" s="2">
        <v>138050</v>
      </c>
      <c r="AF4" s="2">
        <f>IF(AND(AE4&gt;(0.5*J4),AC4&lt;5%),(AE4-0.5*J4)*0.02,0)</f>
        <v>0</v>
      </c>
    </row>
  </sheetData>
  <sortState ref="A2:AF4">
    <sortCondition descending="1" ref="Y2:Y4"/>
  </sortState>
  <phoneticPr fontId="3" type="noConversion"/>
  <conditionalFormatting sqref="Y2:Y4">
    <cfRule type="cellIs" dxfId="24" priority="8" operator="between">
      <formula>0</formula>
      <formula>0.3</formula>
    </cfRule>
    <cfRule type="cellIs" dxfId="23" priority="9" operator="between">
      <formula>0.31</formula>
      <formula>0.49</formula>
    </cfRule>
    <cfRule type="cellIs" dxfId="22" priority="10" operator="between">
      <formula>31</formula>
      <formula>49</formula>
    </cfRule>
  </conditionalFormatting>
  <conditionalFormatting sqref="A1:A1048576">
    <cfRule type="duplicateValues" dxfId="21" priority="6"/>
  </conditionalFormatting>
  <conditionalFormatting sqref="G5:G20 A1:A4">
    <cfRule type="duplicateValues" dxfId="20" priority="4"/>
  </conditionalFormatting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6B74-9361-4276-B393-C560EFF66992}">
  <dimension ref="A1:BC58"/>
  <sheetViews>
    <sheetView zoomScaleNormal="100" workbookViewId="0">
      <pane xSplit="1" topLeftCell="B1" activePane="topRight" state="frozen"/>
      <selection pane="topRight" activeCell="AB1" sqref="AB1:AE1"/>
    </sheetView>
  </sheetViews>
  <sheetFormatPr defaultColWidth="9.140625" defaultRowHeight="15" x14ac:dyDescent="0.25"/>
  <cols>
    <col min="1" max="1" width="26.28515625" style="1" bestFit="1" customWidth="1"/>
    <col min="2" max="2" width="13.5703125" style="1" bestFit="1" customWidth="1"/>
    <col min="3" max="3" width="22.7109375" style="1" customWidth="1"/>
    <col min="4" max="4" width="27.7109375" style="1" bestFit="1" customWidth="1"/>
    <col min="5" max="5" width="13.5703125" style="1" customWidth="1"/>
    <col min="6" max="6" width="13.5703125" style="80" customWidth="1"/>
    <col min="7" max="7" width="25" style="1" bestFit="1" customWidth="1"/>
    <col min="8" max="8" width="8.7109375" style="1" bestFit="1" customWidth="1"/>
    <col min="9" max="9" width="12.28515625" style="1" bestFit="1" customWidth="1"/>
    <col min="10" max="10" width="10.85546875" style="1" bestFit="1" customWidth="1"/>
    <col min="11" max="11" width="12.28515625" style="2" bestFit="1" customWidth="1"/>
    <col min="12" max="12" width="12.28515625" style="2" customWidth="1"/>
    <col min="13" max="13" width="12.7109375" style="1" customWidth="1"/>
    <col min="14" max="17" width="12.28515625" style="1" bestFit="1" customWidth="1"/>
    <col min="18" max="18" width="12.28515625" style="2" bestFit="1" customWidth="1"/>
    <col min="19" max="22" width="12.28515625" style="2" customWidth="1"/>
    <col min="23" max="23" width="13.42578125" style="2" bestFit="1" customWidth="1"/>
    <col min="24" max="24" width="12.28515625" style="2" customWidth="1"/>
    <col min="25" max="25" width="13.42578125" style="2" bestFit="1" customWidth="1"/>
    <col min="26" max="26" width="11.42578125" style="2" bestFit="1" customWidth="1"/>
    <col min="27" max="27" width="8.42578125" style="2" bestFit="1" customWidth="1"/>
    <col min="28" max="28" width="14.42578125" style="1" bestFit="1" customWidth="1"/>
    <col min="29" max="29" width="12.28515625" style="1" bestFit="1" customWidth="1"/>
    <col min="30" max="30" width="6" style="1" bestFit="1" customWidth="1"/>
    <col min="31" max="31" width="14.42578125" style="1" bestFit="1" customWidth="1"/>
    <col min="32" max="32" width="13.42578125" style="2" bestFit="1" customWidth="1"/>
    <col min="33" max="33" width="13.28515625" style="1" bestFit="1" customWidth="1"/>
    <col min="34" max="34" width="13.42578125" style="1" bestFit="1" customWidth="1"/>
    <col min="35" max="35" width="13.140625" style="2" customWidth="1"/>
    <col min="36" max="38" width="9.140625" style="1"/>
    <col min="39" max="42" width="16.28515625" style="1" customWidth="1"/>
    <col min="43" max="43" width="14.140625" style="2" customWidth="1"/>
    <col min="44" max="44" width="16.42578125" style="1" customWidth="1"/>
    <col min="45" max="45" width="14.7109375" style="1" customWidth="1"/>
    <col min="46" max="46" width="14.7109375" style="2" customWidth="1"/>
    <col min="47" max="47" width="12.28515625" style="1" bestFit="1" customWidth="1"/>
    <col min="48" max="48" width="17.7109375" style="1" hidden="1" customWidth="1"/>
    <col min="49" max="50" width="14.7109375" style="1" hidden="1" customWidth="1"/>
    <col min="51" max="51" width="0" style="111" hidden="1" customWidth="1"/>
    <col min="52" max="52" width="13.42578125" style="112" hidden="1" customWidth="1"/>
    <col min="53" max="53" width="12.85546875" style="107" hidden="1" customWidth="1"/>
    <col min="54" max="54" width="16.28515625" style="107" hidden="1" customWidth="1"/>
    <col min="55" max="55" width="10.85546875" style="1" hidden="1" customWidth="1"/>
    <col min="56" max="16384" width="9.140625" style="1"/>
  </cols>
  <sheetData>
    <row r="1" spans="1:55" s="9" customFormat="1" ht="45" x14ac:dyDescent="0.25">
      <c r="A1" s="7" t="s">
        <v>0</v>
      </c>
      <c r="B1" s="7" t="s">
        <v>1</v>
      </c>
      <c r="C1" s="7" t="s">
        <v>200</v>
      </c>
      <c r="D1" s="7" t="s">
        <v>633</v>
      </c>
      <c r="E1" s="7">
        <v>2024</v>
      </c>
      <c r="F1" s="82" t="s">
        <v>628</v>
      </c>
      <c r="G1" s="7" t="s">
        <v>629</v>
      </c>
      <c r="H1" s="7" t="s">
        <v>78</v>
      </c>
      <c r="I1" s="7" t="s">
        <v>120</v>
      </c>
      <c r="J1" s="7" t="s">
        <v>234</v>
      </c>
      <c r="K1" s="8" t="s">
        <v>173</v>
      </c>
      <c r="L1" s="8" t="s">
        <v>183</v>
      </c>
      <c r="M1" s="7" t="s">
        <v>40</v>
      </c>
      <c r="N1" s="7" t="s">
        <v>43</v>
      </c>
      <c r="O1" s="7" t="s">
        <v>42</v>
      </c>
      <c r="P1" s="7" t="s">
        <v>41</v>
      </c>
      <c r="Q1" s="7" t="s">
        <v>39</v>
      </c>
      <c r="R1" s="8" t="s">
        <v>166</v>
      </c>
      <c r="S1" s="8" t="s">
        <v>233</v>
      </c>
      <c r="T1" s="8" t="s">
        <v>489</v>
      </c>
      <c r="U1" s="8" t="s">
        <v>520</v>
      </c>
      <c r="V1" s="8" t="s">
        <v>580</v>
      </c>
      <c r="W1" s="8" t="s">
        <v>608</v>
      </c>
      <c r="X1" s="8" t="s">
        <v>625</v>
      </c>
      <c r="Y1" s="8" t="s">
        <v>659</v>
      </c>
      <c r="Z1" s="7" t="s">
        <v>764</v>
      </c>
      <c r="AA1" s="7" t="s">
        <v>486</v>
      </c>
      <c r="AB1" s="7" t="s">
        <v>153</v>
      </c>
      <c r="AC1" s="7" t="s">
        <v>154</v>
      </c>
      <c r="AD1" s="7" t="s">
        <v>156</v>
      </c>
      <c r="AE1" s="7" t="s">
        <v>155</v>
      </c>
      <c r="AF1" s="8" t="s">
        <v>694</v>
      </c>
      <c r="AG1" s="7" t="s">
        <v>170</v>
      </c>
      <c r="AH1" s="7" t="s">
        <v>237</v>
      </c>
      <c r="AI1" s="7" t="s">
        <v>216</v>
      </c>
      <c r="AJ1" s="7" t="s">
        <v>748</v>
      </c>
      <c r="AK1" s="7" t="s">
        <v>747</v>
      </c>
      <c r="AL1" s="7" t="s">
        <v>765</v>
      </c>
      <c r="AM1" s="7" t="s">
        <v>749</v>
      </c>
      <c r="AN1" s="7" t="s">
        <v>750</v>
      </c>
      <c r="AO1" s="7" t="s">
        <v>766</v>
      </c>
      <c r="AP1" s="7" t="s">
        <v>767</v>
      </c>
      <c r="AQ1" s="8" t="s">
        <v>760</v>
      </c>
      <c r="AR1" s="7" t="s">
        <v>761</v>
      </c>
      <c r="AS1" s="7" t="s">
        <v>762</v>
      </c>
      <c r="AT1" s="8" t="s">
        <v>763</v>
      </c>
      <c r="AV1" s="9" t="str" cm="1">
        <f t="array" ref="AV1:AV10">_xlfn.UNIQUE(K:K,0)</f>
        <v xml:space="preserve">MONTHLY TARGET </v>
      </c>
      <c r="AW1" s="9" t="s">
        <v>751</v>
      </c>
      <c r="AX1" s="9" t="s">
        <v>754</v>
      </c>
      <c r="AY1" s="109" t="s">
        <v>752</v>
      </c>
      <c r="AZ1" s="110" t="s">
        <v>753</v>
      </c>
      <c r="BA1" s="108" t="s">
        <v>755</v>
      </c>
      <c r="BB1" s="108" t="s">
        <v>756</v>
      </c>
      <c r="BC1" s="9" t="s">
        <v>758</v>
      </c>
    </row>
    <row r="2" spans="1:55" x14ac:dyDescent="0.25">
      <c r="A2" s="1" t="s">
        <v>696</v>
      </c>
      <c r="B2" s="1" t="str">
        <f>_xlfn.XLOOKUP(A2,'[1]OGADAS TEAM '!$A:$A,'[1]OGADAS TEAM '!$B:$B,0)</f>
        <v>VOI</v>
      </c>
      <c r="C2" s="1" t="s">
        <v>195</v>
      </c>
      <c r="D2" s="1" t="s">
        <v>746</v>
      </c>
      <c r="E2" s="1" t="s">
        <v>627</v>
      </c>
      <c r="F2" s="81">
        <v>45503</v>
      </c>
      <c r="G2" s="1" t="str">
        <f t="shared" ref="G2:G33" ca="1" si="0">DATEDIF(F2, TODAY(), "Y") &amp; " Years, " &amp; DATEDIF(F2, TODAY(), "YM") &amp; " Months, " &amp; DATEDIF(F2, TODAY(), "MD") &amp; " Days"</f>
        <v>0 Years, 1 Months, 26 Days</v>
      </c>
      <c r="H2" s="1" t="s">
        <v>714</v>
      </c>
      <c r="I2" s="1" t="s">
        <v>730</v>
      </c>
      <c r="J2" s="1">
        <f t="shared" ref="J2:J33" si="1">K2/26</f>
        <v>38461.538461538461</v>
      </c>
      <c r="K2" s="2">
        <v>1000000</v>
      </c>
      <c r="L2" s="2">
        <f>IFERROR(J2*((NETWORKDAYS.INTL(SUMMARRY!$B$1,SUMMARRY!$B$2,11))),"")</f>
        <v>1000000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594900</v>
      </c>
      <c r="Z2" s="6">
        <f t="shared" ref="Z2:Z33" si="2">Y2/L2</f>
        <v>0.59489999999999998</v>
      </c>
      <c r="AA2" s="2" t="str">
        <f t="shared" ref="AA2:AA33" si="3">IF(Z2&gt;=80%,"TEAM A","OTHERS")</f>
        <v>OTHERS</v>
      </c>
      <c r="AB2" s="2">
        <v>2308212</v>
      </c>
      <c r="AC2" s="2">
        <v>0</v>
      </c>
      <c r="AD2" s="6">
        <f t="shared" ref="AD2:AD33" si="4">IFERROR(AC2/AB2,0)</f>
        <v>0</v>
      </c>
      <c r="AE2" s="2">
        <v>594900</v>
      </c>
      <c r="AF2" s="2">
        <v>594900</v>
      </c>
      <c r="AG2" s="2">
        <v>0</v>
      </c>
      <c r="AH2" s="2">
        <f t="shared" ref="AH2:AH33" si="5">AG2+Y2</f>
        <v>594900</v>
      </c>
      <c r="AI2" s="6">
        <f t="shared" ref="AI2:AI33" si="6">AH2/L2</f>
        <v>0.59489999999999998</v>
      </c>
      <c r="AJ2" s="1">
        <v>1</v>
      </c>
      <c r="AK2" s="1">
        <v>6</v>
      </c>
      <c r="AL2" s="6">
        <f>AJ2/AK2</f>
        <v>0.16666666666666666</v>
      </c>
      <c r="AM2" s="1">
        <v>1</v>
      </c>
      <c r="AN2" s="1">
        <v>0</v>
      </c>
      <c r="AO2" s="6">
        <f>IFERROR(AM2/AN2,0)</f>
        <v>0</v>
      </c>
      <c r="AP2" s="2">
        <f>IF(Z2&gt;=75%,(Y2-(75%*K2)),0)</f>
        <v>0</v>
      </c>
      <c r="AQ2" s="2">
        <f t="shared" ref="AQ2:AQ33" si="7">IF(AND(AE2&gt;=3000000,AD2&lt;=0.005,K2=1000000),(AE2-3000000)*0.005,IF(AND(AE2&gt;=5000000,AD2&lt;=0.005,K2&gt;=1200000,K2&lt;=1500000),(AE2-5000000)*0.005,IF(AND(AE2&gt;=20000000,AD2&lt;=0.01,K2=3500000),(AE2-2000000)*0.001,IF(AND(AE2&gt;=50000000,AD2&lt;=0.01,K2=5000000),(AE2-50000000)*0.001,IF(AND(AE2&gt;=15000000,AD2&lt;=0.01,K2&gt;=200000,K2&lt;=2500000),(AE2-15000000)*0.002,IF(AND(AE2&gt;=30000000,AD2&lt;=0.01,K2=4000000),(AE2-30000000)*0.001,0))))))</f>
        <v>0</v>
      </c>
      <c r="AR2" s="2">
        <f t="shared" ref="AR2:AR33" si="8">IF(AND(Z2&gt;=1, AL2&gt;=1, K2&gt;=4000000, K2&lt;=5000000), 10000, IF(AND(Z2&gt;=1, AL2&gt;=1, K2=3500000), 7500, IF(AND(Z2&gt;=1, AL2&gt;=1, K2&gt;=2000000, K2&lt;=2500000), 5000, 0)))</f>
        <v>0</v>
      </c>
      <c r="AS2" s="2">
        <f>IF(AND(AO2&gt;=0.6, Z2&gt;=0.75, K2&gt;=4000000, K2&lt;=5000000), AP2*0.015, IF(AND(AO2&gt;=0.6, Z2&gt;=0.75, K2=3500000), AP2*0.01, IF(AND(AO2&gt;=0.6, Z2&gt;=0.75, K2&gt;=2000000, K2&lt;=2500000), AP2*0.01, 0)))</f>
        <v>0</v>
      </c>
      <c r="AT2" s="2">
        <f>SUM(AQ2:AS2)</f>
        <v>0</v>
      </c>
      <c r="AU2" s="2"/>
      <c r="AV2" s="1">
        <v>1000000</v>
      </c>
      <c r="AW2" s="1">
        <v>0</v>
      </c>
      <c r="AX2" s="1">
        <v>6</v>
      </c>
      <c r="AY2" s="111">
        <v>5.0000000000000001E-3</v>
      </c>
      <c r="AZ2" s="112">
        <v>3000000</v>
      </c>
      <c r="BA2" s="107">
        <v>5.0000000000000001E-3</v>
      </c>
      <c r="BB2" s="107">
        <v>0</v>
      </c>
    </row>
    <row r="3" spans="1:55" x14ac:dyDescent="0.25">
      <c r="A3" s="1" t="s">
        <v>695</v>
      </c>
      <c r="B3" s="1" t="str">
        <f>_xlfn.XLOOKUP(A3,'[1]OGADAS TEAM '!$A:$A,'[1]OGADAS TEAM '!$B:$B,0)</f>
        <v>KISUMU</v>
      </c>
      <c r="C3" s="1" t="s">
        <v>198</v>
      </c>
      <c r="D3" s="1" t="s">
        <v>745</v>
      </c>
      <c r="E3" s="1" t="s">
        <v>627</v>
      </c>
      <c r="F3" s="105">
        <v>45534</v>
      </c>
      <c r="G3" s="1" t="str">
        <f t="shared" ca="1" si="0"/>
        <v>0 Years, 0 Months, 26 Days</v>
      </c>
      <c r="H3" s="1" t="s">
        <v>712</v>
      </c>
      <c r="I3" s="1" t="s">
        <v>729</v>
      </c>
      <c r="J3" s="1">
        <f t="shared" si="1"/>
        <v>46153.846153846156</v>
      </c>
      <c r="K3" s="2">
        <v>1200000</v>
      </c>
      <c r="L3" s="2">
        <f>IFERROR(J3*((NETWORKDAYS.INTL(SUMMARRY!$B$1,SUMMARRY!$B$2,11))),"")</f>
        <v>1200000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1902006</v>
      </c>
      <c r="Z3" s="6">
        <f t="shared" si="2"/>
        <v>1.585005</v>
      </c>
      <c r="AA3" s="2" t="str">
        <f t="shared" si="3"/>
        <v>TEAM A</v>
      </c>
      <c r="AB3" s="2">
        <v>6876176</v>
      </c>
      <c r="AC3" s="2">
        <v>0</v>
      </c>
      <c r="AD3" s="6">
        <f t="shared" si="4"/>
        <v>0</v>
      </c>
      <c r="AE3" s="2">
        <v>1783640</v>
      </c>
      <c r="AF3" s="2">
        <v>1902006</v>
      </c>
      <c r="AG3" s="2">
        <v>0</v>
      </c>
      <c r="AH3" s="2">
        <f t="shared" si="5"/>
        <v>1902006</v>
      </c>
      <c r="AI3" s="6">
        <f t="shared" si="6"/>
        <v>1.585005</v>
      </c>
      <c r="AJ3" s="1">
        <v>11</v>
      </c>
      <c r="AK3" s="1">
        <v>8</v>
      </c>
      <c r="AL3" s="6">
        <f t="shared" ref="AL3:AL57" si="9">AJ3/AK3</f>
        <v>1.375</v>
      </c>
      <c r="AM3" s="1">
        <v>2</v>
      </c>
      <c r="AN3" s="1">
        <v>0</v>
      </c>
      <c r="AO3" s="6">
        <f t="shared" ref="AO3:AO57" si="10">IFERROR(AM3/AN3,0)</f>
        <v>0</v>
      </c>
      <c r="AP3" s="2">
        <f t="shared" ref="AP3:AP57" si="11">IF(Z3&gt;=75%,(Y3-(75%*K3)),0)</f>
        <v>1002006</v>
      </c>
      <c r="AQ3" s="2">
        <f t="shared" si="7"/>
        <v>0</v>
      </c>
      <c r="AR3" s="2">
        <f t="shared" si="8"/>
        <v>0</v>
      </c>
      <c r="AS3" s="2">
        <f t="shared" ref="AS3:AS57" si="12">IF(AND(AO3&gt;=0.6, Z3&gt;=0.75, K3&gt;=4000000, K3&lt;=5000000), AP3*0.015, IF(AND(AO3&gt;=0.6, Z3&gt;=0.75, K3=3500000), AP3*0.01, IF(AND(AO3&gt;=0.6, Z3&gt;=0.75, K3&gt;=2000000, K3&lt;=2500000), AP3*0.01, 0)))</f>
        <v>0</v>
      </c>
      <c r="AT3" s="2">
        <f t="shared" ref="AT3:AT57" si="13">SUM(AQ3:AS3)</f>
        <v>0</v>
      </c>
      <c r="AU3" s="2"/>
      <c r="AV3" s="1">
        <v>1200000</v>
      </c>
      <c r="AW3" s="1">
        <v>0</v>
      </c>
      <c r="AX3" s="1">
        <v>8</v>
      </c>
      <c r="AY3" s="111">
        <v>5.0000000000000001E-3</v>
      </c>
      <c r="AZ3" s="112">
        <v>5000000</v>
      </c>
      <c r="BA3" s="107">
        <v>5.0000000000000001E-3</v>
      </c>
      <c r="BB3" s="107">
        <v>0</v>
      </c>
    </row>
    <row r="4" spans="1:55" x14ac:dyDescent="0.25">
      <c r="A4" s="1" t="s">
        <v>699</v>
      </c>
      <c r="B4" s="1" t="str">
        <f>_xlfn.XLOOKUP(A4,'[1]OGADAS TEAM '!$A:$A,'[1]OGADAS TEAM '!$B:$B,0)</f>
        <v>VOI</v>
      </c>
      <c r="C4" s="1" t="s">
        <v>195</v>
      </c>
      <c r="D4" s="1" t="s">
        <v>745</v>
      </c>
      <c r="E4" s="1" t="s">
        <v>627</v>
      </c>
      <c r="F4" s="81">
        <v>45503</v>
      </c>
      <c r="G4" s="1" t="str">
        <f t="shared" ca="1" si="0"/>
        <v>0 Years, 1 Months, 26 Days</v>
      </c>
      <c r="H4" s="1" t="s">
        <v>716</v>
      </c>
      <c r="I4" s="1" t="s">
        <v>733</v>
      </c>
      <c r="J4" s="1">
        <f t="shared" si="1"/>
        <v>57692.307692307695</v>
      </c>
      <c r="K4" s="2">
        <v>1500000</v>
      </c>
      <c r="L4" s="2">
        <f>IFERROR(J4*((NETWORKDAYS.INTL(SUMMARRY!$B$1,SUMMARRY!$B$2,11))),"")</f>
        <v>1500000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348200</v>
      </c>
      <c r="Z4" s="6">
        <f t="shared" si="2"/>
        <v>0.23213333333333333</v>
      </c>
      <c r="AA4" s="2" t="str">
        <f t="shared" si="3"/>
        <v>OTHERS</v>
      </c>
      <c r="AB4" s="2">
        <v>1317052</v>
      </c>
      <c r="AC4" s="2">
        <v>0</v>
      </c>
      <c r="AD4" s="6">
        <f t="shared" si="4"/>
        <v>0</v>
      </c>
      <c r="AE4" s="2">
        <v>348100</v>
      </c>
      <c r="AF4" s="2">
        <v>348200</v>
      </c>
      <c r="AG4" s="2">
        <v>0</v>
      </c>
      <c r="AH4" s="2">
        <f t="shared" si="5"/>
        <v>348200</v>
      </c>
      <c r="AI4" s="6">
        <f t="shared" si="6"/>
        <v>0.23213333333333333</v>
      </c>
      <c r="AJ4" s="1">
        <v>7</v>
      </c>
      <c r="AK4" s="1">
        <v>8</v>
      </c>
      <c r="AL4" s="6">
        <f t="shared" si="9"/>
        <v>0.875</v>
      </c>
      <c r="AM4" s="1">
        <v>3</v>
      </c>
      <c r="AN4" s="1">
        <v>0</v>
      </c>
      <c r="AO4" s="6">
        <f t="shared" si="10"/>
        <v>0</v>
      </c>
      <c r="AP4" s="2">
        <f t="shared" si="11"/>
        <v>0</v>
      </c>
      <c r="AQ4" s="2">
        <f t="shared" si="7"/>
        <v>0</v>
      </c>
      <c r="AR4" s="2">
        <f t="shared" si="8"/>
        <v>0</v>
      </c>
      <c r="AS4" s="2">
        <f t="shared" si="12"/>
        <v>0</v>
      </c>
      <c r="AT4" s="2">
        <f t="shared" si="13"/>
        <v>0</v>
      </c>
      <c r="AU4" s="2"/>
      <c r="AV4" s="1">
        <v>1500000</v>
      </c>
      <c r="AW4" s="1">
        <v>0</v>
      </c>
      <c r="AX4" s="1">
        <v>8</v>
      </c>
      <c r="AY4" s="111">
        <v>5.0000000000000001E-3</v>
      </c>
      <c r="AZ4" s="112">
        <v>5000000</v>
      </c>
      <c r="BA4" s="107">
        <v>5.0000000000000001E-3</v>
      </c>
      <c r="BB4" s="107">
        <v>0</v>
      </c>
    </row>
    <row r="5" spans="1:55" x14ac:dyDescent="0.25">
      <c r="A5" s="1" t="s">
        <v>700</v>
      </c>
      <c r="B5" s="1" t="str">
        <f>_xlfn.XLOOKUP(A5,'[1]OGADAS TEAM '!$A:$A,'[1]OGADAS TEAM '!$B:$B,0)</f>
        <v>MACHAKOS</v>
      </c>
      <c r="C5" s="1" t="s">
        <v>197</v>
      </c>
      <c r="D5" s="1" t="s">
        <v>745</v>
      </c>
      <c r="E5" s="1" t="s">
        <v>627</v>
      </c>
      <c r="F5" s="81">
        <v>45525</v>
      </c>
      <c r="G5" s="1" t="str">
        <f t="shared" ca="1" si="0"/>
        <v>0 Years, 1 Months, 4 Days</v>
      </c>
      <c r="H5" s="1" t="s">
        <v>722</v>
      </c>
      <c r="I5" s="1" t="s">
        <v>734</v>
      </c>
      <c r="J5" s="1">
        <f t="shared" si="1"/>
        <v>57692.307692307695</v>
      </c>
      <c r="K5" s="2">
        <v>1500000</v>
      </c>
      <c r="L5" s="2">
        <f>IFERROR(J5*((NETWORKDAYS.INTL(SUMMARRY!$B$1,SUMMARRY!$B$2,11))),"")</f>
        <v>1500000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324300</v>
      </c>
      <c r="Z5" s="6">
        <f t="shared" si="2"/>
        <v>0.2162</v>
      </c>
      <c r="AA5" s="2" t="str">
        <f t="shared" si="3"/>
        <v>OTHERS</v>
      </c>
      <c r="AB5" s="2">
        <v>1241908</v>
      </c>
      <c r="AC5" s="2">
        <v>0</v>
      </c>
      <c r="AD5" s="6">
        <f t="shared" si="4"/>
        <v>0</v>
      </c>
      <c r="AE5" s="2">
        <v>324300</v>
      </c>
      <c r="AF5" s="2">
        <v>324300</v>
      </c>
      <c r="AG5" s="2">
        <v>0</v>
      </c>
      <c r="AH5" s="2">
        <f t="shared" si="5"/>
        <v>324300</v>
      </c>
      <c r="AI5" s="6">
        <f t="shared" si="6"/>
        <v>0.2162</v>
      </c>
      <c r="AJ5" s="1">
        <v>5</v>
      </c>
      <c r="AK5" s="1">
        <v>8</v>
      </c>
      <c r="AL5" s="6">
        <f t="shared" si="9"/>
        <v>0.625</v>
      </c>
      <c r="AM5" s="1">
        <v>1</v>
      </c>
      <c r="AN5" s="1">
        <v>0</v>
      </c>
      <c r="AO5" s="6">
        <f t="shared" si="10"/>
        <v>0</v>
      </c>
      <c r="AP5" s="2">
        <f t="shared" si="11"/>
        <v>0</v>
      </c>
      <c r="AQ5" s="2">
        <f t="shared" si="7"/>
        <v>0</v>
      </c>
      <c r="AR5" s="2">
        <f t="shared" si="8"/>
        <v>0</v>
      </c>
      <c r="AS5" s="2">
        <f t="shared" si="12"/>
        <v>0</v>
      </c>
      <c r="AT5" s="2">
        <f t="shared" si="13"/>
        <v>0</v>
      </c>
      <c r="AU5" s="2"/>
      <c r="AV5" s="1">
        <v>5000000</v>
      </c>
      <c r="AW5" s="1">
        <v>12</v>
      </c>
      <c r="AX5" s="1">
        <v>30</v>
      </c>
      <c r="AY5" s="111">
        <v>0.01</v>
      </c>
      <c r="AZ5" s="112">
        <v>50000000</v>
      </c>
      <c r="BA5" s="107">
        <v>1E-3</v>
      </c>
      <c r="BB5" s="107" t="s">
        <v>757</v>
      </c>
      <c r="BC5" s="2">
        <v>10000</v>
      </c>
    </row>
    <row r="6" spans="1:55" x14ac:dyDescent="0.25">
      <c r="A6" s="1" t="s">
        <v>701</v>
      </c>
      <c r="B6" s="1" t="str">
        <f>_xlfn.XLOOKUP(A6,'[1]OGADAS TEAM '!$A:$A,'[1]OGADAS TEAM '!$B:$B,0)</f>
        <v>ELDORET</v>
      </c>
      <c r="C6" s="1" t="s">
        <v>193</v>
      </c>
      <c r="D6" s="1" t="s">
        <v>745</v>
      </c>
      <c r="E6" s="1" t="s">
        <v>627</v>
      </c>
      <c r="F6" s="81">
        <v>45534</v>
      </c>
      <c r="G6" s="1" t="str">
        <f t="shared" ca="1" si="0"/>
        <v>0 Years, 0 Months, 26 Days</v>
      </c>
      <c r="H6" s="1" t="s">
        <v>723</v>
      </c>
      <c r="I6" s="1" t="s">
        <v>735</v>
      </c>
      <c r="J6" s="1">
        <f t="shared" si="1"/>
        <v>57692.307692307695</v>
      </c>
      <c r="K6" s="2">
        <v>1500000</v>
      </c>
      <c r="L6" s="2">
        <f>IFERROR(J6*((NETWORKDAYS.INTL(SUMMARRY!$B$1,SUMMARRY!$B$2,11))),"")</f>
        <v>1500000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263700</v>
      </c>
      <c r="Z6" s="6">
        <f t="shared" si="2"/>
        <v>0.17580000000000001</v>
      </c>
      <c r="AA6" s="2" t="str">
        <f t="shared" si="3"/>
        <v>OTHERS</v>
      </c>
      <c r="AB6" s="2">
        <v>953208</v>
      </c>
      <c r="AC6" s="2">
        <v>0</v>
      </c>
      <c r="AD6" s="6">
        <f t="shared" si="4"/>
        <v>0</v>
      </c>
      <c r="AE6" s="2">
        <v>245700</v>
      </c>
      <c r="AF6" s="2">
        <v>263700</v>
      </c>
      <c r="AG6" s="2">
        <v>0</v>
      </c>
      <c r="AH6" s="2">
        <f t="shared" si="5"/>
        <v>263700</v>
      </c>
      <c r="AI6" s="6">
        <f t="shared" si="6"/>
        <v>0.17580000000000001</v>
      </c>
      <c r="AJ6" s="1">
        <v>6</v>
      </c>
      <c r="AK6" s="1">
        <v>8</v>
      </c>
      <c r="AL6" s="6">
        <f t="shared" si="9"/>
        <v>0.75</v>
      </c>
      <c r="AM6" s="1">
        <v>2</v>
      </c>
      <c r="AN6" s="1">
        <v>0</v>
      </c>
      <c r="AO6" s="6">
        <f t="shared" si="10"/>
        <v>0</v>
      </c>
      <c r="AP6" s="2">
        <f t="shared" si="11"/>
        <v>0</v>
      </c>
      <c r="AQ6" s="2">
        <f t="shared" si="7"/>
        <v>0</v>
      </c>
      <c r="AR6" s="2">
        <f t="shared" si="8"/>
        <v>0</v>
      </c>
      <c r="AS6" s="2">
        <f t="shared" si="12"/>
        <v>0</v>
      </c>
      <c r="AT6" s="2">
        <f t="shared" si="13"/>
        <v>0</v>
      </c>
      <c r="AU6" s="2"/>
      <c r="AV6" s="1">
        <v>4000000</v>
      </c>
      <c r="AW6" s="1">
        <v>12</v>
      </c>
      <c r="AX6" s="1">
        <v>30</v>
      </c>
      <c r="AY6" s="111">
        <v>0.01</v>
      </c>
      <c r="AZ6" s="112">
        <v>40000000</v>
      </c>
      <c r="BA6" s="107">
        <v>1E-3</v>
      </c>
      <c r="BB6" s="107" t="s">
        <v>757</v>
      </c>
      <c r="BC6" s="2">
        <v>10000</v>
      </c>
    </row>
    <row r="7" spans="1:55" x14ac:dyDescent="0.25">
      <c r="A7" s="1" t="s">
        <v>702</v>
      </c>
      <c r="B7" s="1" t="str">
        <f>_xlfn.XLOOKUP(A7,'[1]OGADAS TEAM '!$A:$A,'[1]OGADAS TEAM '!$B:$B,0)</f>
        <v>ECOBANK</v>
      </c>
      <c r="C7" s="1" t="s">
        <v>192</v>
      </c>
      <c r="D7" s="1" t="s">
        <v>745</v>
      </c>
      <c r="E7" s="1" t="s">
        <v>627</v>
      </c>
      <c r="F7" s="81">
        <v>45534</v>
      </c>
      <c r="G7" s="1" t="str">
        <f t="shared" ca="1" si="0"/>
        <v>0 Years, 0 Months, 26 Days</v>
      </c>
      <c r="H7" s="1" t="s">
        <v>724</v>
      </c>
      <c r="I7" s="1" t="s">
        <v>736</v>
      </c>
      <c r="J7" s="1">
        <f t="shared" si="1"/>
        <v>57692.307692307695</v>
      </c>
      <c r="K7" s="2">
        <v>1500000</v>
      </c>
      <c r="L7" s="2">
        <f>IFERROR(J7*((NETWORKDAYS.INTL(SUMMARRY!$B$1,SUMMARRY!$B$2,11))),"")</f>
        <v>1500000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198000</v>
      </c>
      <c r="Z7" s="6">
        <f t="shared" si="2"/>
        <v>0.13200000000000001</v>
      </c>
      <c r="AA7" s="2" t="str">
        <f t="shared" si="3"/>
        <v>OTHERS</v>
      </c>
      <c r="AB7" s="2">
        <v>764620.80000000005</v>
      </c>
      <c r="AC7" s="2">
        <v>0</v>
      </c>
      <c r="AD7" s="6">
        <f t="shared" si="4"/>
        <v>0</v>
      </c>
      <c r="AE7" s="2">
        <v>198000</v>
      </c>
      <c r="AF7" s="2">
        <v>198000</v>
      </c>
      <c r="AG7" s="2">
        <v>0</v>
      </c>
      <c r="AH7" s="2">
        <f t="shared" si="5"/>
        <v>198000</v>
      </c>
      <c r="AI7" s="6">
        <f t="shared" si="6"/>
        <v>0.13200000000000001</v>
      </c>
      <c r="AJ7" s="1">
        <v>2</v>
      </c>
      <c r="AK7" s="1">
        <v>8</v>
      </c>
      <c r="AL7" s="6">
        <f t="shared" si="9"/>
        <v>0.25</v>
      </c>
      <c r="AM7" s="1">
        <v>1</v>
      </c>
      <c r="AN7" s="1">
        <v>0</v>
      </c>
      <c r="AO7" s="6">
        <f t="shared" si="10"/>
        <v>0</v>
      </c>
      <c r="AP7" s="2">
        <f t="shared" si="11"/>
        <v>0</v>
      </c>
      <c r="AQ7" s="2">
        <f t="shared" si="7"/>
        <v>0</v>
      </c>
      <c r="AR7" s="2">
        <f t="shared" si="8"/>
        <v>0</v>
      </c>
      <c r="AS7" s="2">
        <f t="shared" si="12"/>
        <v>0</v>
      </c>
      <c r="AT7" s="2">
        <f t="shared" si="13"/>
        <v>0</v>
      </c>
      <c r="AU7" s="2"/>
      <c r="AV7" s="1">
        <v>3500000</v>
      </c>
      <c r="AW7" s="1">
        <v>8</v>
      </c>
      <c r="AX7" s="1">
        <v>20</v>
      </c>
      <c r="AY7" s="111">
        <v>0.01</v>
      </c>
      <c r="AZ7" s="112">
        <v>20000000</v>
      </c>
      <c r="BA7" s="107">
        <v>1E-3</v>
      </c>
      <c r="BB7" s="107" t="s">
        <v>759</v>
      </c>
      <c r="BC7" s="2">
        <v>7500</v>
      </c>
    </row>
    <row r="8" spans="1:55" x14ac:dyDescent="0.25">
      <c r="A8" s="1" t="s">
        <v>708</v>
      </c>
      <c r="B8" s="1" t="str">
        <f>_xlfn.XLOOKUP(A8,'[1]OGADAS TEAM '!$A:$A,'[1]OGADAS TEAM '!$B:$B,0)</f>
        <v>KITUI</v>
      </c>
      <c r="C8" s="1" t="s">
        <v>197</v>
      </c>
      <c r="D8" s="1" t="s">
        <v>745</v>
      </c>
      <c r="E8" s="1" t="s">
        <v>627</v>
      </c>
      <c r="F8" s="81">
        <v>45525</v>
      </c>
      <c r="G8" s="1" t="str">
        <f t="shared" ca="1" si="0"/>
        <v>0 Years, 1 Months, 4 Days</v>
      </c>
      <c r="H8" s="1" t="s">
        <v>720</v>
      </c>
      <c r="J8" s="1">
        <f t="shared" si="1"/>
        <v>38461.538461538461</v>
      </c>
      <c r="K8" s="2">
        <v>1000000</v>
      </c>
      <c r="L8" s="2">
        <f>IFERROR(J8*((NETWORKDAYS.INTL(SUMMARRY!$B$1,SUMMARRY!$B$2,11))),"")</f>
        <v>1000000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6">
        <f t="shared" si="2"/>
        <v>0</v>
      </c>
      <c r="AA8" s="2" t="str">
        <f t="shared" si="3"/>
        <v>OTHERS</v>
      </c>
      <c r="AB8" s="2">
        <v>0</v>
      </c>
      <c r="AC8" s="2">
        <v>0</v>
      </c>
      <c r="AD8" s="6">
        <f t="shared" si="4"/>
        <v>0</v>
      </c>
      <c r="AE8" s="2">
        <v>0</v>
      </c>
      <c r="AF8" s="2">
        <v>0</v>
      </c>
      <c r="AG8" s="2">
        <v>0</v>
      </c>
      <c r="AH8" s="2">
        <f t="shared" si="5"/>
        <v>0</v>
      </c>
      <c r="AI8" s="6">
        <f t="shared" si="6"/>
        <v>0</v>
      </c>
      <c r="AJ8" s="1">
        <v>0</v>
      </c>
      <c r="AK8" s="1">
        <v>6</v>
      </c>
      <c r="AL8" s="6">
        <f t="shared" si="9"/>
        <v>0</v>
      </c>
      <c r="AM8" s="1">
        <v>0</v>
      </c>
      <c r="AN8" s="1">
        <v>0</v>
      </c>
      <c r="AO8" s="6">
        <f t="shared" si="10"/>
        <v>0</v>
      </c>
      <c r="AP8" s="2">
        <f t="shared" si="11"/>
        <v>0</v>
      </c>
      <c r="AQ8" s="2">
        <f t="shared" si="7"/>
        <v>0</v>
      </c>
      <c r="AR8" s="2">
        <f t="shared" si="8"/>
        <v>0</v>
      </c>
      <c r="AS8" s="2">
        <f t="shared" si="12"/>
        <v>0</v>
      </c>
      <c r="AT8" s="2">
        <f t="shared" si="13"/>
        <v>0</v>
      </c>
      <c r="AU8" s="2"/>
      <c r="AV8" s="1">
        <v>2500000</v>
      </c>
      <c r="AW8" s="1">
        <v>5</v>
      </c>
      <c r="AX8" s="1">
        <v>12</v>
      </c>
      <c r="AY8" s="111">
        <v>0.01</v>
      </c>
      <c r="AZ8" s="112">
        <v>15000000</v>
      </c>
      <c r="BA8" s="107">
        <v>2E-3</v>
      </c>
      <c r="BB8" s="107" t="s">
        <v>759</v>
      </c>
      <c r="BC8" s="1">
        <v>50000</v>
      </c>
    </row>
    <row r="9" spans="1:55" x14ac:dyDescent="0.25">
      <c r="A9" s="1" t="s">
        <v>711</v>
      </c>
      <c r="B9" s="1" t="str">
        <f>_xlfn.XLOOKUP(A9,'[1]OGADAS TEAM '!$A:$A,'[1]OGADAS TEAM '!$B:$B,0)</f>
        <v>VOI</v>
      </c>
      <c r="C9" s="1" t="s">
        <v>195</v>
      </c>
      <c r="D9" s="1" t="s">
        <v>745</v>
      </c>
      <c r="E9" s="1" t="s">
        <v>627</v>
      </c>
      <c r="F9" s="80">
        <v>44407</v>
      </c>
      <c r="G9" s="1" t="str">
        <f t="shared" ca="1" si="0"/>
        <v>3 Years, 1 Months, 26 Days</v>
      </c>
      <c r="H9" s="1" t="s">
        <v>717</v>
      </c>
      <c r="J9" s="1">
        <f t="shared" si="1"/>
        <v>57692.307692307695</v>
      </c>
      <c r="K9" s="2">
        <v>1500000</v>
      </c>
      <c r="L9" s="2">
        <f>IFERROR(J9*((NETWORKDAYS.INTL(SUMMARRY!$B$1,SUMMARRY!$B$2,11))),"")</f>
        <v>1500000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6">
        <f t="shared" si="2"/>
        <v>0</v>
      </c>
      <c r="AA9" s="2" t="str">
        <f t="shared" si="3"/>
        <v>OTHERS</v>
      </c>
      <c r="AB9" s="2">
        <v>0</v>
      </c>
      <c r="AC9" s="2">
        <v>0</v>
      </c>
      <c r="AD9" s="6">
        <f t="shared" si="4"/>
        <v>0</v>
      </c>
      <c r="AE9" s="2">
        <v>0</v>
      </c>
      <c r="AF9" s="2">
        <v>0</v>
      </c>
      <c r="AG9" s="2">
        <v>0</v>
      </c>
      <c r="AH9" s="2">
        <f t="shared" si="5"/>
        <v>0</v>
      </c>
      <c r="AI9" s="6">
        <f t="shared" si="6"/>
        <v>0</v>
      </c>
      <c r="AJ9" s="1">
        <v>0</v>
      </c>
      <c r="AK9" s="1">
        <v>8</v>
      </c>
      <c r="AL9" s="6">
        <f t="shared" si="9"/>
        <v>0</v>
      </c>
      <c r="AM9" s="1">
        <v>0</v>
      </c>
      <c r="AN9" s="1">
        <v>0</v>
      </c>
      <c r="AO9" s="6">
        <f t="shared" si="10"/>
        <v>0</v>
      </c>
      <c r="AP9" s="2">
        <f t="shared" si="11"/>
        <v>0</v>
      </c>
      <c r="AQ9" s="2">
        <f t="shared" si="7"/>
        <v>0</v>
      </c>
      <c r="AR9" s="2">
        <f t="shared" si="8"/>
        <v>0</v>
      </c>
      <c r="AS9" s="2">
        <f t="shared" si="12"/>
        <v>0</v>
      </c>
      <c r="AT9" s="2">
        <f t="shared" si="13"/>
        <v>0</v>
      </c>
      <c r="AU9" s="2"/>
      <c r="AV9" s="1">
        <v>2000000</v>
      </c>
      <c r="AW9" s="1">
        <v>5</v>
      </c>
      <c r="AX9" s="1">
        <v>12</v>
      </c>
      <c r="AY9" s="111">
        <v>0.01</v>
      </c>
      <c r="AZ9" s="112">
        <v>15000000</v>
      </c>
      <c r="BA9" s="107">
        <v>2E-3</v>
      </c>
      <c r="BB9" s="107" t="s">
        <v>759</v>
      </c>
      <c r="BC9" s="1">
        <v>50000</v>
      </c>
    </row>
    <row r="10" spans="1:55" x14ac:dyDescent="0.25">
      <c r="A10" s="1" t="s">
        <v>45</v>
      </c>
      <c r="B10" s="1" t="s">
        <v>4</v>
      </c>
      <c r="C10" s="1" t="s">
        <v>192</v>
      </c>
      <c r="D10" s="1" t="s">
        <v>744</v>
      </c>
      <c r="E10" s="1" t="s">
        <v>627</v>
      </c>
      <c r="F10" s="80">
        <v>44230</v>
      </c>
      <c r="G10" s="1" t="str">
        <f t="shared" ca="1" si="0"/>
        <v>3 Years, 7 Months, 22 Days</v>
      </c>
      <c r="H10" s="1" t="s">
        <v>82</v>
      </c>
      <c r="I10" s="1" t="s">
        <v>121</v>
      </c>
      <c r="J10" s="5">
        <f t="shared" si="1"/>
        <v>192307.69230769231</v>
      </c>
      <c r="K10" s="2">
        <v>5000000</v>
      </c>
      <c r="L10" s="2">
        <f>IFERROR(J10*((NETWORKDAYS.INTL(SUMMARRY!$B$1,SUMMARRY!$B$2,11))),"")</f>
        <v>5000000</v>
      </c>
      <c r="M10" s="2">
        <v>5000000</v>
      </c>
      <c r="N10" s="2">
        <v>5503205</v>
      </c>
      <c r="O10" s="2">
        <v>2506151</v>
      </c>
      <c r="P10" s="2">
        <v>3635910.11</v>
      </c>
      <c r="Q10" s="2">
        <v>7801188</v>
      </c>
      <c r="R10" s="2">
        <v>5688981</v>
      </c>
      <c r="S10" s="2">
        <v>7401400</v>
      </c>
      <c r="T10" s="2">
        <v>4124265</v>
      </c>
      <c r="U10" s="2">
        <v>3327295</v>
      </c>
      <c r="V10" s="2">
        <v>6503060</v>
      </c>
      <c r="W10" s="2">
        <v>6095910</v>
      </c>
      <c r="X10" s="2">
        <v>4965750</v>
      </c>
      <c r="Y10" s="2">
        <v>9671970</v>
      </c>
      <c r="Z10" s="6">
        <f t="shared" si="2"/>
        <v>1.9343939999999999</v>
      </c>
      <c r="AA10" s="6" t="str">
        <f t="shared" si="3"/>
        <v>TEAM A</v>
      </c>
      <c r="AB10" s="2">
        <v>293463784.23999995</v>
      </c>
      <c r="AC10" s="2">
        <v>594328.60999999987</v>
      </c>
      <c r="AD10" s="6">
        <f t="shared" si="4"/>
        <v>2.0252196077249086E-3</v>
      </c>
      <c r="AE10" s="2">
        <v>78407409.75</v>
      </c>
      <c r="AF10" s="2">
        <v>9671970</v>
      </c>
      <c r="AG10" s="2">
        <v>2538140</v>
      </c>
      <c r="AH10" s="2">
        <f t="shared" si="5"/>
        <v>12210110</v>
      </c>
      <c r="AI10" s="6">
        <f t="shared" si="6"/>
        <v>2.4420220000000001</v>
      </c>
      <c r="AJ10" s="1">
        <v>32</v>
      </c>
      <c r="AK10" s="1">
        <v>30</v>
      </c>
      <c r="AL10" s="6">
        <f t="shared" si="9"/>
        <v>1.0666666666666667</v>
      </c>
      <c r="AM10" s="1">
        <v>12</v>
      </c>
      <c r="AN10" s="1">
        <v>12</v>
      </c>
      <c r="AO10" s="6">
        <f t="shared" si="10"/>
        <v>1</v>
      </c>
      <c r="AP10" s="2">
        <f t="shared" si="11"/>
        <v>5921970</v>
      </c>
      <c r="AQ10" s="2">
        <f t="shared" si="7"/>
        <v>28407.409749999999</v>
      </c>
      <c r="AR10" s="2">
        <f t="shared" si="8"/>
        <v>10000</v>
      </c>
      <c r="AS10" s="2">
        <f t="shared" si="12"/>
        <v>88829.55</v>
      </c>
      <c r="AT10" s="2">
        <f t="shared" si="13"/>
        <v>127236.95975000001</v>
      </c>
      <c r="AU10" s="2"/>
      <c r="AV10" s="1">
        <v>0</v>
      </c>
    </row>
    <row r="11" spans="1:55" x14ac:dyDescent="0.25">
      <c r="A11" s="1" t="s">
        <v>49</v>
      </c>
      <c r="B11" s="1" t="s">
        <v>12</v>
      </c>
      <c r="C11" s="1" t="s">
        <v>191</v>
      </c>
      <c r="D11" s="1" t="s">
        <v>744</v>
      </c>
      <c r="E11" s="1" t="s">
        <v>627</v>
      </c>
      <c r="F11" s="80">
        <v>45299</v>
      </c>
      <c r="G11" s="1" t="str">
        <f t="shared" ca="1" si="0"/>
        <v>0 Years, 8 Months, 17 Days</v>
      </c>
      <c r="H11" s="1" t="s">
        <v>96</v>
      </c>
      <c r="I11" s="1" t="s">
        <v>124</v>
      </c>
      <c r="J11" s="5">
        <f t="shared" si="1"/>
        <v>153846.15384615384</v>
      </c>
      <c r="K11" s="2">
        <v>4000000</v>
      </c>
      <c r="L11" s="2">
        <f>IFERROR(J11*((NETWORKDAYS.INTL(SUMMARRY!$B$1,SUMMARRY!$B$2,11))),"")</f>
        <v>4000000</v>
      </c>
      <c r="M11" s="2">
        <v>3500000</v>
      </c>
      <c r="N11" s="2">
        <v>1456133.67</v>
      </c>
      <c r="O11" s="2">
        <v>2376268</v>
      </c>
      <c r="P11" s="2">
        <v>2703070.81</v>
      </c>
      <c r="Q11" s="2">
        <v>2680525</v>
      </c>
      <c r="R11" s="2">
        <v>2406643</v>
      </c>
      <c r="S11" s="2">
        <v>2307995</v>
      </c>
      <c r="T11" s="2">
        <v>2281198</v>
      </c>
      <c r="U11" s="2">
        <v>2734324</v>
      </c>
      <c r="V11" s="2">
        <v>3970540</v>
      </c>
      <c r="W11" s="2">
        <v>4832400</v>
      </c>
      <c r="X11" s="2">
        <v>5142200</v>
      </c>
      <c r="Y11" s="2">
        <v>5279400</v>
      </c>
      <c r="Z11" s="6">
        <f t="shared" si="2"/>
        <v>1.31985</v>
      </c>
      <c r="AA11" s="6" t="str">
        <f t="shared" si="3"/>
        <v>TEAM A</v>
      </c>
      <c r="AB11" s="2">
        <v>152919998.91</v>
      </c>
      <c r="AC11" s="2">
        <v>205672.24</v>
      </c>
      <c r="AD11" s="6">
        <f t="shared" si="4"/>
        <v>1.3449662664531338E-3</v>
      </c>
      <c r="AE11" s="2">
        <v>40060542.539999999</v>
      </c>
      <c r="AF11" s="2">
        <v>5279400</v>
      </c>
      <c r="AG11" s="2">
        <v>902300</v>
      </c>
      <c r="AH11" s="2">
        <f t="shared" si="5"/>
        <v>6181700</v>
      </c>
      <c r="AI11" s="6">
        <f t="shared" si="6"/>
        <v>1.545425</v>
      </c>
      <c r="AJ11" s="1">
        <v>29</v>
      </c>
      <c r="AK11" s="1">
        <v>30</v>
      </c>
      <c r="AL11" s="6">
        <f t="shared" si="9"/>
        <v>0.96666666666666667</v>
      </c>
      <c r="AM11" s="1">
        <v>15</v>
      </c>
      <c r="AN11" s="1">
        <v>12</v>
      </c>
      <c r="AO11" s="6">
        <f t="shared" si="10"/>
        <v>1.25</v>
      </c>
      <c r="AP11" s="2">
        <f t="shared" si="11"/>
        <v>2279400</v>
      </c>
      <c r="AQ11" s="2">
        <f t="shared" si="7"/>
        <v>10060.542539999999</v>
      </c>
      <c r="AR11" s="2">
        <f t="shared" si="8"/>
        <v>0</v>
      </c>
      <c r="AS11" s="2">
        <f t="shared" si="12"/>
        <v>34191</v>
      </c>
      <c r="AT11" s="2">
        <f t="shared" si="13"/>
        <v>44251.542539999995</v>
      </c>
      <c r="AU11" s="2"/>
    </row>
    <row r="12" spans="1:55" x14ac:dyDescent="0.25">
      <c r="A12" s="1" t="s">
        <v>56</v>
      </c>
      <c r="B12" s="1" t="s">
        <v>20</v>
      </c>
      <c r="C12" s="1" t="s">
        <v>195</v>
      </c>
      <c r="D12" s="1" t="s">
        <v>744</v>
      </c>
      <c r="E12" s="1" t="s">
        <v>627</v>
      </c>
      <c r="F12" s="80">
        <v>44613</v>
      </c>
      <c r="G12" s="1" t="str">
        <f t="shared" ca="1" si="0"/>
        <v>2 Years, 7 Months, 4 Days</v>
      </c>
      <c r="H12" s="1" t="s">
        <v>88</v>
      </c>
      <c r="I12" s="1" t="s">
        <v>129</v>
      </c>
      <c r="J12" s="5">
        <f t="shared" si="1"/>
        <v>192307.69230769231</v>
      </c>
      <c r="K12" s="2">
        <v>5000000</v>
      </c>
      <c r="L12" s="2">
        <f>IFERROR(J12*((NETWORKDAYS.INTL(SUMMARRY!$B$1,SUMMARRY!$B$2,11))),"")</f>
        <v>5000000</v>
      </c>
      <c r="M12" s="2">
        <v>5000000</v>
      </c>
      <c r="N12" s="2">
        <v>644020</v>
      </c>
      <c r="O12" s="2">
        <v>3808414.0300000003</v>
      </c>
      <c r="P12" s="2">
        <v>3073989</v>
      </c>
      <c r="Q12" s="2">
        <v>1651391</v>
      </c>
      <c r="R12" s="2">
        <v>4428917.9000000004</v>
      </c>
      <c r="S12" s="2">
        <v>1958181</v>
      </c>
      <c r="T12" s="2">
        <v>1309676</v>
      </c>
      <c r="U12" s="2">
        <v>2610068</v>
      </c>
      <c r="V12" s="2">
        <v>2837500</v>
      </c>
      <c r="W12" s="2">
        <v>2864700</v>
      </c>
      <c r="X12" s="2">
        <v>4748500</v>
      </c>
      <c r="Y12" s="2">
        <v>6184065</v>
      </c>
      <c r="Z12" s="6">
        <f t="shared" si="2"/>
        <v>1.2368129999999999</v>
      </c>
      <c r="AA12" s="6" t="str">
        <f t="shared" si="3"/>
        <v>TEAM A</v>
      </c>
      <c r="AB12" s="2">
        <v>145681118.83999997</v>
      </c>
      <c r="AC12" s="2">
        <v>345369.66</v>
      </c>
      <c r="AD12" s="6">
        <f t="shared" si="4"/>
        <v>2.3707235553243919E-3</v>
      </c>
      <c r="AE12" s="2">
        <v>38796349.130000003</v>
      </c>
      <c r="AF12" s="2">
        <v>6184065</v>
      </c>
      <c r="AG12" s="2">
        <v>1645865</v>
      </c>
      <c r="AH12" s="2">
        <f t="shared" si="5"/>
        <v>7829930</v>
      </c>
      <c r="AI12" s="6">
        <f t="shared" si="6"/>
        <v>1.5659860000000001</v>
      </c>
      <c r="AJ12" s="1">
        <v>30</v>
      </c>
      <c r="AK12" s="1">
        <v>30</v>
      </c>
      <c r="AL12" s="6">
        <f t="shared" si="9"/>
        <v>1</v>
      </c>
      <c r="AM12" s="1">
        <v>15</v>
      </c>
      <c r="AN12" s="1">
        <v>12</v>
      </c>
      <c r="AO12" s="6">
        <f t="shared" si="10"/>
        <v>1.25</v>
      </c>
      <c r="AP12" s="2">
        <f t="shared" si="11"/>
        <v>2434065</v>
      </c>
      <c r="AQ12" s="2">
        <f t="shared" si="7"/>
        <v>0</v>
      </c>
      <c r="AR12" s="2">
        <f t="shared" si="8"/>
        <v>10000</v>
      </c>
      <c r="AS12" s="2">
        <f t="shared" si="12"/>
        <v>36510.974999999999</v>
      </c>
      <c r="AT12" s="2">
        <f t="shared" si="13"/>
        <v>46510.974999999999</v>
      </c>
      <c r="AU12" s="2"/>
    </row>
    <row r="13" spans="1:55" x14ac:dyDescent="0.25">
      <c r="A13" s="1" t="s">
        <v>46</v>
      </c>
      <c r="B13" s="1" t="s">
        <v>9</v>
      </c>
      <c r="C13" s="1" t="s">
        <v>193</v>
      </c>
      <c r="D13" s="1" t="s">
        <v>744</v>
      </c>
      <c r="E13" s="1" t="s">
        <v>627</v>
      </c>
      <c r="F13" s="80">
        <v>43898</v>
      </c>
      <c r="G13" s="1" t="str">
        <f t="shared" ca="1" si="0"/>
        <v>4 Years, 6 Months, 17 Days</v>
      </c>
      <c r="H13" s="1" t="s">
        <v>85</v>
      </c>
      <c r="I13" s="1" t="s">
        <v>122</v>
      </c>
      <c r="J13" s="5">
        <f t="shared" si="1"/>
        <v>134615.38461538462</v>
      </c>
      <c r="K13" s="2">
        <v>3500000</v>
      </c>
      <c r="L13" s="2">
        <v>4000000</v>
      </c>
      <c r="M13" s="2">
        <v>3500000</v>
      </c>
      <c r="N13" s="2">
        <v>374262.85</v>
      </c>
      <c r="O13" s="2">
        <v>1713436</v>
      </c>
      <c r="P13" s="2">
        <v>607509.94999999995</v>
      </c>
      <c r="Q13" s="2">
        <v>2136469</v>
      </c>
      <c r="R13" s="2">
        <v>2582209</v>
      </c>
      <c r="S13" s="2">
        <v>379270</v>
      </c>
      <c r="T13" s="2">
        <v>1736497</v>
      </c>
      <c r="U13" s="2">
        <v>694318</v>
      </c>
      <c r="V13" s="2">
        <v>2577000</v>
      </c>
      <c r="W13" s="2">
        <v>456400</v>
      </c>
      <c r="X13" s="2">
        <v>3877100</v>
      </c>
      <c r="Y13" s="2">
        <v>3941500</v>
      </c>
      <c r="Z13" s="6">
        <f t="shared" si="2"/>
        <v>0.985375</v>
      </c>
      <c r="AA13" s="6" t="str">
        <f t="shared" si="3"/>
        <v>TEAM A</v>
      </c>
      <c r="AB13" s="2">
        <v>93577968.690000013</v>
      </c>
      <c r="AC13" s="2">
        <v>77498.97</v>
      </c>
      <c r="AD13" s="6">
        <f t="shared" si="4"/>
        <v>8.2817538235665665E-4</v>
      </c>
      <c r="AE13" s="2">
        <v>24810038.579999998</v>
      </c>
      <c r="AF13" s="2">
        <v>3941500</v>
      </c>
      <c r="AG13" s="2">
        <v>0</v>
      </c>
      <c r="AH13" s="2">
        <f t="shared" si="5"/>
        <v>3941500</v>
      </c>
      <c r="AI13" s="6">
        <f t="shared" si="6"/>
        <v>0.985375</v>
      </c>
      <c r="AJ13" s="1">
        <v>14</v>
      </c>
      <c r="AK13" s="1">
        <v>20</v>
      </c>
      <c r="AL13" s="6">
        <f t="shared" si="9"/>
        <v>0.7</v>
      </c>
      <c r="AM13" s="1">
        <v>5</v>
      </c>
      <c r="AN13" s="1">
        <v>8</v>
      </c>
      <c r="AO13" s="6">
        <f t="shared" si="10"/>
        <v>0.625</v>
      </c>
      <c r="AP13" s="2">
        <f t="shared" si="11"/>
        <v>1316500</v>
      </c>
      <c r="AQ13" s="2">
        <f t="shared" si="7"/>
        <v>22810.03858</v>
      </c>
      <c r="AR13" s="2">
        <f t="shared" si="8"/>
        <v>0</v>
      </c>
      <c r="AS13" s="2">
        <f t="shared" si="12"/>
        <v>13165</v>
      </c>
      <c r="AT13" s="2">
        <f t="shared" si="13"/>
        <v>35975.03858</v>
      </c>
      <c r="AU13" s="2"/>
    </row>
    <row r="14" spans="1:55" x14ac:dyDescent="0.25">
      <c r="A14" s="1" t="s">
        <v>54</v>
      </c>
      <c r="B14" s="1" t="s">
        <v>17</v>
      </c>
      <c r="C14" s="1" t="s">
        <v>197</v>
      </c>
      <c r="D14" s="1" t="s">
        <v>744</v>
      </c>
      <c r="E14" s="1" t="s">
        <v>627</v>
      </c>
      <c r="F14" s="80">
        <v>44963</v>
      </c>
      <c r="G14" s="1" t="str">
        <f t="shared" ca="1" si="0"/>
        <v>1 Years, 7 Months, 19 Days</v>
      </c>
      <c r="H14" s="1" t="s">
        <v>102</v>
      </c>
      <c r="I14" s="1" t="s">
        <v>128</v>
      </c>
      <c r="J14" s="5">
        <f t="shared" si="1"/>
        <v>192307.69230769231</v>
      </c>
      <c r="K14" s="2">
        <v>5000000</v>
      </c>
      <c r="L14" s="2">
        <f>IFERROR(J14*((NETWORKDAYS.INTL(SUMMARRY!$B$1,SUMMARRY!$B$2,11))),"")</f>
        <v>5000000</v>
      </c>
      <c r="M14" s="2">
        <v>3500000</v>
      </c>
      <c r="N14" s="2">
        <v>1274193.28</v>
      </c>
      <c r="O14" s="2">
        <v>1130009</v>
      </c>
      <c r="P14" s="2">
        <v>1000174</v>
      </c>
      <c r="Q14" s="2">
        <v>3939393</v>
      </c>
      <c r="R14" s="2">
        <v>1130752</v>
      </c>
      <c r="S14" s="2">
        <v>1009346</v>
      </c>
      <c r="T14" s="2">
        <v>3414080</v>
      </c>
      <c r="U14" s="2">
        <v>1839130</v>
      </c>
      <c r="V14" s="2">
        <v>5662300</v>
      </c>
      <c r="W14" s="2">
        <v>4445200</v>
      </c>
      <c r="X14" s="2">
        <v>4964400</v>
      </c>
      <c r="Y14" s="2">
        <v>2573600</v>
      </c>
      <c r="Z14" s="6">
        <f t="shared" si="2"/>
        <v>0.51471999999999996</v>
      </c>
      <c r="AA14" s="6" t="str">
        <f t="shared" si="3"/>
        <v>OTHERS</v>
      </c>
      <c r="AB14" s="2">
        <v>134196732.34999999</v>
      </c>
      <c r="AC14" s="2">
        <v>312227.64999999997</v>
      </c>
      <c r="AD14" s="6">
        <f t="shared" si="4"/>
        <v>2.3266412268942251E-3</v>
      </c>
      <c r="AE14" s="2">
        <v>34570879</v>
      </c>
      <c r="AF14" s="2">
        <v>2573600</v>
      </c>
      <c r="AG14" s="2">
        <v>992000</v>
      </c>
      <c r="AH14" s="2">
        <f t="shared" si="5"/>
        <v>3565600</v>
      </c>
      <c r="AI14" s="6">
        <f t="shared" si="6"/>
        <v>0.71311999999999998</v>
      </c>
      <c r="AJ14" s="1">
        <v>9</v>
      </c>
      <c r="AK14" s="1">
        <v>30</v>
      </c>
      <c r="AL14" s="6">
        <f t="shared" si="9"/>
        <v>0.3</v>
      </c>
      <c r="AM14" s="1">
        <v>4</v>
      </c>
      <c r="AN14" s="1">
        <v>12</v>
      </c>
      <c r="AO14" s="6">
        <f t="shared" si="10"/>
        <v>0.33333333333333331</v>
      </c>
      <c r="AP14" s="2">
        <f t="shared" si="11"/>
        <v>0</v>
      </c>
      <c r="AQ14" s="2">
        <f t="shared" si="7"/>
        <v>0</v>
      </c>
      <c r="AR14" s="2">
        <f t="shared" si="8"/>
        <v>0</v>
      </c>
      <c r="AS14" s="2">
        <f t="shared" si="12"/>
        <v>0</v>
      </c>
      <c r="AT14" s="2">
        <f t="shared" si="13"/>
        <v>0</v>
      </c>
      <c r="AU14" s="2"/>
    </row>
    <row r="15" spans="1:55" x14ac:dyDescent="0.25">
      <c r="A15" s="1" t="s">
        <v>61</v>
      </c>
      <c r="B15" s="1" t="s">
        <v>30</v>
      </c>
      <c r="C15" s="1" t="s">
        <v>196</v>
      </c>
      <c r="D15" s="1" t="s">
        <v>744</v>
      </c>
      <c r="E15" s="1" t="s">
        <v>627</v>
      </c>
      <c r="F15" s="80">
        <v>44934</v>
      </c>
      <c r="G15" s="1" t="str">
        <f t="shared" ca="1" si="0"/>
        <v>1 Years, 8 Months, 17 Days</v>
      </c>
      <c r="H15" s="1" t="s">
        <v>103</v>
      </c>
      <c r="I15" s="1" t="s">
        <v>132</v>
      </c>
      <c r="J15" s="5">
        <f t="shared" si="1"/>
        <v>192307.69230769231</v>
      </c>
      <c r="K15" s="2">
        <v>5000000</v>
      </c>
      <c r="L15" s="2">
        <f>IFERROR(J15*((NETWORKDAYS.INTL(SUMMARRY!$B$1,SUMMARRY!$B$2,11))),"")</f>
        <v>5000000</v>
      </c>
      <c r="M15" s="2">
        <v>3500000</v>
      </c>
      <c r="N15" s="2">
        <v>2600666.1</v>
      </c>
      <c r="O15" s="2">
        <v>411047</v>
      </c>
      <c r="P15" s="2">
        <v>797412</v>
      </c>
      <c r="Q15" s="2">
        <v>1582700</v>
      </c>
      <c r="R15" s="2">
        <v>2163579</v>
      </c>
      <c r="S15" s="2">
        <v>3748429</v>
      </c>
      <c r="T15" s="2">
        <v>3044360</v>
      </c>
      <c r="U15" s="2">
        <v>1915350</v>
      </c>
      <c r="V15" s="2">
        <v>1513200</v>
      </c>
      <c r="W15" s="2">
        <v>3004900</v>
      </c>
      <c r="X15" s="2">
        <v>4538495</v>
      </c>
      <c r="Y15" s="2">
        <v>2425300</v>
      </c>
      <c r="Z15" s="6">
        <f t="shared" si="2"/>
        <v>0.48505999999999999</v>
      </c>
      <c r="AA15" s="6" t="str">
        <f t="shared" si="3"/>
        <v>OTHERS</v>
      </c>
      <c r="AB15" s="2">
        <v>113602646.78999999</v>
      </c>
      <c r="AC15" s="2">
        <v>377682.65714285715</v>
      </c>
      <c r="AD15" s="6">
        <f t="shared" si="4"/>
        <v>3.3245938172639751E-3</v>
      </c>
      <c r="AE15" s="2">
        <v>30346109.670000002</v>
      </c>
      <c r="AF15" s="2">
        <v>2425300</v>
      </c>
      <c r="AG15" s="2">
        <v>0</v>
      </c>
      <c r="AH15" s="2">
        <f t="shared" si="5"/>
        <v>2425300</v>
      </c>
      <c r="AI15" s="6">
        <f t="shared" si="6"/>
        <v>0.48505999999999999</v>
      </c>
      <c r="AJ15" s="1">
        <v>11</v>
      </c>
      <c r="AK15" s="1">
        <v>30</v>
      </c>
      <c r="AL15" s="6">
        <f t="shared" si="9"/>
        <v>0.36666666666666664</v>
      </c>
      <c r="AM15" s="1">
        <v>7</v>
      </c>
      <c r="AN15" s="1">
        <v>12</v>
      </c>
      <c r="AO15" s="6">
        <f t="shared" si="10"/>
        <v>0.58333333333333337</v>
      </c>
      <c r="AP15" s="2">
        <f t="shared" si="11"/>
        <v>0</v>
      </c>
      <c r="AQ15" s="2">
        <f t="shared" si="7"/>
        <v>0</v>
      </c>
      <c r="AR15" s="2">
        <f t="shared" si="8"/>
        <v>0</v>
      </c>
      <c r="AS15" s="2">
        <f t="shared" si="12"/>
        <v>0</v>
      </c>
      <c r="AT15" s="2">
        <f t="shared" si="13"/>
        <v>0</v>
      </c>
      <c r="AU15" s="2"/>
    </row>
    <row r="16" spans="1:55" x14ac:dyDescent="0.25">
      <c r="A16" s="1" t="s">
        <v>599</v>
      </c>
      <c r="B16" s="1" t="s">
        <v>24</v>
      </c>
      <c r="C16" s="1" t="s">
        <v>193</v>
      </c>
      <c r="D16" s="1" t="s">
        <v>743</v>
      </c>
      <c r="E16" s="1" t="s">
        <v>627</v>
      </c>
      <c r="F16" s="80">
        <v>45091</v>
      </c>
      <c r="G16" s="1" t="str">
        <f t="shared" ca="1" si="0"/>
        <v>1 Years, 3 Months, 11 Days</v>
      </c>
      <c r="H16" s="1" t="s">
        <v>632</v>
      </c>
      <c r="I16" s="1" t="s">
        <v>622</v>
      </c>
      <c r="J16" s="5">
        <f t="shared" si="1"/>
        <v>134615.38461538462</v>
      </c>
      <c r="K16" s="2">
        <v>3500000</v>
      </c>
      <c r="L16" s="2">
        <f>IFERROR(J16*((NETWORKDAYS.INTL(SUMMARRY!$B$1,SUMMARRY!$B$2,11))),"")</f>
        <v>3500000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898000</v>
      </c>
      <c r="W16" s="2">
        <v>5252100</v>
      </c>
      <c r="X16" s="2">
        <v>7602500</v>
      </c>
      <c r="Y16" s="2">
        <v>12678200</v>
      </c>
      <c r="Z16" s="6">
        <f t="shared" si="2"/>
        <v>3.6223428571428573</v>
      </c>
      <c r="AA16" s="2" t="str">
        <f t="shared" si="3"/>
        <v>TEAM A</v>
      </c>
      <c r="AB16" s="2">
        <v>98944940.450000003</v>
      </c>
      <c r="AC16" s="2">
        <v>3601</v>
      </c>
      <c r="AD16" s="6">
        <f t="shared" si="4"/>
        <v>3.6393978142012213E-5</v>
      </c>
      <c r="AE16" s="2">
        <v>25797780</v>
      </c>
      <c r="AF16" s="2">
        <v>12678200</v>
      </c>
      <c r="AG16" s="2">
        <v>2092600</v>
      </c>
      <c r="AH16" s="2">
        <f t="shared" si="5"/>
        <v>14770800</v>
      </c>
      <c r="AI16" s="6">
        <f t="shared" si="6"/>
        <v>4.2202285714285717</v>
      </c>
      <c r="AJ16" s="1">
        <v>25</v>
      </c>
      <c r="AK16" s="1">
        <v>20</v>
      </c>
      <c r="AL16" s="6">
        <f t="shared" si="9"/>
        <v>1.25</v>
      </c>
      <c r="AM16" s="1">
        <v>12</v>
      </c>
      <c r="AN16" s="1">
        <v>8</v>
      </c>
      <c r="AO16" s="6">
        <f t="shared" si="10"/>
        <v>1.5</v>
      </c>
      <c r="AP16" s="2">
        <f t="shared" si="11"/>
        <v>10053200</v>
      </c>
      <c r="AQ16" s="2">
        <f t="shared" si="7"/>
        <v>23797.78</v>
      </c>
      <c r="AR16" s="2">
        <f t="shared" si="8"/>
        <v>7500</v>
      </c>
      <c r="AS16" s="2">
        <f t="shared" si="12"/>
        <v>100532</v>
      </c>
      <c r="AT16" s="2">
        <f t="shared" si="13"/>
        <v>131829.78</v>
      </c>
      <c r="AU16" s="2"/>
    </row>
    <row r="17" spans="1:47" x14ac:dyDescent="0.25">
      <c r="A17" s="1" t="s">
        <v>529</v>
      </c>
      <c r="B17" s="1" t="s">
        <v>19</v>
      </c>
      <c r="C17" s="1" t="s">
        <v>197</v>
      </c>
      <c r="D17" s="1" t="s">
        <v>743</v>
      </c>
      <c r="E17" s="1" t="s">
        <v>627</v>
      </c>
      <c r="F17" s="80">
        <v>45384</v>
      </c>
      <c r="G17" s="1" t="str">
        <f t="shared" ca="1" si="0"/>
        <v>0 Years, 5 Months, 23 Days</v>
      </c>
      <c r="H17" s="1" t="s">
        <v>528</v>
      </c>
      <c r="I17" s="1" t="s">
        <v>535</v>
      </c>
      <c r="J17" s="5">
        <f t="shared" si="1"/>
        <v>134615.38461538462</v>
      </c>
      <c r="K17" s="2">
        <v>3500000</v>
      </c>
      <c r="L17" s="2">
        <f>IFERROR(J17*((NETWORKDAYS.INTL(SUMMARRY!$B$1,SUMMARRY!$B$2,11))),"")</f>
        <v>3500000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768144</v>
      </c>
      <c r="V17" s="2">
        <v>4618058</v>
      </c>
      <c r="W17" s="2">
        <v>4333700</v>
      </c>
      <c r="X17" s="2">
        <v>3197689</v>
      </c>
      <c r="Y17" s="2">
        <v>7255900</v>
      </c>
      <c r="Z17" s="6">
        <f t="shared" si="2"/>
        <v>2.0731142857142859</v>
      </c>
      <c r="AA17" s="2" t="str">
        <f t="shared" si="3"/>
        <v>TEAM A</v>
      </c>
      <c r="AB17" s="2">
        <v>83360864.620000005</v>
      </c>
      <c r="AC17" s="2">
        <v>198562.08242857142</v>
      </c>
      <c r="AD17" s="6">
        <f t="shared" si="4"/>
        <v>2.3819580487044545E-3</v>
      </c>
      <c r="AE17" s="2">
        <v>22787175</v>
      </c>
      <c r="AF17" s="2">
        <v>7255900</v>
      </c>
      <c r="AG17" s="2">
        <v>2910493</v>
      </c>
      <c r="AH17" s="2">
        <f t="shared" si="5"/>
        <v>10166393</v>
      </c>
      <c r="AI17" s="6">
        <f t="shared" si="6"/>
        <v>2.9046837142857145</v>
      </c>
      <c r="AJ17" s="1">
        <v>31</v>
      </c>
      <c r="AK17" s="1">
        <v>20</v>
      </c>
      <c r="AL17" s="6">
        <f t="shared" si="9"/>
        <v>1.55</v>
      </c>
      <c r="AM17" s="1">
        <v>15</v>
      </c>
      <c r="AN17" s="1">
        <v>8</v>
      </c>
      <c r="AO17" s="6">
        <f t="shared" si="10"/>
        <v>1.875</v>
      </c>
      <c r="AP17" s="2">
        <f t="shared" si="11"/>
        <v>4630900</v>
      </c>
      <c r="AQ17" s="2">
        <f t="shared" si="7"/>
        <v>20787.174999999999</v>
      </c>
      <c r="AR17" s="2">
        <f t="shared" si="8"/>
        <v>7500</v>
      </c>
      <c r="AS17" s="2">
        <f t="shared" si="12"/>
        <v>46309</v>
      </c>
      <c r="AT17" s="2">
        <f t="shared" si="13"/>
        <v>74596.175000000003</v>
      </c>
      <c r="AU17" s="2"/>
    </row>
    <row r="18" spans="1:47" x14ac:dyDescent="0.25">
      <c r="A18" s="1" t="s">
        <v>175</v>
      </c>
      <c r="B18" s="1" t="s">
        <v>9</v>
      </c>
      <c r="C18" s="1" t="s">
        <v>193</v>
      </c>
      <c r="D18" s="1" t="s">
        <v>743</v>
      </c>
      <c r="E18" s="1" t="s">
        <v>627</v>
      </c>
      <c r="F18" s="80">
        <v>45244</v>
      </c>
      <c r="G18" s="1" t="str">
        <f t="shared" ca="1" si="0"/>
        <v>0 Years, 10 Months, 11 Days</v>
      </c>
      <c r="H18" s="1" t="s">
        <v>174</v>
      </c>
      <c r="I18" s="1" t="s">
        <v>181</v>
      </c>
      <c r="J18" s="5">
        <f t="shared" si="1"/>
        <v>153846.15384615384</v>
      </c>
      <c r="K18" s="2">
        <v>4000000</v>
      </c>
      <c r="L18" s="2">
        <f>IFERROR(J18*((NETWORKDAYS.INTL(SUMMARRY!$B$1,SUMMARRY!$B$2,11))),"")</f>
        <v>4000000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1373474</v>
      </c>
      <c r="S18" s="2">
        <v>392122</v>
      </c>
      <c r="T18" s="2">
        <v>932908</v>
      </c>
      <c r="U18" s="2">
        <v>0</v>
      </c>
      <c r="V18" s="2">
        <v>150000</v>
      </c>
      <c r="W18" s="2">
        <v>9738500</v>
      </c>
      <c r="X18" s="2">
        <v>6239100</v>
      </c>
      <c r="Y18" s="2">
        <v>8173200</v>
      </c>
      <c r="Z18" s="6">
        <f t="shared" si="2"/>
        <v>2.0432999999999999</v>
      </c>
      <c r="AA18" s="6" t="str">
        <f t="shared" si="3"/>
        <v>TEAM A</v>
      </c>
      <c r="AB18" s="2">
        <v>122377556.66</v>
      </c>
      <c r="AC18" s="2">
        <v>171702.6</v>
      </c>
      <c r="AD18" s="6">
        <f t="shared" si="4"/>
        <v>1.4030562848794175E-3</v>
      </c>
      <c r="AE18" s="2">
        <v>31852250</v>
      </c>
      <c r="AF18" s="2">
        <v>8173200</v>
      </c>
      <c r="AG18" s="2">
        <v>0</v>
      </c>
      <c r="AH18" s="2">
        <f t="shared" si="5"/>
        <v>8173200</v>
      </c>
      <c r="AI18" s="6">
        <f t="shared" si="6"/>
        <v>2.0432999999999999</v>
      </c>
      <c r="AJ18" s="1">
        <v>12</v>
      </c>
      <c r="AK18" s="1">
        <v>30</v>
      </c>
      <c r="AL18" s="6">
        <f t="shared" si="9"/>
        <v>0.4</v>
      </c>
      <c r="AM18" s="1">
        <v>8</v>
      </c>
      <c r="AN18" s="1">
        <v>12</v>
      </c>
      <c r="AO18" s="6">
        <f t="shared" si="10"/>
        <v>0.66666666666666663</v>
      </c>
      <c r="AP18" s="2">
        <f t="shared" si="11"/>
        <v>5173200</v>
      </c>
      <c r="AQ18" s="2">
        <f t="shared" si="7"/>
        <v>1852.25</v>
      </c>
      <c r="AR18" s="2">
        <f t="shared" si="8"/>
        <v>0</v>
      </c>
      <c r="AS18" s="2">
        <f t="shared" si="12"/>
        <v>77598</v>
      </c>
      <c r="AT18" s="2">
        <f t="shared" si="13"/>
        <v>79450.25</v>
      </c>
      <c r="AU18" s="2"/>
    </row>
    <row r="19" spans="1:47" x14ac:dyDescent="0.25">
      <c r="A19" s="1" t="s">
        <v>596</v>
      </c>
      <c r="B19" s="1" t="s">
        <v>488</v>
      </c>
      <c r="C19" s="1" t="s">
        <v>197</v>
      </c>
      <c r="D19" s="1" t="s">
        <v>743</v>
      </c>
      <c r="E19" s="1" t="s">
        <v>627</v>
      </c>
      <c r="F19" s="80">
        <v>45449</v>
      </c>
      <c r="G19" s="1" t="str">
        <f t="shared" ca="1" si="0"/>
        <v>0 Years, 3 Months, 19 Days</v>
      </c>
      <c r="H19" s="1" t="s">
        <v>595</v>
      </c>
      <c r="I19" s="1" t="s">
        <v>630</v>
      </c>
      <c r="J19" s="5">
        <f t="shared" si="1"/>
        <v>96153.846153846156</v>
      </c>
      <c r="K19" s="2">
        <v>2500000</v>
      </c>
      <c r="L19" s="2">
        <f>IFERROR(J19*((NETWORKDAYS.INTL(SUMMARRY!$B$1,SUMMARRY!$B$2,11))),"")</f>
        <v>2500000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1562100</v>
      </c>
      <c r="Y19" s="2">
        <v>3527200</v>
      </c>
      <c r="Z19" s="6">
        <f t="shared" si="2"/>
        <v>1.4108799999999999</v>
      </c>
      <c r="AA19" s="2" t="str">
        <f t="shared" si="3"/>
        <v>TEAM A</v>
      </c>
      <c r="AB19" s="2">
        <v>18898195</v>
      </c>
      <c r="AC19" s="2">
        <v>5630</v>
      </c>
      <c r="AD19" s="6">
        <f t="shared" si="4"/>
        <v>2.9791204927243054E-4</v>
      </c>
      <c r="AE19" s="2">
        <v>4966070</v>
      </c>
      <c r="AF19" s="2">
        <v>3527200</v>
      </c>
      <c r="AG19" s="2">
        <v>640200</v>
      </c>
      <c r="AH19" s="2">
        <f t="shared" si="5"/>
        <v>4167400</v>
      </c>
      <c r="AI19" s="6">
        <f t="shared" si="6"/>
        <v>1.66696</v>
      </c>
      <c r="AJ19" s="1">
        <v>22</v>
      </c>
      <c r="AK19" s="1">
        <v>12</v>
      </c>
      <c r="AL19" s="6">
        <f t="shared" si="9"/>
        <v>1.8333333333333333</v>
      </c>
      <c r="AM19" s="1">
        <v>7</v>
      </c>
      <c r="AN19" s="1">
        <v>5</v>
      </c>
      <c r="AO19" s="6">
        <f t="shared" si="10"/>
        <v>1.4</v>
      </c>
      <c r="AP19" s="2">
        <f t="shared" si="11"/>
        <v>1652200</v>
      </c>
      <c r="AQ19" s="2">
        <f t="shared" si="7"/>
        <v>0</v>
      </c>
      <c r="AR19" s="2">
        <f t="shared" si="8"/>
        <v>5000</v>
      </c>
      <c r="AS19" s="2">
        <f t="shared" si="12"/>
        <v>16522</v>
      </c>
      <c r="AT19" s="2">
        <f t="shared" si="13"/>
        <v>21522</v>
      </c>
      <c r="AU19" s="2"/>
    </row>
    <row r="20" spans="1:47" x14ac:dyDescent="0.25">
      <c r="A20" s="1" t="s">
        <v>59</v>
      </c>
      <c r="B20" s="1" t="s">
        <v>24</v>
      </c>
      <c r="C20" s="1" t="s">
        <v>193</v>
      </c>
      <c r="D20" s="1" t="s">
        <v>743</v>
      </c>
      <c r="E20" s="1" t="s">
        <v>627</v>
      </c>
      <c r="F20" s="80">
        <v>44958</v>
      </c>
      <c r="G20" s="1" t="str">
        <f t="shared" ca="1" si="0"/>
        <v>1 Years, 7 Months, 24 Days</v>
      </c>
      <c r="H20" s="1" t="s">
        <v>97</v>
      </c>
      <c r="I20" s="1" t="s">
        <v>131</v>
      </c>
      <c r="J20" s="5">
        <f t="shared" si="1"/>
        <v>192307.69230769231</v>
      </c>
      <c r="K20" s="2">
        <v>5000000</v>
      </c>
      <c r="L20" s="2">
        <f>IFERROR(J20*((NETWORKDAYS.INTL(SUMMARRY!$B$1,SUMMARRY!$B$2,11))),"")</f>
        <v>5000000</v>
      </c>
      <c r="M20" s="2">
        <v>3500000</v>
      </c>
      <c r="N20" s="2">
        <v>1493313.38</v>
      </c>
      <c r="O20" s="2">
        <v>2397105.12</v>
      </c>
      <c r="P20" s="2">
        <v>1988798</v>
      </c>
      <c r="Q20" s="2">
        <v>3347992</v>
      </c>
      <c r="R20" s="2">
        <v>4697091</v>
      </c>
      <c r="S20" s="2">
        <v>3803871</v>
      </c>
      <c r="T20" s="2">
        <v>4750530</v>
      </c>
      <c r="U20" s="2">
        <v>1584586</v>
      </c>
      <c r="V20" s="2">
        <v>5735915</v>
      </c>
      <c r="W20" s="2">
        <v>7054100</v>
      </c>
      <c r="X20" s="2">
        <v>9203500</v>
      </c>
      <c r="Y20" s="2">
        <v>7005700</v>
      </c>
      <c r="Z20" s="6">
        <f t="shared" si="2"/>
        <v>1.4011400000000001</v>
      </c>
      <c r="AA20" s="6" t="str">
        <f t="shared" si="3"/>
        <v>TEAM A</v>
      </c>
      <c r="AB20" s="2">
        <v>257811424.34</v>
      </c>
      <c r="AC20" s="2">
        <v>448749.92314285709</v>
      </c>
      <c r="AD20" s="6">
        <f t="shared" si="4"/>
        <v>1.7406130247783304E-3</v>
      </c>
      <c r="AE20" s="2">
        <v>68487880.010000005</v>
      </c>
      <c r="AF20" s="2">
        <v>7005700</v>
      </c>
      <c r="AG20" s="2">
        <v>2688776</v>
      </c>
      <c r="AH20" s="2">
        <f t="shared" si="5"/>
        <v>9694476</v>
      </c>
      <c r="AI20" s="6">
        <f t="shared" si="6"/>
        <v>1.9388951999999999</v>
      </c>
      <c r="AJ20" s="1">
        <v>29</v>
      </c>
      <c r="AK20" s="1">
        <v>30</v>
      </c>
      <c r="AL20" s="6">
        <f t="shared" si="9"/>
        <v>0.96666666666666667</v>
      </c>
      <c r="AM20" s="1">
        <v>9</v>
      </c>
      <c r="AN20" s="1">
        <v>12</v>
      </c>
      <c r="AO20" s="6">
        <f t="shared" si="10"/>
        <v>0.75</v>
      </c>
      <c r="AP20" s="2">
        <f t="shared" si="11"/>
        <v>3255700</v>
      </c>
      <c r="AQ20" s="2">
        <f t="shared" si="7"/>
        <v>18487.880010000004</v>
      </c>
      <c r="AR20" s="2">
        <f t="shared" si="8"/>
        <v>0</v>
      </c>
      <c r="AS20" s="2">
        <f t="shared" si="12"/>
        <v>48835.5</v>
      </c>
      <c r="AT20" s="2">
        <f t="shared" si="13"/>
        <v>67323.380010000008</v>
      </c>
      <c r="AU20" s="2"/>
    </row>
    <row r="21" spans="1:47" x14ac:dyDescent="0.25">
      <c r="A21" s="1" t="s">
        <v>55</v>
      </c>
      <c r="B21" s="1" t="s">
        <v>19</v>
      </c>
      <c r="C21" s="1" t="s">
        <v>197</v>
      </c>
      <c r="D21" s="1" t="s">
        <v>743</v>
      </c>
      <c r="E21" s="1" t="s">
        <v>627</v>
      </c>
      <c r="F21" s="80">
        <v>44621</v>
      </c>
      <c r="G21" s="1" t="str">
        <f t="shared" ca="1" si="0"/>
        <v>2 Years, 6 Months, 24 Days</v>
      </c>
      <c r="H21" s="1" t="s">
        <v>89</v>
      </c>
      <c r="I21" s="1" t="s">
        <v>623</v>
      </c>
      <c r="J21" s="5">
        <f t="shared" si="1"/>
        <v>192307.69230769231</v>
      </c>
      <c r="K21" s="2">
        <v>5000000</v>
      </c>
      <c r="L21" s="2">
        <f>IFERROR(J21*((NETWORKDAYS.INTL(SUMMARRY!$B$1,SUMMARRY!$B$2,11))),"")</f>
        <v>5000000</v>
      </c>
      <c r="M21" s="2">
        <v>3500000</v>
      </c>
      <c r="N21" s="2">
        <v>2168903.85</v>
      </c>
      <c r="O21" s="2">
        <v>3764459</v>
      </c>
      <c r="P21" s="2">
        <v>2598847</v>
      </c>
      <c r="Q21" s="2">
        <v>3217091</v>
      </c>
      <c r="R21" s="2">
        <v>4390885</v>
      </c>
      <c r="S21" s="2">
        <v>2336476</v>
      </c>
      <c r="T21" s="2">
        <v>3448836</v>
      </c>
      <c r="U21" s="2">
        <v>3293682</v>
      </c>
      <c r="V21" s="2">
        <v>6699934</v>
      </c>
      <c r="W21" s="2">
        <v>6453900</v>
      </c>
      <c r="X21" s="2">
        <v>8573100</v>
      </c>
      <c r="Y21" s="2">
        <v>6930000</v>
      </c>
      <c r="Z21" s="6">
        <f t="shared" si="2"/>
        <v>1.3859999999999999</v>
      </c>
      <c r="AA21" s="6" t="str">
        <f t="shared" si="3"/>
        <v>TEAM A</v>
      </c>
      <c r="AB21" s="2">
        <v>201668778.13999999</v>
      </c>
      <c r="AC21" s="2">
        <v>463260.99</v>
      </c>
      <c r="AD21" s="6">
        <f t="shared" si="4"/>
        <v>2.2971378825848822E-3</v>
      </c>
      <c r="AE21" s="2">
        <v>53869621.880000003</v>
      </c>
      <c r="AF21" s="2">
        <v>6930000</v>
      </c>
      <c r="AG21" s="2">
        <v>2176789</v>
      </c>
      <c r="AH21" s="2">
        <f t="shared" si="5"/>
        <v>9106789</v>
      </c>
      <c r="AI21" s="6">
        <f t="shared" si="6"/>
        <v>1.8213577999999999</v>
      </c>
      <c r="AJ21" s="1">
        <v>35</v>
      </c>
      <c r="AK21" s="1">
        <v>30</v>
      </c>
      <c r="AL21" s="6">
        <f t="shared" si="9"/>
        <v>1.1666666666666667</v>
      </c>
      <c r="AM21" s="1">
        <v>13</v>
      </c>
      <c r="AN21" s="1">
        <v>12</v>
      </c>
      <c r="AO21" s="6">
        <f t="shared" si="10"/>
        <v>1.0833333333333333</v>
      </c>
      <c r="AP21" s="2">
        <f t="shared" si="11"/>
        <v>3180000</v>
      </c>
      <c r="AQ21" s="2">
        <f t="shared" si="7"/>
        <v>3869.6218800000029</v>
      </c>
      <c r="AR21" s="2">
        <f t="shared" si="8"/>
        <v>10000</v>
      </c>
      <c r="AS21" s="2">
        <f t="shared" si="12"/>
        <v>47700</v>
      </c>
      <c r="AT21" s="2">
        <f t="shared" si="13"/>
        <v>61569.621880000006</v>
      </c>
      <c r="AU21" s="2"/>
    </row>
    <row r="22" spans="1:47" x14ac:dyDescent="0.25">
      <c r="A22" s="1" t="s">
        <v>492</v>
      </c>
      <c r="B22" s="1" t="s">
        <v>30</v>
      </c>
      <c r="C22" s="1" t="s">
        <v>196</v>
      </c>
      <c r="D22" s="1" t="s">
        <v>743</v>
      </c>
      <c r="E22" s="1" t="s">
        <v>627</v>
      </c>
      <c r="F22" s="80">
        <v>45385</v>
      </c>
      <c r="G22" s="1" t="str">
        <f t="shared" ca="1" si="0"/>
        <v>0 Years, 5 Months, 22 Days</v>
      </c>
      <c r="H22" s="1" t="s">
        <v>493</v>
      </c>
      <c r="I22" s="1" t="s">
        <v>516</v>
      </c>
      <c r="J22" s="5">
        <f t="shared" si="1"/>
        <v>134615.38461538462</v>
      </c>
      <c r="K22" s="2">
        <v>3500000</v>
      </c>
      <c r="L22" s="2">
        <f>IFERROR(J22*((NETWORKDAYS.INTL(SUMMARRY!$B$1,SUMMARRY!$B$2,11))),"")</f>
        <v>3500000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474251</v>
      </c>
      <c r="U22" s="2">
        <v>1773265</v>
      </c>
      <c r="V22" s="2">
        <v>1941925</v>
      </c>
      <c r="W22" s="2">
        <v>2341287</v>
      </c>
      <c r="X22" s="2">
        <v>2315400</v>
      </c>
      <c r="Y22" s="2">
        <v>4768893</v>
      </c>
      <c r="Z22" s="6">
        <f t="shared" si="2"/>
        <v>1.3625408571428572</v>
      </c>
      <c r="AA22" s="2" t="str">
        <f t="shared" si="3"/>
        <v>TEAM A</v>
      </c>
      <c r="AB22" s="2">
        <v>51718653.079999998</v>
      </c>
      <c r="AC22" s="2">
        <v>37384.419142857143</v>
      </c>
      <c r="AD22" s="6">
        <f t="shared" si="4"/>
        <v>7.2284208726452678E-4</v>
      </c>
      <c r="AE22" s="2">
        <v>13366459.640000001</v>
      </c>
      <c r="AF22" s="2">
        <v>4768893</v>
      </c>
      <c r="AG22" s="2">
        <v>1073050</v>
      </c>
      <c r="AH22" s="2">
        <f t="shared" si="5"/>
        <v>5841943</v>
      </c>
      <c r="AI22" s="6">
        <f t="shared" si="6"/>
        <v>1.6691265714285715</v>
      </c>
      <c r="AJ22" s="1">
        <v>15</v>
      </c>
      <c r="AK22" s="1">
        <v>20</v>
      </c>
      <c r="AL22" s="6">
        <f t="shared" si="9"/>
        <v>0.75</v>
      </c>
      <c r="AM22" s="1">
        <v>5</v>
      </c>
      <c r="AN22" s="1">
        <v>8</v>
      </c>
      <c r="AO22" s="6">
        <f t="shared" si="10"/>
        <v>0.625</v>
      </c>
      <c r="AP22" s="2">
        <f t="shared" si="11"/>
        <v>2143893</v>
      </c>
      <c r="AQ22" s="2">
        <f t="shared" si="7"/>
        <v>0</v>
      </c>
      <c r="AR22" s="2">
        <f t="shared" si="8"/>
        <v>0</v>
      </c>
      <c r="AS22" s="2">
        <f t="shared" si="12"/>
        <v>21438.93</v>
      </c>
      <c r="AT22" s="2">
        <f t="shared" si="13"/>
        <v>21438.93</v>
      </c>
      <c r="AU22" s="2"/>
    </row>
    <row r="23" spans="1:47" x14ac:dyDescent="0.25">
      <c r="A23" s="1" t="s">
        <v>50</v>
      </c>
      <c r="B23" s="1" t="s">
        <v>13</v>
      </c>
      <c r="C23" s="1" t="s">
        <v>198</v>
      </c>
      <c r="D23" s="1" t="s">
        <v>743</v>
      </c>
      <c r="E23" s="1" t="s">
        <v>627</v>
      </c>
      <c r="F23" s="80">
        <v>44762</v>
      </c>
      <c r="G23" s="1" t="str">
        <f t="shared" ca="1" si="0"/>
        <v>2 Years, 2 Months, 5 Days</v>
      </c>
      <c r="H23" s="1" t="s">
        <v>80</v>
      </c>
      <c r="I23" s="1" t="s">
        <v>125</v>
      </c>
      <c r="J23" s="5">
        <f t="shared" si="1"/>
        <v>192307.69230769231</v>
      </c>
      <c r="K23" s="2">
        <v>5000000</v>
      </c>
      <c r="L23" s="2">
        <f>IFERROR(J23*((NETWORKDAYS.INTL(SUMMARRY!$B$1,SUMMARRY!$B$2,11))),"")</f>
        <v>5000000</v>
      </c>
      <c r="M23" s="2">
        <v>5000000</v>
      </c>
      <c r="N23" s="2">
        <v>2164937.65</v>
      </c>
      <c r="O23" s="2">
        <v>1641175.98</v>
      </c>
      <c r="P23" s="2">
        <v>1814752.7000000002</v>
      </c>
      <c r="Q23" s="2">
        <v>3877886</v>
      </c>
      <c r="R23" s="2">
        <v>3912165</v>
      </c>
      <c r="S23" s="2">
        <v>2974122</v>
      </c>
      <c r="T23" s="2">
        <v>2407141</v>
      </c>
      <c r="U23" s="2">
        <v>3138052</v>
      </c>
      <c r="V23" s="2">
        <v>2609847</v>
      </c>
      <c r="W23" s="2">
        <v>6831738</v>
      </c>
      <c r="X23" s="2">
        <v>6426025</v>
      </c>
      <c r="Y23" s="2">
        <v>6676420</v>
      </c>
      <c r="Z23" s="6">
        <f t="shared" si="2"/>
        <v>1.3352839999999999</v>
      </c>
      <c r="AA23" s="6" t="str">
        <f t="shared" si="3"/>
        <v>TEAM A</v>
      </c>
      <c r="AB23" s="2">
        <v>190137935.92999998</v>
      </c>
      <c r="AC23" s="2">
        <v>446222.41</v>
      </c>
      <c r="AD23" s="6">
        <f t="shared" si="4"/>
        <v>2.3468352478817193E-3</v>
      </c>
      <c r="AE23" s="2">
        <v>50682019.450000003</v>
      </c>
      <c r="AF23" s="2">
        <v>6676420</v>
      </c>
      <c r="AG23" s="2">
        <v>2191801</v>
      </c>
      <c r="AH23" s="2">
        <f t="shared" si="5"/>
        <v>8868221</v>
      </c>
      <c r="AI23" s="6">
        <f t="shared" si="6"/>
        <v>1.7736441999999999</v>
      </c>
      <c r="AJ23" s="1">
        <v>31</v>
      </c>
      <c r="AK23" s="1">
        <v>30</v>
      </c>
      <c r="AL23" s="6">
        <f t="shared" si="9"/>
        <v>1.0333333333333334</v>
      </c>
      <c r="AM23" s="1">
        <v>15</v>
      </c>
      <c r="AN23" s="1">
        <v>12</v>
      </c>
      <c r="AO23" s="6">
        <f t="shared" si="10"/>
        <v>1.25</v>
      </c>
      <c r="AP23" s="2">
        <f t="shared" si="11"/>
        <v>2926420</v>
      </c>
      <c r="AQ23" s="2">
        <f t="shared" si="7"/>
        <v>682.01945000000296</v>
      </c>
      <c r="AR23" s="2">
        <f t="shared" si="8"/>
        <v>10000</v>
      </c>
      <c r="AS23" s="2">
        <f t="shared" si="12"/>
        <v>43896.299999999996</v>
      </c>
      <c r="AT23" s="2">
        <f t="shared" si="13"/>
        <v>54578.319449999995</v>
      </c>
      <c r="AU23" s="2"/>
    </row>
    <row r="24" spans="1:47" x14ac:dyDescent="0.25">
      <c r="A24" s="1" t="s">
        <v>52</v>
      </c>
      <c r="B24" s="1" t="s">
        <v>17</v>
      </c>
      <c r="C24" s="1" t="s">
        <v>197</v>
      </c>
      <c r="D24" s="1" t="s">
        <v>743</v>
      </c>
      <c r="E24" s="1" t="s">
        <v>627</v>
      </c>
      <c r="F24" s="80">
        <v>44564</v>
      </c>
      <c r="G24" s="1" t="str">
        <f t="shared" ca="1" si="0"/>
        <v>2 Years, 8 Months, 22 Days</v>
      </c>
      <c r="H24" s="1" t="s">
        <v>90</v>
      </c>
      <c r="I24" s="1" t="s">
        <v>126</v>
      </c>
      <c r="J24" s="5">
        <f t="shared" si="1"/>
        <v>192307.69230769231</v>
      </c>
      <c r="K24" s="2">
        <v>5000000</v>
      </c>
      <c r="L24" s="2">
        <f>IFERROR(J24*((NETWORKDAYS.INTL(SUMMARRY!$B$1,SUMMARRY!$B$2,11))),"")</f>
        <v>5000000</v>
      </c>
      <c r="M24" s="2">
        <v>3500000</v>
      </c>
      <c r="N24" s="2">
        <v>1618472.67</v>
      </c>
      <c r="O24" s="2">
        <v>1937341.67</v>
      </c>
      <c r="P24" s="2">
        <v>1669467.06</v>
      </c>
      <c r="Q24" s="2">
        <v>3890465</v>
      </c>
      <c r="R24" s="2">
        <v>2146651</v>
      </c>
      <c r="S24" s="2">
        <v>1913755</v>
      </c>
      <c r="T24" s="2">
        <v>2295139</v>
      </c>
      <c r="U24" s="2">
        <v>1841098</v>
      </c>
      <c r="V24" s="2">
        <v>2207941</v>
      </c>
      <c r="W24" s="2">
        <v>3142100</v>
      </c>
      <c r="X24" s="2">
        <v>4258200</v>
      </c>
      <c r="Y24" s="2">
        <v>6462655</v>
      </c>
      <c r="Z24" s="6">
        <f t="shared" si="2"/>
        <v>1.2925310000000001</v>
      </c>
      <c r="AA24" s="6" t="str">
        <f t="shared" si="3"/>
        <v>TEAM A</v>
      </c>
      <c r="AB24" s="2">
        <v>132842333.03</v>
      </c>
      <c r="AC24" s="2">
        <v>337326.45</v>
      </c>
      <c r="AD24" s="6">
        <f t="shared" si="4"/>
        <v>2.5392993506356217E-3</v>
      </c>
      <c r="AE24" s="2">
        <v>35169492.869999997</v>
      </c>
      <c r="AF24" s="2">
        <v>6462655</v>
      </c>
      <c r="AG24" s="2">
        <v>1736012</v>
      </c>
      <c r="AH24" s="2">
        <f t="shared" si="5"/>
        <v>8198667</v>
      </c>
      <c r="AI24" s="6">
        <f t="shared" si="6"/>
        <v>1.6397333999999999</v>
      </c>
      <c r="AJ24" s="1">
        <v>13</v>
      </c>
      <c r="AK24" s="1">
        <v>30</v>
      </c>
      <c r="AL24" s="6">
        <f t="shared" si="9"/>
        <v>0.43333333333333335</v>
      </c>
      <c r="AM24" s="1">
        <v>9</v>
      </c>
      <c r="AN24" s="1">
        <v>12</v>
      </c>
      <c r="AO24" s="6">
        <f t="shared" si="10"/>
        <v>0.75</v>
      </c>
      <c r="AP24" s="2">
        <f t="shared" si="11"/>
        <v>2712655</v>
      </c>
      <c r="AQ24" s="2">
        <f t="shared" si="7"/>
        <v>0</v>
      </c>
      <c r="AR24" s="2">
        <f t="shared" si="8"/>
        <v>0</v>
      </c>
      <c r="AS24" s="2">
        <f t="shared" si="12"/>
        <v>40689.824999999997</v>
      </c>
      <c r="AT24" s="2">
        <f t="shared" si="13"/>
        <v>40689.824999999997</v>
      </c>
      <c r="AU24" s="2"/>
    </row>
    <row r="25" spans="1:47" x14ac:dyDescent="0.25">
      <c r="A25" s="1" t="s">
        <v>60</v>
      </c>
      <c r="B25" s="1" t="s">
        <v>26</v>
      </c>
      <c r="C25" s="1" t="s">
        <v>192</v>
      </c>
      <c r="D25" s="1" t="s">
        <v>743</v>
      </c>
      <c r="E25" s="1" t="s">
        <v>627</v>
      </c>
      <c r="F25" s="80">
        <v>45299</v>
      </c>
      <c r="G25" s="1" t="str">
        <f t="shared" ca="1" si="0"/>
        <v>0 Years, 8 Months, 17 Days</v>
      </c>
      <c r="H25" s="1" t="s">
        <v>178</v>
      </c>
      <c r="I25" s="1" t="s">
        <v>162</v>
      </c>
      <c r="J25" s="5">
        <f t="shared" si="1"/>
        <v>192307.69230769231</v>
      </c>
      <c r="K25" s="2">
        <v>5000000</v>
      </c>
      <c r="L25" s="2">
        <f>IFERROR(J25*((NETWORKDAYS.INTL(SUMMARRY!$B$1,SUMMARRY!$B$2,11))),"")</f>
        <v>5000000</v>
      </c>
      <c r="M25" s="2">
        <v>0</v>
      </c>
      <c r="N25" s="2">
        <v>0</v>
      </c>
      <c r="O25" s="2">
        <v>0</v>
      </c>
      <c r="P25" s="2">
        <v>0</v>
      </c>
      <c r="Q25" s="2">
        <v>2326564</v>
      </c>
      <c r="R25" s="2">
        <v>2363410</v>
      </c>
      <c r="S25" s="2">
        <v>2382992</v>
      </c>
      <c r="T25" s="2">
        <v>3128435</v>
      </c>
      <c r="U25" s="2">
        <v>1861586</v>
      </c>
      <c r="V25" s="2">
        <v>2877916</v>
      </c>
      <c r="W25" s="2">
        <v>2273700</v>
      </c>
      <c r="X25" s="2">
        <v>2770000</v>
      </c>
      <c r="Y25" s="2">
        <v>6069600</v>
      </c>
      <c r="Z25" s="6">
        <f t="shared" si="2"/>
        <v>1.2139200000000001</v>
      </c>
      <c r="AA25" s="6" t="str">
        <f t="shared" si="3"/>
        <v>TEAM A</v>
      </c>
      <c r="AB25" s="2">
        <v>101032987.11999999</v>
      </c>
      <c r="AC25" s="2">
        <v>184713.80514285713</v>
      </c>
      <c r="AD25" s="6">
        <f t="shared" si="4"/>
        <v>1.8282524392104419E-3</v>
      </c>
      <c r="AE25" s="2">
        <v>26729312</v>
      </c>
      <c r="AF25" s="2">
        <v>6069600</v>
      </c>
      <c r="AG25" s="2">
        <v>1583781</v>
      </c>
      <c r="AH25" s="2">
        <f t="shared" si="5"/>
        <v>7653381</v>
      </c>
      <c r="AI25" s="6">
        <f t="shared" si="6"/>
        <v>1.5306762</v>
      </c>
      <c r="AJ25" s="1">
        <v>19</v>
      </c>
      <c r="AK25" s="1">
        <v>30</v>
      </c>
      <c r="AL25" s="6">
        <f t="shared" si="9"/>
        <v>0.6333333333333333</v>
      </c>
      <c r="AM25" s="1">
        <v>9</v>
      </c>
      <c r="AN25" s="1">
        <v>12</v>
      </c>
      <c r="AO25" s="6">
        <f t="shared" si="10"/>
        <v>0.75</v>
      </c>
      <c r="AP25" s="2">
        <f t="shared" si="11"/>
        <v>2319600</v>
      </c>
      <c r="AQ25" s="2">
        <f t="shared" si="7"/>
        <v>0</v>
      </c>
      <c r="AR25" s="2">
        <f t="shared" si="8"/>
        <v>0</v>
      </c>
      <c r="AS25" s="2">
        <f t="shared" si="12"/>
        <v>34794</v>
      </c>
      <c r="AT25" s="2">
        <f t="shared" si="13"/>
        <v>34794</v>
      </c>
      <c r="AU25" s="2"/>
    </row>
    <row r="26" spans="1:47" x14ac:dyDescent="0.25">
      <c r="A26" s="1" t="s">
        <v>177</v>
      </c>
      <c r="B26" s="1" t="s">
        <v>13</v>
      </c>
      <c r="C26" s="1" t="s">
        <v>198</v>
      </c>
      <c r="D26" s="1" t="s">
        <v>743</v>
      </c>
      <c r="E26" s="1" t="s">
        <v>627</v>
      </c>
      <c r="F26" s="80">
        <v>45299</v>
      </c>
      <c r="G26" s="1" t="str">
        <f t="shared" ca="1" si="0"/>
        <v>0 Years, 8 Months, 17 Days</v>
      </c>
      <c r="H26" s="1" t="s">
        <v>176</v>
      </c>
      <c r="I26" s="1" t="s">
        <v>182</v>
      </c>
      <c r="J26" s="5">
        <f t="shared" si="1"/>
        <v>134615.38461538462</v>
      </c>
      <c r="K26" s="2">
        <v>3500000</v>
      </c>
      <c r="L26" s="2">
        <f>IFERROR(J26*((NETWORKDAYS.INTL(SUMMARRY!$B$1,SUMMARRY!$B$2,11))),"")</f>
        <v>3500000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381186</v>
      </c>
      <c r="S26" s="2">
        <v>1645479</v>
      </c>
      <c r="T26" s="2">
        <v>1894919</v>
      </c>
      <c r="U26" s="2">
        <v>1331276</v>
      </c>
      <c r="V26" s="2">
        <v>1277600</v>
      </c>
      <c r="W26" s="2">
        <v>859800</v>
      </c>
      <c r="X26" s="2">
        <v>1534100</v>
      </c>
      <c r="Y26" s="2">
        <v>4209400</v>
      </c>
      <c r="Z26" s="6">
        <f t="shared" si="2"/>
        <v>1.2026857142857144</v>
      </c>
      <c r="AA26" s="6" t="str">
        <f t="shared" si="3"/>
        <v>TEAM A</v>
      </c>
      <c r="AB26" s="2">
        <v>48325300.549999997</v>
      </c>
      <c r="AC26" s="2">
        <v>123434.95</v>
      </c>
      <c r="AD26" s="6">
        <f t="shared" si="4"/>
        <v>2.5542510567996874E-3</v>
      </c>
      <c r="AE26" s="2">
        <v>12762769</v>
      </c>
      <c r="AF26" s="2">
        <v>4209400</v>
      </c>
      <c r="AG26" s="2">
        <v>174276</v>
      </c>
      <c r="AH26" s="2">
        <f t="shared" si="5"/>
        <v>4383676</v>
      </c>
      <c r="AI26" s="6">
        <f t="shared" si="6"/>
        <v>1.2524788571428571</v>
      </c>
      <c r="AJ26" s="1">
        <v>19</v>
      </c>
      <c r="AK26" s="1">
        <v>20</v>
      </c>
      <c r="AL26" s="6">
        <f t="shared" si="9"/>
        <v>0.95</v>
      </c>
      <c r="AM26" s="1">
        <v>8</v>
      </c>
      <c r="AN26" s="1">
        <v>8</v>
      </c>
      <c r="AO26" s="6">
        <f t="shared" si="10"/>
        <v>1</v>
      </c>
      <c r="AP26" s="2">
        <f t="shared" si="11"/>
        <v>1584400</v>
      </c>
      <c r="AQ26" s="2">
        <f t="shared" si="7"/>
        <v>0</v>
      </c>
      <c r="AR26" s="2">
        <f t="shared" si="8"/>
        <v>0</v>
      </c>
      <c r="AS26" s="2">
        <f t="shared" si="12"/>
        <v>15844</v>
      </c>
      <c r="AT26" s="2">
        <f t="shared" si="13"/>
        <v>15844</v>
      </c>
      <c r="AU26" s="2"/>
    </row>
    <row r="27" spans="1:47" x14ac:dyDescent="0.25">
      <c r="A27" s="1" t="s">
        <v>53</v>
      </c>
      <c r="B27" s="1" t="s">
        <v>488</v>
      </c>
      <c r="C27" s="1" t="s">
        <v>197</v>
      </c>
      <c r="D27" s="1" t="s">
        <v>743</v>
      </c>
      <c r="E27" s="1" t="s">
        <v>627</v>
      </c>
      <c r="F27" s="80">
        <v>44958</v>
      </c>
      <c r="G27" s="1" t="str">
        <f t="shared" ca="1" si="0"/>
        <v>1 Years, 7 Months, 24 Days</v>
      </c>
      <c r="H27" s="1" t="s">
        <v>742</v>
      </c>
      <c r="I27" s="1" t="s">
        <v>127</v>
      </c>
      <c r="J27" s="1">
        <f t="shared" si="1"/>
        <v>192307.69230769231</v>
      </c>
      <c r="K27" s="2">
        <v>5000000</v>
      </c>
      <c r="L27" s="2">
        <f>IFERROR(J27*((NETWORKDAYS.INTL(SUMMARRY!$B$1,SUMMARRY!$B$2,11))),"")</f>
        <v>5000000</v>
      </c>
      <c r="M27" s="2">
        <v>3500000</v>
      </c>
      <c r="N27" s="2">
        <v>1010500</v>
      </c>
      <c r="O27" s="2">
        <v>327635</v>
      </c>
      <c r="P27" s="2">
        <v>1762155</v>
      </c>
      <c r="Q27" s="2">
        <v>0</v>
      </c>
      <c r="R27" s="2">
        <v>1341568</v>
      </c>
      <c r="S27" s="2">
        <v>2292357</v>
      </c>
      <c r="T27" s="2">
        <v>2778857</v>
      </c>
      <c r="U27" s="2">
        <v>3896014</v>
      </c>
      <c r="V27" s="2">
        <v>1989926</v>
      </c>
      <c r="W27" s="2">
        <v>11478600</v>
      </c>
      <c r="X27" s="2">
        <v>8257600</v>
      </c>
      <c r="Y27" s="2">
        <v>5789676</v>
      </c>
      <c r="Z27" s="6">
        <f t="shared" si="2"/>
        <v>1.1579352000000001</v>
      </c>
      <c r="AA27" s="2" t="str">
        <f t="shared" si="3"/>
        <v>TEAM A</v>
      </c>
      <c r="AB27" s="2">
        <v>142023764.37</v>
      </c>
      <c r="AC27" s="2">
        <v>2779948.37</v>
      </c>
      <c r="AD27" s="6">
        <f t="shared" si="4"/>
        <v>1.9573825425142827E-2</v>
      </c>
      <c r="AE27" s="2">
        <v>39579734.149999999</v>
      </c>
      <c r="AF27" s="2">
        <v>5789676</v>
      </c>
      <c r="AG27" s="2">
        <v>2207800</v>
      </c>
      <c r="AH27" s="2">
        <f t="shared" si="5"/>
        <v>7997476</v>
      </c>
      <c r="AI27" s="6">
        <f t="shared" si="6"/>
        <v>1.5994952</v>
      </c>
      <c r="AJ27" s="1">
        <v>24</v>
      </c>
      <c r="AK27" s="1">
        <v>30</v>
      </c>
      <c r="AL27" s="6">
        <f t="shared" si="9"/>
        <v>0.8</v>
      </c>
      <c r="AM27" s="1">
        <v>10</v>
      </c>
      <c r="AN27" s="1">
        <v>12</v>
      </c>
      <c r="AO27" s="6">
        <f t="shared" si="10"/>
        <v>0.83333333333333337</v>
      </c>
      <c r="AP27" s="2">
        <f t="shared" si="11"/>
        <v>2039676</v>
      </c>
      <c r="AQ27" s="2">
        <f t="shared" si="7"/>
        <v>0</v>
      </c>
      <c r="AR27" s="2">
        <f t="shared" si="8"/>
        <v>0</v>
      </c>
      <c r="AS27" s="2">
        <f t="shared" si="12"/>
        <v>30595.14</v>
      </c>
      <c r="AT27" s="2">
        <f t="shared" si="13"/>
        <v>30595.14</v>
      </c>
      <c r="AU27" s="2"/>
    </row>
    <row r="28" spans="1:47" x14ac:dyDescent="0.25">
      <c r="A28" s="1" t="s">
        <v>598</v>
      </c>
      <c r="B28" s="1" t="s">
        <v>24</v>
      </c>
      <c r="C28" s="1" t="s">
        <v>193</v>
      </c>
      <c r="D28" s="1" t="s">
        <v>743</v>
      </c>
      <c r="E28" s="1" t="s">
        <v>627</v>
      </c>
      <c r="F28" s="80">
        <v>45449</v>
      </c>
      <c r="G28" s="1" t="str">
        <f t="shared" ca="1" si="0"/>
        <v>0 Years, 3 Months, 19 Days</v>
      </c>
      <c r="H28" s="1" t="s">
        <v>597</v>
      </c>
      <c r="I28" s="1" t="s">
        <v>604</v>
      </c>
      <c r="J28" s="5">
        <f t="shared" si="1"/>
        <v>134615.38461538462</v>
      </c>
      <c r="K28" s="2">
        <v>3500000</v>
      </c>
      <c r="L28" s="2">
        <f>IFERROR(J28*((NETWORKDAYS.INTL(SUMMARRY!$B$1,SUMMARRY!$B$2,11))),"")</f>
        <v>3500000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6100</v>
      </c>
      <c r="W28" s="2">
        <v>2267500</v>
      </c>
      <c r="X28" s="2">
        <v>4377500</v>
      </c>
      <c r="Y28" s="2">
        <v>3984365</v>
      </c>
      <c r="Z28" s="6">
        <f t="shared" si="2"/>
        <v>1.13839</v>
      </c>
      <c r="AA28" s="2" t="str">
        <f t="shared" si="3"/>
        <v>TEAM A</v>
      </c>
      <c r="AB28" s="2">
        <v>45403507.400000006</v>
      </c>
      <c r="AC28" s="2">
        <v>7844</v>
      </c>
      <c r="AD28" s="6">
        <f t="shared" si="4"/>
        <v>1.7276198358191154E-4</v>
      </c>
      <c r="AE28" s="2">
        <v>11836500</v>
      </c>
      <c r="AF28" s="2">
        <v>3984365</v>
      </c>
      <c r="AG28" s="2">
        <v>616700</v>
      </c>
      <c r="AH28" s="2">
        <f t="shared" si="5"/>
        <v>4601065</v>
      </c>
      <c r="AI28" s="6">
        <f t="shared" si="6"/>
        <v>1.3145899999999999</v>
      </c>
      <c r="AJ28" s="1">
        <v>22</v>
      </c>
      <c r="AK28" s="1">
        <v>20</v>
      </c>
      <c r="AL28" s="6">
        <f t="shared" si="9"/>
        <v>1.1000000000000001</v>
      </c>
      <c r="AM28" s="1">
        <v>12</v>
      </c>
      <c r="AN28" s="1">
        <v>8</v>
      </c>
      <c r="AO28" s="6">
        <f t="shared" si="10"/>
        <v>1.5</v>
      </c>
      <c r="AP28" s="2">
        <f t="shared" si="11"/>
        <v>1359365</v>
      </c>
      <c r="AQ28" s="2">
        <f t="shared" si="7"/>
        <v>0</v>
      </c>
      <c r="AR28" s="2">
        <f t="shared" si="8"/>
        <v>7500</v>
      </c>
      <c r="AS28" s="2">
        <f t="shared" si="12"/>
        <v>13593.65</v>
      </c>
      <c r="AT28" s="2">
        <f t="shared" si="13"/>
        <v>21093.65</v>
      </c>
      <c r="AU28" s="2"/>
    </row>
    <row r="29" spans="1:47" x14ac:dyDescent="0.25">
      <c r="A29" s="1" t="s">
        <v>47</v>
      </c>
      <c r="B29" s="1" t="s">
        <v>9</v>
      </c>
      <c r="C29" s="1" t="s">
        <v>193</v>
      </c>
      <c r="D29" s="1" t="s">
        <v>743</v>
      </c>
      <c r="E29" s="1" t="s">
        <v>627</v>
      </c>
      <c r="F29" s="80">
        <v>44837</v>
      </c>
      <c r="G29" s="1" t="str">
        <f t="shared" ca="1" si="0"/>
        <v>1 Years, 11 Months, 22 Days</v>
      </c>
      <c r="H29" s="1" t="s">
        <v>95</v>
      </c>
      <c r="I29" s="1" t="s">
        <v>123</v>
      </c>
      <c r="J29" s="5">
        <f t="shared" si="1"/>
        <v>153846.15384615384</v>
      </c>
      <c r="K29" s="2">
        <v>4000000</v>
      </c>
      <c r="L29" s="2">
        <f>IFERROR(J29*((NETWORKDAYS.INTL(SUMMARRY!$B$1,SUMMARRY!$B$2,11))),"")</f>
        <v>4000000</v>
      </c>
      <c r="M29" s="2">
        <v>4000000</v>
      </c>
      <c r="N29" s="2">
        <v>1908437.9100000001</v>
      </c>
      <c r="O29" s="2">
        <v>2884968</v>
      </c>
      <c r="P29" s="2">
        <v>1425335.04</v>
      </c>
      <c r="Q29" s="2">
        <v>3157229</v>
      </c>
      <c r="R29" s="2">
        <v>2212628</v>
      </c>
      <c r="S29" s="2">
        <v>3789905</v>
      </c>
      <c r="T29" s="2">
        <v>1534810</v>
      </c>
      <c r="U29" s="2">
        <v>3265628</v>
      </c>
      <c r="V29" s="2">
        <v>2764800</v>
      </c>
      <c r="W29" s="2">
        <v>3034800</v>
      </c>
      <c r="X29" s="2">
        <v>3020700</v>
      </c>
      <c r="Y29" s="2">
        <v>4338086</v>
      </c>
      <c r="Z29" s="6">
        <f t="shared" si="2"/>
        <v>1.0845214999999999</v>
      </c>
      <c r="AA29" s="6" t="str">
        <f t="shared" si="3"/>
        <v>TEAM A</v>
      </c>
      <c r="AB29" s="2">
        <v>143328464.05000001</v>
      </c>
      <c r="AC29" s="2">
        <v>558941.10257142864</v>
      </c>
      <c r="AD29" s="6">
        <f t="shared" si="4"/>
        <v>3.8997215680511479E-3</v>
      </c>
      <c r="AE29" s="2">
        <v>38124631</v>
      </c>
      <c r="AF29" s="2">
        <v>4338086</v>
      </c>
      <c r="AG29" s="2">
        <v>1447486</v>
      </c>
      <c r="AH29" s="2">
        <f t="shared" si="5"/>
        <v>5785572</v>
      </c>
      <c r="AI29" s="6">
        <f t="shared" si="6"/>
        <v>1.446393</v>
      </c>
      <c r="AJ29" s="1">
        <v>20</v>
      </c>
      <c r="AK29" s="1">
        <v>30</v>
      </c>
      <c r="AL29" s="6">
        <f t="shared" si="9"/>
        <v>0.66666666666666663</v>
      </c>
      <c r="AM29" s="1">
        <v>9</v>
      </c>
      <c r="AN29" s="1">
        <v>12</v>
      </c>
      <c r="AO29" s="6">
        <f t="shared" si="10"/>
        <v>0.75</v>
      </c>
      <c r="AP29" s="2">
        <f t="shared" si="11"/>
        <v>1338086</v>
      </c>
      <c r="AQ29" s="2">
        <f t="shared" si="7"/>
        <v>8124.6310000000003</v>
      </c>
      <c r="AR29" s="2">
        <f t="shared" si="8"/>
        <v>0</v>
      </c>
      <c r="AS29" s="2">
        <f t="shared" si="12"/>
        <v>20071.29</v>
      </c>
      <c r="AT29" s="2">
        <f t="shared" si="13"/>
        <v>28195.921000000002</v>
      </c>
      <c r="AU29" s="2"/>
    </row>
    <row r="30" spans="1:47" x14ac:dyDescent="0.25">
      <c r="A30" s="1" t="s">
        <v>48</v>
      </c>
      <c r="B30" s="1" t="s">
        <v>9</v>
      </c>
      <c r="C30" s="1" t="s">
        <v>193</v>
      </c>
      <c r="D30" s="1" t="s">
        <v>743</v>
      </c>
      <c r="E30" s="1" t="s">
        <v>627</v>
      </c>
      <c r="F30" s="80">
        <v>44231</v>
      </c>
      <c r="G30" s="1" t="str">
        <f t="shared" ca="1" si="0"/>
        <v>3 Years, 7 Months, 21 Days</v>
      </c>
      <c r="H30" s="1" t="s">
        <v>86</v>
      </c>
      <c r="I30" s="1" t="s">
        <v>169</v>
      </c>
      <c r="J30" s="5">
        <f t="shared" si="1"/>
        <v>192307.69230769231</v>
      </c>
      <c r="K30" s="2">
        <v>5000000</v>
      </c>
      <c r="L30" s="2">
        <f>IFERROR(J30*((NETWORKDAYS.INTL(SUMMARRY!$B$1,SUMMARRY!$B$2,11))),"")</f>
        <v>5000000</v>
      </c>
      <c r="M30" s="2">
        <v>3500000</v>
      </c>
      <c r="N30" s="2">
        <v>2094571.31</v>
      </c>
      <c r="O30" s="2">
        <v>553889.06000000006</v>
      </c>
      <c r="P30" s="2">
        <v>975993.17999999993</v>
      </c>
      <c r="Q30" s="2">
        <v>354566</v>
      </c>
      <c r="R30" s="2">
        <v>2880764</v>
      </c>
      <c r="S30" s="2">
        <v>2413198</v>
      </c>
      <c r="T30" s="2">
        <v>2005470</v>
      </c>
      <c r="U30" s="2">
        <v>2136603</v>
      </c>
      <c r="V30" s="2">
        <v>3725460</v>
      </c>
      <c r="W30" s="2">
        <v>4232400</v>
      </c>
      <c r="X30" s="2">
        <v>5198200</v>
      </c>
      <c r="Y30" s="2">
        <v>5219300</v>
      </c>
      <c r="Z30" s="6">
        <f t="shared" si="2"/>
        <v>1.04386</v>
      </c>
      <c r="AA30" s="6" t="str">
        <f t="shared" si="3"/>
        <v>TEAM A</v>
      </c>
      <c r="AB30" s="2">
        <v>135489215.53000003</v>
      </c>
      <c r="AC30" s="2">
        <v>123304.49</v>
      </c>
      <c r="AD30" s="6">
        <f t="shared" si="4"/>
        <v>9.1006866869561233E-4</v>
      </c>
      <c r="AE30" s="2">
        <v>36165581.420000002</v>
      </c>
      <c r="AF30" s="2">
        <v>5219300</v>
      </c>
      <c r="AG30" s="2">
        <v>0</v>
      </c>
      <c r="AH30" s="2">
        <f t="shared" si="5"/>
        <v>5219300</v>
      </c>
      <c r="AI30" s="6">
        <f t="shared" si="6"/>
        <v>1.04386</v>
      </c>
      <c r="AJ30" s="1">
        <v>7</v>
      </c>
      <c r="AK30" s="1">
        <v>30</v>
      </c>
      <c r="AL30" s="6">
        <f t="shared" si="9"/>
        <v>0.23333333333333334</v>
      </c>
      <c r="AM30" s="1">
        <v>5</v>
      </c>
      <c r="AN30" s="1">
        <v>12</v>
      </c>
      <c r="AO30" s="6">
        <f t="shared" si="10"/>
        <v>0.41666666666666669</v>
      </c>
      <c r="AP30" s="2">
        <f t="shared" si="11"/>
        <v>1469300</v>
      </c>
      <c r="AQ30" s="2">
        <f t="shared" si="7"/>
        <v>0</v>
      </c>
      <c r="AR30" s="2">
        <f t="shared" si="8"/>
        <v>0</v>
      </c>
      <c r="AS30" s="2">
        <f t="shared" si="12"/>
        <v>0</v>
      </c>
      <c r="AT30" s="2">
        <f t="shared" si="13"/>
        <v>0</v>
      </c>
      <c r="AU30" s="2"/>
    </row>
    <row r="31" spans="1:47" x14ac:dyDescent="0.25">
      <c r="A31" s="1" t="s">
        <v>51</v>
      </c>
      <c r="B31" s="1" t="s">
        <v>13</v>
      </c>
      <c r="C31" s="1" t="s">
        <v>198</v>
      </c>
      <c r="D31" s="1" t="s">
        <v>743</v>
      </c>
      <c r="E31" s="1" t="s">
        <v>627</v>
      </c>
      <c r="F31" s="80">
        <v>45033</v>
      </c>
      <c r="G31" s="1" t="str">
        <f t="shared" ca="1" si="0"/>
        <v>1 Years, 5 Months, 8 Days</v>
      </c>
      <c r="H31" s="1" t="s">
        <v>101</v>
      </c>
      <c r="I31" s="1" t="s">
        <v>160</v>
      </c>
      <c r="J31" s="5">
        <f t="shared" si="1"/>
        <v>153846.15384615384</v>
      </c>
      <c r="K31" s="2">
        <v>4000000</v>
      </c>
      <c r="L31" s="2">
        <f>IFERROR(J31*((NETWORKDAYS.INTL(SUMMARRY!$B$1,SUMMARRY!$B$2,11))),"")</f>
        <v>4000000</v>
      </c>
      <c r="M31" s="2">
        <v>3000000</v>
      </c>
      <c r="N31" s="2">
        <v>1462759.95</v>
      </c>
      <c r="O31" s="2">
        <v>3701651.15</v>
      </c>
      <c r="P31" s="2">
        <v>1541184.36</v>
      </c>
      <c r="Q31" s="2">
        <v>3540774</v>
      </c>
      <c r="R31" s="2">
        <v>2546435</v>
      </c>
      <c r="S31" s="2">
        <v>2425400</v>
      </c>
      <c r="T31" s="2">
        <v>4165175</v>
      </c>
      <c r="U31" s="2">
        <v>3876501</v>
      </c>
      <c r="V31" s="2">
        <v>4730657</v>
      </c>
      <c r="W31" s="2">
        <v>3872400</v>
      </c>
      <c r="X31" s="2">
        <v>5320295</v>
      </c>
      <c r="Y31" s="2">
        <v>4037890</v>
      </c>
      <c r="Z31" s="6">
        <f t="shared" si="2"/>
        <v>1.0094725</v>
      </c>
      <c r="AA31" s="6" t="str">
        <f t="shared" si="3"/>
        <v>TEAM A</v>
      </c>
      <c r="AB31" s="2">
        <v>160712588.51000002</v>
      </c>
      <c r="AC31" s="2">
        <v>207338.666</v>
      </c>
      <c r="AD31" s="6">
        <f t="shared" si="4"/>
        <v>1.2901208792807091E-3</v>
      </c>
      <c r="AE31" s="2">
        <v>42617691.899999999</v>
      </c>
      <c r="AF31" s="2">
        <v>4037890</v>
      </c>
      <c r="AG31" s="2">
        <v>605700</v>
      </c>
      <c r="AH31" s="2">
        <f t="shared" si="5"/>
        <v>4643590</v>
      </c>
      <c r="AI31" s="6">
        <f t="shared" si="6"/>
        <v>1.1608974999999999</v>
      </c>
      <c r="AJ31" s="1">
        <v>27</v>
      </c>
      <c r="AK31" s="1">
        <v>30</v>
      </c>
      <c r="AL31" s="6">
        <f t="shared" si="9"/>
        <v>0.9</v>
      </c>
      <c r="AM31" s="1">
        <v>12</v>
      </c>
      <c r="AN31" s="1">
        <v>12</v>
      </c>
      <c r="AO31" s="6">
        <f t="shared" si="10"/>
        <v>1</v>
      </c>
      <c r="AP31" s="2">
        <f t="shared" si="11"/>
        <v>1037890</v>
      </c>
      <c r="AQ31" s="2">
        <f t="shared" si="7"/>
        <v>12617.691899999998</v>
      </c>
      <c r="AR31" s="2">
        <f t="shared" si="8"/>
        <v>0</v>
      </c>
      <c r="AS31" s="2">
        <f t="shared" si="12"/>
        <v>15568.349999999999</v>
      </c>
      <c r="AT31" s="2">
        <f t="shared" si="13"/>
        <v>28186.041899999997</v>
      </c>
      <c r="AU31" s="2"/>
    </row>
    <row r="32" spans="1:47" x14ac:dyDescent="0.25">
      <c r="A32" s="1" t="s">
        <v>62</v>
      </c>
      <c r="B32" s="1" t="s">
        <v>30</v>
      </c>
      <c r="C32" s="1" t="s">
        <v>196</v>
      </c>
      <c r="D32" s="1" t="s">
        <v>743</v>
      </c>
      <c r="E32" s="1" t="s">
        <v>627</v>
      </c>
      <c r="F32" s="80">
        <v>44904</v>
      </c>
      <c r="G32" s="1" t="str">
        <f t="shared" ca="1" si="0"/>
        <v>1 Years, 9 Months, 16 Days</v>
      </c>
      <c r="H32" s="1" t="s">
        <v>93</v>
      </c>
      <c r="I32" s="1" t="s">
        <v>133</v>
      </c>
      <c r="J32" s="5">
        <f t="shared" si="1"/>
        <v>153846.15384615384</v>
      </c>
      <c r="K32" s="2">
        <v>4000000</v>
      </c>
      <c r="L32" s="2">
        <f>IFERROR(J32*((NETWORKDAYS.INTL(SUMMARRY!$B$1,SUMMARRY!$B$2,11))),"")</f>
        <v>4000000</v>
      </c>
      <c r="M32" s="2">
        <v>5000000</v>
      </c>
      <c r="N32" s="2">
        <v>860901</v>
      </c>
      <c r="O32" s="2">
        <v>1339179</v>
      </c>
      <c r="P32" s="2">
        <v>624966</v>
      </c>
      <c r="Q32" s="2">
        <v>3293234</v>
      </c>
      <c r="R32" s="2">
        <v>6299798</v>
      </c>
      <c r="S32" s="2">
        <v>4390754</v>
      </c>
      <c r="T32" s="2">
        <v>1539689</v>
      </c>
      <c r="U32" s="2">
        <v>2326269</v>
      </c>
      <c r="V32" s="2">
        <v>8033108</v>
      </c>
      <c r="W32" s="2">
        <v>4463700</v>
      </c>
      <c r="X32" s="2">
        <v>5684400</v>
      </c>
      <c r="Y32" s="2">
        <v>4013300</v>
      </c>
      <c r="Z32" s="6">
        <f t="shared" si="2"/>
        <v>1.003325</v>
      </c>
      <c r="AA32" s="6" t="str">
        <f t="shared" si="3"/>
        <v>TEAM A</v>
      </c>
      <c r="AB32" s="2">
        <v>182528263.59999999</v>
      </c>
      <c r="AC32" s="2">
        <v>657086.52</v>
      </c>
      <c r="AD32" s="6">
        <f t="shared" si="4"/>
        <v>3.599916566565092E-3</v>
      </c>
      <c r="AE32" s="2">
        <v>48119612.25</v>
      </c>
      <c r="AF32" s="2">
        <v>4013300</v>
      </c>
      <c r="AG32" s="2">
        <v>1527100</v>
      </c>
      <c r="AH32" s="2">
        <f t="shared" si="5"/>
        <v>5540400</v>
      </c>
      <c r="AI32" s="6">
        <f t="shared" si="6"/>
        <v>1.3851</v>
      </c>
      <c r="AJ32" s="1">
        <v>15</v>
      </c>
      <c r="AK32" s="1">
        <v>30</v>
      </c>
      <c r="AL32" s="6">
        <f t="shared" si="9"/>
        <v>0.5</v>
      </c>
      <c r="AM32" s="1">
        <v>9</v>
      </c>
      <c r="AN32" s="1">
        <v>12</v>
      </c>
      <c r="AO32" s="6">
        <f t="shared" si="10"/>
        <v>0.75</v>
      </c>
      <c r="AP32" s="2">
        <f t="shared" si="11"/>
        <v>1013300</v>
      </c>
      <c r="AQ32" s="2">
        <f t="shared" si="7"/>
        <v>18119.612250000002</v>
      </c>
      <c r="AR32" s="2">
        <f t="shared" si="8"/>
        <v>0</v>
      </c>
      <c r="AS32" s="2">
        <f t="shared" si="12"/>
        <v>15199.5</v>
      </c>
      <c r="AT32" s="2">
        <f t="shared" si="13"/>
        <v>33319.112250000006</v>
      </c>
      <c r="AU32" s="2"/>
    </row>
    <row r="33" spans="1:47" x14ac:dyDescent="0.25">
      <c r="A33" s="1" t="s">
        <v>531</v>
      </c>
      <c r="B33" s="1" t="s">
        <v>24</v>
      </c>
      <c r="C33" s="1" t="s">
        <v>193</v>
      </c>
      <c r="D33" s="1" t="s">
        <v>743</v>
      </c>
      <c r="E33" s="1" t="s">
        <v>627</v>
      </c>
      <c r="F33" s="80">
        <v>45418</v>
      </c>
      <c r="G33" s="1" t="str">
        <f t="shared" ca="1" si="0"/>
        <v>0 Years, 4 Months, 19 Days</v>
      </c>
      <c r="H33" s="1" t="s">
        <v>530</v>
      </c>
      <c r="I33" s="1" t="s">
        <v>536</v>
      </c>
      <c r="J33" s="5">
        <f t="shared" si="1"/>
        <v>134615.38461538462</v>
      </c>
      <c r="K33" s="2">
        <v>3500000</v>
      </c>
      <c r="L33" s="2">
        <f>IFERROR(J33*((NETWORKDAYS.INTL(SUMMARRY!$B$1,SUMMARRY!$B$2,11))),"")</f>
        <v>3500000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36892</v>
      </c>
      <c r="V33" s="2">
        <v>1095791</v>
      </c>
      <c r="W33" s="2">
        <v>1787400</v>
      </c>
      <c r="X33" s="2">
        <v>2953400</v>
      </c>
      <c r="Y33" s="2">
        <v>2801440</v>
      </c>
      <c r="Z33" s="6">
        <f t="shared" si="2"/>
        <v>0.80041142857142855</v>
      </c>
      <c r="AA33" s="2" t="str">
        <f t="shared" si="3"/>
        <v>TEAM A</v>
      </c>
      <c r="AB33" s="2">
        <v>37450555</v>
      </c>
      <c r="AC33" s="2">
        <v>34580</v>
      </c>
      <c r="AD33" s="6">
        <f t="shared" si="4"/>
        <v>9.2335080214432067E-4</v>
      </c>
      <c r="AE33" s="2">
        <v>9856264</v>
      </c>
      <c r="AF33" s="2">
        <v>2801440</v>
      </c>
      <c r="AG33" s="2">
        <v>1153800</v>
      </c>
      <c r="AH33" s="2">
        <f t="shared" si="5"/>
        <v>3955240</v>
      </c>
      <c r="AI33" s="6">
        <f t="shared" si="6"/>
        <v>1.1300685714285714</v>
      </c>
      <c r="AJ33" s="1">
        <v>15</v>
      </c>
      <c r="AK33" s="1">
        <v>20</v>
      </c>
      <c r="AL33" s="6">
        <f t="shared" si="9"/>
        <v>0.75</v>
      </c>
      <c r="AM33" s="1">
        <v>9</v>
      </c>
      <c r="AN33" s="1">
        <v>8</v>
      </c>
      <c r="AO33" s="6">
        <f t="shared" si="10"/>
        <v>1.125</v>
      </c>
      <c r="AP33" s="2">
        <f t="shared" si="11"/>
        <v>176440</v>
      </c>
      <c r="AQ33" s="2">
        <f t="shared" si="7"/>
        <v>0</v>
      </c>
      <c r="AR33" s="2">
        <f t="shared" si="8"/>
        <v>0</v>
      </c>
      <c r="AS33" s="2">
        <f t="shared" si="12"/>
        <v>1764.4</v>
      </c>
      <c r="AT33" s="2">
        <f>SUM(AQ33:AS33)</f>
        <v>1764.4</v>
      </c>
      <c r="AU33" s="2"/>
    </row>
    <row r="34" spans="1:47" x14ac:dyDescent="0.25">
      <c r="A34" s="1" t="s">
        <v>533</v>
      </c>
      <c r="B34" s="1" t="s">
        <v>26</v>
      </c>
      <c r="C34" s="1" t="s">
        <v>192</v>
      </c>
      <c r="D34" s="1" t="s">
        <v>743</v>
      </c>
      <c r="E34" s="1" t="s">
        <v>627</v>
      </c>
      <c r="F34" s="80">
        <v>45384</v>
      </c>
      <c r="G34" s="1" t="str">
        <f t="shared" ref="G34:G57" ca="1" si="14">DATEDIF(F34, TODAY(), "Y") &amp; " Years, " &amp; DATEDIF(F34, TODAY(), "YM") &amp; " Months, " &amp; DATEDIF(F34, TODAY(), "MD") &amp; " Days"</f>
        <v>0 Years, 5 Months, 23 Days</v>
      </c>
      <c r="H34" s="1" t="s">
        <v>532</v>
      </c>
      <c r="I34" s="1" t="s">
        <v>537</v>
      </c>
      <c r="J34" s="5">
        <f t="shared" ref="J34:J57" si="15">K34/26</f>
        <v>192307.69230769231</v>
      </c>
      <c r="K34" s="2">
        <v>5000000</v>
      </c>
      <c r="L34" s="2">
        <f>IFERROR(J34*((NETWORKDAYS.INTL(SUMMARRY!$B$1,SUMMARRY!$B$2,11))),"")</f>
        <v>5000000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313628</v>
      </c>
      <c r="V34" s="2">
        <v>3105422</v>
      </c>
      <c r="W34" s="2">
        <v>1060613</v>
      </c>
      <c r="X34" s="2">
        <v>4615726</v>
      </c>
      <c r="Y34" s="2">
        <v>3964430</v>
      </c>
      <c r="Z34" s="6">
        <f t="shared" ref="Z34:Z57" si="16">Y34/L34</f>
        <v>0.79288599999999998</v>
      </c>
      <c r="AA34" s="2" t="str">
        <f t="shared" ref="AA34:AA57" si="17">IF(Z34&gt;=80%,"TEAM A","OTHERS")</f>
        <v>OTHERS</v>
      </c>
      <c r="AB34" s="2">
        <v>55042751.380000003</v>
      </c>
      <c r="AC34" s="2">
        <v>91917.097999999998</v>
      </c>
      <c r="AD34" s="6">
        <f t="shared" ref="AD34:AD57" si="18">IFERROR(AC34/AB34,0)</f>
        <v>1.6699219369582319E-3</v>
      </c>
      <c r="AE34" s="2">
        <v>14465929</v>
      </c>
      <c r="AF34" s="2">
        <v>3964430</v>
      </c>
      <c r="AG34" s="2">
        <v>1779700</v>
      </c>
      <c r="AH34" s="2">
        <f t="shared" ref="AH34:AH57" si="19">AG34+Y34</f>
        <v>5744130</v>
      </c>
      <c r="AI34" s="6">
        <f t="shared" ref="AI34:AI57" si="20">AH34/L34</f>
        <v>1.1488259999999999</v>
      </c>
      <c r="AJ34" s="1">
        <v>9</v>
      </c>
      <c r="AK34" s="1">
        <v>30</v>
      </c>
      <c r="AL34" s="6">
        <f t="shared" si="9"/>
        <v>0.3</v>
      </c>
      <c r="AM34" s="1">
        <v>4</v>
      </c>
      <c r="AN34" s="1">
        <v>12</v>
      </c>
      <c r="AO34" s="6">
        <f t="shared" si="10"/>
        <v>0.33333333333333331</v>
      </c>
      <c r="AP34" s="2">
        <f t="shared" si="11"/>
        <v>214430</v>
      </c>
      <c r="AQ34" s="2">
        <f t="shared" ref="AQ34:AQ57" si="21">IF(AND(AE34&gt;=3000000,AD34&lt;=0.005,K34=1000000),(AE34-3000000)*0.005,IF(AND(AE34&gt;=5000000,AD34&lt;=0.005,K34&gt;=1200000,K34&lt;=1500000),(AE34-5000000)*0.005,IF(AND(AE34&gt;=20000000,AD34&lt;=0.01,K34=3500000),(AE34-2000000)*0.001,IF(AND(AE34&gt;=50000000,AD34&lt;=0.01,K34=5000000),(AE34-50000000)*0.001,IF(AND(AE34&gt;=15000000,AD34&lt;=0.01,K34&gt;=200000,K34&lt;=2500000),(AE34-15000000)*0.002,IF(AND(AE34&gt;=30000000,AD34&lt;=0.01,K34=4000000),(AE34-30000000)*0.001,0))))))</f>
        <v>0</v>
      </c>
      <c r="AR34" s="2">
        <f t="shared" ref="AR34:AR57" si="22">IF(AND(Z34&gt;=1, AL34&gt;=1, K34&gt;=4000000, K34&lt;=5000000), 10000, IF(AND(Z34&gt;=1, AL34&gt;=1, K34=3500000), 7500, IF(AND(Z34&gt;=1, AL34&gt;=1, K34&gt;=2000000, K34&lt;=2500000), 5000, 0)))</f>
        <v>0</v>
      </c>
      <c r="AS34" s="2">
        <f t="shared" si="12"/>
        <v>0</v>
      </c>
      <c r="AT34" s="2">
        <f t="shared" si="13"/>
        <v>0</v>
      </c>
      <c r="AU34" s="2"/>
    </row>
    <row r="35" spans="1:47" x14ac:dyDescent="0.25">
      <c r="A35" s="1" t="s">
        <v>64</v>
      </c>
      <c r="B35" s="1" t="s">
        <v>30</v>
      </c>
      <c r="C35" s="1" t="s">
        <v>196</v>
      </c>
      <c r="D35" s="1" t="s">
        <v>743</v>
      </c>
      <c r="E35" s="1" t="s">
        <v>627</v>
      </c>
      <c r="F35" s="80">
        <v>45231</v>
      </c>
      <c r="G35" s="1" t="str">
        <f t="shared" ca="1" si="14"/>
        <v>0 Years, 10 Months, 24 Days</v>
      </c>
      <c r="H35" s="1" t="s">
        <v>107</v>
      </c>
      <c r="I35" s="1" t="s">
        <v>135</v>
      </c>
      <c r="J35" s="5">
        <f t="shared" si="15"/>
        <v>134615.38461538462</v>
      </c>
      <c r="K35" s="2">
        <v>3500000</v>
      </c>
      <c r="L35" s="2">
        <f>IFERROR(J35*((NETWORKDAYS.INTL(SUMMARRY!$B$1,SUMMARRY!$B$2,11))),"")</f>
        <v>3500000</v>
      </c>
      <c r="M35" s="2">
        <v>0</v>
      </c>
      <c r="N35" s="2">
        <v>0</v>
      </c>
      <c r="O35" s="2">
        <v>20000</v>
      </c>
      <c r="P35" s="2">
        <v>40000</v>
      </c>
      <c r="Q35" s="2">
        <v>2100022</v>
      </c>
      <c r="R35" s="2">
        <v>1433163</v>
      </c>
      <c r="S35" s="2">
        <v>1017692</v>
      </c>
      <c r="T35" s="2">
        <v>175049</v>
      </c>
      <c r="U35" s="2">
        <v>1405628</v>
      </c>
      <c r="V35" s="2">
        <v>123612</v>
      </c>
      <c r="W35" s="2">
        <v>499553</v>
      </c>
      <c r="X35" s="2">
        <v>1391700</v>
      </c>
      <c r="Y35" s="2">
        <v>2740400</v>
      </c>
      <c r="Z35" s="6">
        <f t="shared" si="16"/>
        <v>0.78297142857142854</v>
      </c>
      <c r="AA35" s="6" t="str">
        <f t="shared" si="17"/>
        <v>OTHERS</v>
      </c>
      <c r="AB35" s="2">
        <v>42818038.799999997</v>
      </c>
      <c r="AC35" s="2">
        <v>183579.5</v>
      </c>
      <c r="AD35" s="6">
        <f t="shared" si="18"/>
        <v>4.2874336411690113E-3</v>
      </c>
      <c r="AE35" s="2">
        <v>11280318</v>
      </c>
      <c r="AF35" s="2">
        <v>2740400</v>
      </c>
      <c r="AG35" s="2">
        <v>0</v>
      </c>
      <c r="AH35" s="2">
        <f t="shared" si="19"/>
        <v>2740400</v>
      </c>
      <c r="AI35" s="6">
        <f t="shared" si="20"/>
        <v>0.78297142857142854</v>
      </c>
      <c r="AJ35" s="1">
        <v>12</v>
      </c>
      <c r="AK35" s="1">
        <v>20</v>
      </c>
      <c r="AL35" s="6">
        <f t="shared" si="9"/>
        <v>0.6</v>
      </c>
      <c r="AM35" s="1">
        <v>5</v>
      </c>
      <c r="AN35" s="1">
        <v>8</v>
      </c>
      <c r="AO35" s="6">
        <f t="shared" si="10"/>
        <v>0.625</v>
      </c>
      <c r="AP35" s="2">
        <f t="shared" si="11"/>
        <v>115400</v>
      </c>
      <c r="AQ35" s="2">
        <f t="shared" si="21"/>
        <v>0</v>
      </c>
      <c r="AR35" s="2">
        <f t="shared" si="22"/>
        <v>0</v>
      </c>
      <c r="AS35" s="2">
        <f t="shared" si="12"/>
        <v>1154</v>
      </c>
      <c r="AT35" s="2">
        <f t="shared" si="13"/>
        <v>1154</v>
      </c>
      <c r="AU35" s="2"/>
    </row>
    <row r="36" spans="1:47" x14ac:dyDescent="0.25">
      <c r="A36" s="1" t="s">
        <v>57</v>
      </c>
      <c r="B36" s="1" t="s">
        <v>20</v>
      </c>
      <c r="C36" s="1" t="s">
        <v>195</v>
      </c>
      <c r="D36" s="1" t="s">
        <v>743</v>
      </c>
      <c r="E36" s="1" t="s">
        <v>627</v>
      </c>
      <c r="F36" s="80">
        <v>44986</v>
      </c>
      <c r="G36" s="1" t="str">
        <f t="shared" ca="1" si="14"/>
        <v>1 Years, 6 Months, 24 Days</v>
      </c>
      <c r="H36" s="1" t="s">
        <v>99</v>
      </c>
      <c r="I36" s="1" t="s">
        <v>161</v>
      </c>
      <c r="J36" s="5">
        <f t="shared" si="15"/>
        <v>134615.38461538462</v>
      </c>
      <c r="K36" s="2">
        <v>3500000</v>
      </c>
      <c r="L36" s="2">
        <f>IFERROR(J36*((NETWORKDAYS.INTL(SUMMARRY!$B$1,SUMMARRY!$B$2,11))),"")</f>
        <v>3500000</v>
      </c>
      <c r="M36" s="2">
        <v>3500000</v>
      </c>
      <c r="N36" s="2">
        <v>1119937.78</v>
      </c>
      <c r="O36" s="2">
        <v>844877</v>
      </c>
      <c r="P36" s="2">
        <v>1028441</v>
      </c>
      <c r="Q36" s="2">
        <v>1839259</v>
      </c>
      <c r="R36" s="2">
        <v>1626167</v>
      </c>
      <c r="S36" s="2">
        <v>988949</v>
      </c>
      <c r="T36" s="2">
        <v>702581</v>
      </c>
      <c r="U36" s="2">
        <v>4455026</v>
      </c>
      <c r="V36" s="2">
        <f>_xlfn.XLOOKUP(A36,'[2]NEW EXISITNG '!$A:$A,'[2]NEW EXISITNG '!$E:$E,0)</f>
        <v>925800</v>
      </c>
      <c r="W36" s="2">
        <v>1238610</v>
      </c>
      <c r="X36" s="2">
        <v>2132400</v>
      </c>
      <c r="Y36" s="2">
        <v>2696900</v>
      </c>
      <c r="Z36" s="6">
        <f t="shared" si="16"/>
        <v>0.7705428571428572</v>
      </c>
      <c r="AA36" s="6" t="str">
        <f t="shared" si="17"/>
        <v>OTHERS</v>
      </c>
      <c r="AB36" s="2">
        <v>77990510.709999993</v>
      </c>
      <c r="AC36" s="2">
        <v>186749.67285714287</v>
      </c>
      <c r="AD36" s="6">
        <f t="shared" si="18"/>
        <v>2.3945178863048235E-3</v>
      </c>
      <c r="AE36" s="2">
        <v>20899533</v>
      </c>
      <c r="AF36" s="2">
        <v>2696900</v>
      </c>
      <c r="AG36" s="2">
        <v>2573800</v>
      </c>
      <c r="AH36" s="2">
        <f t="shared" si="19"/>
        <v>5270700</v>
      </c>
      <c r="AI36" s="6">
        <f t="shared" si="20"/>
        <v>1.5059142857142858</v>
      </c>
      <c r="AJ36" s="1">
        <v>17</v>
      </c>
      <c r="AK36" s="1">
        <v>20</v>
      </c>
      <c r="AL36" s="6">
        <f t="shared" si="9"/>
        <v>0.85</v>
      </c>
      <c r="AM36" s="1">
        <v>6</v>
      </c>
      <c r="AN36" s="1">
        <v>8</v>
      </c>
      <c r="AO36" s="6">
        <f t="shared" si="10"/>
        <v>0.75</v>
      </c>
      <c r="AP36" s="2">
        <f t="shared" si="11"/>
        <v>71900</v>
      </c>
      <c r="AQ36" s="2">
        <f t="shared" si="21"/>
        <v>18899.532999999999</v>
      </c>
      <c r="AR36" s="2">
        <f t="shared" si="22"/>
        <v>0</v>
      </c>
      <c r="AS36" s="2">
        <f t="shared" si="12"/>
        <v>719</v>
      </c>
      <c r="AT36" s="2">
        <f t="shared" si="13"/>
        <v>19618.532999999999</v>
      </c>
      <c r="AU36" s="2"/>
    </row>
    <row r="37" spans="1:47" x14ac:dyDescent="0.25">
      <c r="A37" s="1" t="s">
        <v>698</v>
      </c>
      <c r="B37" s="1" t="str">
        <f>_xlfn.XLOOKUP(A37,'[1]OGADAS TEAM '!$A:$A,'[1]OGADAS TEAM '!$B:$B,0)</f>
        <v>NAKURU</v>
      </c>
      <c r="C37" s="1" t="s">
        <v>193</v>
      </c>
      <c r="D37" s="1" t="s">
        <v>743</v>
      </c>
      <c r="E37" s="1" t="s">
        <v>627</v>
      </c>
      <c r="F37" s="81">
        <v>45525</v>
      </c>
      <c r="G37" s="1" t="str">
        <f t="shared" ca="1" si="14"/>
        <v>0 Years, 1 Months, 4 Days</v>
      </c>
      <c r="H37" s="1" t="s">
        <v>715</v>
      </c>
      <c r="I37" s="1" t="s">
        <v>732</v>
      </c>
      <c r="J37" s="1">
        <f t="shared" si="15"/>
        <v>46153.846153846156</v>
      </c>
      <c r="K37" s="2">
        <v>1200000</v>
      </c>
      <c r="L37" s="2">
        <f>IFERROR(J37*((NETWORKDAYS.INTL(SUMMARRY!$B$1,SUMMARRY!$B$2,11))),"")</f>
        <v>1200000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916500</v>
      </c>
      <c r="Z37" s="6">
        <f t="shared" si="16"/>
        <v>0.76375000000000004</v>
      </c>
      <c r="AA37" s="2" t="str">
        <f t="shared" si="17"/>
        <v>OTHERS</v>
      </c>
      <c r="AB37" s="2">
        <v>309624</v>
      </c>
      <c r="AC37" s="2">
        <v>0</v>
      </c>
      <c r="AD37" s="6">
        <f t="shared" si="18"/>
        <v>0</v>
      </c>
      <c r="AE37" s="2">
        <v>79800</v>
      </c>
      <c r="AF37" s="2">
        <v>916500</v>
      </c>
      <c r="AG37" s="2">
        <v>0</v>
      </c>
      <c r="AH37" s="2">
        <f t="shared" si="19"/>
        <v>916500</v>
      </c>
      <c r="AI37" s="6">
        <f t="shared" si="20"/>
        <v>0.76375000000000004</v>
      </c>
      <c r="AJ37" s="1">
        <v>3</v>
      </c>
      <c r="AK37" s="1">
        <v>8</v>
      </c>
      <c r="AL37" s="6">
        <f t="shared" si="9"/>
        <v>0.375</v>
      </c>
      <c r="AM37" s="1">
        <v>3</v>
      </c>
      <c r="AN37" s="1">
        <v>0</v>
      </c>
      <c r="AO37" s="6">
        <f t="shared" si="10"/>
        <v>0</v>
      </c>
      <c r="AP37" s="2">
        <f t="shared" si="11"/>
        <v>16500</v>
      </c>
      <c r="AQ37" s="2">
        <f t="shared" si="21"/>
        <v>0</v>
      </c>
      <c r="AR37" s="2">
        <f t="shared" si="22"/>
        <v>0</v>
      </c>
      <c r="AS37" s="2">
        <f t="shared" si="12"/>
        <v>0</v>
      </c>
      <c r="AT37" s="2">
        <f t="shared" si="13"/>
        <v>0</v>
      </c>
      <c r="AU37" s="2"/>
    </row>
    <row r="38" spans="1:47" x14ac:dyDescent="0.25">
      <c r="A38" s="1" t="s">
        <v>697</v>
      </c>
      <c r="B38" s="1" t="str">
        <f>_xlfn.XLOOKUP(A38,'[1]OGADAS TEAM '!$A:$A,'[1]OGADAS TEAM '!$B:$B,0)</f>
        <v>ELDORET</v>
      </c>
      <c r="C38" s="1" t="s">
        <v>193</v>
      </c>
      <c r="D38" s="1" t="s">
        <v>745</v>
      </c>
      <c r="E38" s="1" t="s">
        <v>627</v>
      </c>
      <c r="F38" s="81">
        <v>45525</v>
      </c>
      <c r="G38" s="1" t="str">
        <f t="shared" ca="1" si="14"/>
        <v>0 Years, 1 Months, 4 Days</v>
      </c>
      <c r="H38" s="1" t="s">
        <v>713</v>
      </c>
      <c r="I38" s="1" t="s">
        <v>731</v>
      </c>
      <c r="J38" s="1">
        <f t="shared" si="15"/>
        <v>76923.076923076922</v>
      </c>
      <c r="K38" s="2">
        <v>2000000</v>
      </c>
      <c r="L38" s="2">
        <f>IFERROR(J38*((NETWORKDAYS.INTL(SUMMARRY!$B$1,SUMMARRY!$B$2,11))),"")</f>
        <v>2000000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1461300</v>
      </c>
      <c r="Z38" s="6">
        <f t="shared" si="16"/>
        <v>0.73065000000000002</v>
      </c>
      <c r="AA38" s="2" t="str">
        <f t="shared" si="17"/>
        <v>OTHERS</v>
      </c>
      <c r="AB38" s="2">
        <v>5545023</v>
      </c>
      <c r="AC38" s="2">
        <v>0</v>
      </c>
      <c r="AD38" s="6">
        <f t="shared" si="18"/>
        <v>0</v>
      </c>
      <c r="AE38" s="2">
        <v>1461300</v>
      </c>
      <c r="AF38" s="2">
        <v>1461300</v>
      </c>
      <c r="AG38" s="2">
        <v>582000</v>
      </c>
      <c r="AH38" s="2">
        <f t="shared" si="19"/>
        <v>2043300</v>
      </c>
      <c r="AI38" s="6">
        <f t="shared" si="20"/>
        <v>1.0216499999999999</v>
      </c>
      <c r="AJ38" s="1">
        <v>3</v>
      </c>
      <c r="AK38" s="1">
        <v>12</v>
      </c>
      <c r="AL38" s="6">
        <f t="shared" si="9"/>
        <v>0.25</v>
      </c>
      <c r="AM38" s="1">
        <v>2</v>
      </c>
      <c r="AN38" s="1">
        <v>5</v>
      </c>
      <c r="AO38" s="6">
        <f t="shared" si="10"/>
        <v>0.4</v>
      </c>
      <c r="AP38" s="2">
        <f t="shared" si="11"/>
        <v>0</v>
      </c>
      <c r="AQ38" s="2">
        <f t="shared" si="21"/>
        <v>0</v>
      </c>
      <c r="AR38" s="2">
        <f t="shared" si="22"/>
        <v>0</v>
      </c>
      <c r="AS38" s="2">
        <f t="shared" si="12"/>
        <v>0</v>
      </c>
      <c r="AT38" s="2">
        <f t="shared" si="13"/>
        <v>0</v>
      </c>
      <c r="AU38" s="2"/>
    </row>
    <row r="39" spans="1:47" x14ac:dyDescent="0.25">
      <c r="A39" s="1" t="s">
        <v>590</v>
      </c>
      <c r="B39" s="1" t="s">
        <v>12</v>
      </c>
      <c r="C39" s="1" t="s">
        <v>191</v>
      </c>
      <c r="D39" s="1" t="s">
        <v>743</v>
      </c>
      <c r="E39" s="1" t="s">
        <v>627</v>
      </c>
      <c r="F39" s="80">
        <v>37939</v>
      </c>
      <c r="G39" s="1" t="str">
        <f t="shared" ca="1" si="14"/>
        <v>20 Years, 10 Months, 11 Days</v>
      </c>
      <c r="H39" s="1" t="s">
        <v>589</v>
      </c>
      <c r="I39" s="1" t="s">
        <v>601</v>
      </c>
      <c r="J39" s="5">
        <f t="shared" si="15"/>
        <v>134615.38461538462</v>
      </c>
      <c r="K39" s="2">
        <v>3500000</v>
      </c>
      <c r="L39" s="2">
        <f>IFERROR(J39*((NETWORKDAYS.INTL(SUMMARRY!$B$1,SUMMARRY!$B$2,11))),"")</f>
        <v>3500000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1568400</v>
      </c>
      <c r="W39" s="2">
        <v>2169200</v>
      </c>
      <c r="X39" s="2">
        <v>1206800</v>
      </c>
      <c r="Y39" s="2">
        <v>2484100</v>
      </c>
      <c r="Z39" s="6">
        <f t="shared" si="16"/>
        <v>0.70974285714285712</v>
      </c>
      <c r="AA39" s="2" t="str">
        <f t="shared" si="17"/>
        <v>OTHERS</v>
      </c>
      <c r="AB39" s="2">
        <v>53483659.699999996</v>
      </c>
      <c r="AC39" s="2">
        <v>154166.5</v>
      </c>
      <c r="AD39" s="6">
        <f t="shared" si="18"/>
        <v>2.8824972125084405E-3</v>
      </c>
      <c r="AE39" s="2">
        <v>14116128</v>
      </c>
      <c r="AF39" s="2">
        <v>2484100</v>
      </c>
      <c r="AG39" s="2">
        <v>1089300</v>
      </c>
      <c r="AH39" s="2">
        <f t="shared" si="19"/>
        <v>3573400</v>
      </c>
      <c r="AI39" s="6">
        <f t="shared" si="20"/>
        <v>1.0209714285714286</v>
      </c>
      <c r="AJ39" s="1">
        <v>10</v>
      </c>
      <c r="AK39" s="1">
        <v>20</v>
      </c>
      <c r="AL39" s="6">
        <f t="shared" si="9"/>
        <v>0.5</v>
      </c>
      <c r="AM39" s="1">
        <v>5</v>
      </c>
      <c r="AN39" s="1">
        <v>8</v>
      </c>
      <c r="AO39" s="6">
        <f t="shared" si="10"/>
        <v>0.625</v>
      </c>
      <c r="AP39" s="2">
        <f t="shared" si="11"/>
        <v>0</v>
      </c>
      <c r="AQ39" s="2">
        <f t="shared" si="21"/>
        <v>0</v>
      </c>
      <c r="AR39" s="2">
        <f t="shared" si="22"/>
        <v>0</v>
      </c>
      <c r="AS39" s="2">
        <f t="shared" si="12"/>
        <v>0</v>
      </c>
      <c r="AT39" s="2">
        <f t="shared" si="13"/>
        <v>0</v>
      </c>
      <c r="AU39" s="2"/>
    </row>
    <row r="40" spans="1:47" x14ac:dyDescent="0.25">
      <c r="A40" s="1" t="s">
        <v>58</v>
      </c>
      <c r="B40" s="1" t="s">
        <v>20</v>
      </c>
      <c r="C40" s="1" t="s">
        <v>195</v>
      </c>
      <c r="D40" s="1" t="s">
        <v>743</v>
      </c>
      <c r="E40" s="1" t="s">
        <v>627</v>
      </c>
      <c r="F40" s="80">
        <v>45299</v>
      </c>
      <c r="G40" s="1" t="str">
        <f t="shared" ca="1" si="14"/>
        <v>0 Years, 8 Months, 17 Days</v>
      </c>
      <c r="H40" s="1" t="s">
        <v>108</v>
      </c>
      <c r="I40" s="1" t="s">
        <v>130</v>
      </c>
      <c r="J40" s="5">
        <f t="shared" si="15"/>
        <v>192307.69230769231</v>
      </c>
      <c r="K40" s="2">
        <v>5000000</v>
      </c>
      <c r="L40" s="2">
        <f>IFERROR(J40*((NETWORKDAYS.INTL(SUMMARRY!$B$1,SUMMARRY!$B$2,11))),"")</f>
        <v>5000000</v>
      </c>
      <c r="M40" s="2">
        <v>0</v>
      </c>
      <c r="N40" s="2">
        <v>0</v>
      </c>
      <c r="O40" s="2">
        <v>0</v>
      </c>
      <c r="P40" s="2">
        <v>0</v>
      </c>
      <c r="Q40" s="2">
        <v>30000</v>
      </c>
      <c r="R40" s="2">
        <v>715370</v>
      </c>
      <c r="S40" s="2">
        <v>1871565</v>
      </c>
      <c r="T40" s="2">
        <v>0</v>
      </c>
      <c r="U40" s="2">
        <v>1131004</v>
      </c>
      <c r="V40" s="2">
        <v>4106252</v>
      </c>
      <c r="W40" s="2">
        <v>3482300</v>
      </c>
      <c r="X40" s="2">
        <v>1528900</v>
      </c>
      <c r="Y40" s="2">
        <v>3530009</v>
      </c>
      <c r="Z40" s="6">
        <f t="shared" si="16"/>
        <v>0.70600180000000001</v>
      </c>
      <c r="AA40" s="6" t="str">
        <f t="shared" si="17"/>
        <v>OTHERS</v>
      </c>
      <c r="AB40" s="2">
        <v>61389294.030000001</v>
      </c>
      <c r="AC40" s="2">
        <v>62536</v>
      </c>
      <c r="AD40" s="6">
        <f t="shared" si="18"/>
        <v>1.0186792499916944E-3</v>
      </c>
      <c r="AE40" s="2">
        <v>16226151</v>
      </c>
      <c r="AF40" s="2">
        <v>3530009</v>
      </c>
      <c r="AG40" s="2">
        <v>217000</v>
      </c>
      <c r="AH40" s="2">
        <f t="shared" si="19"/>
        <v>3747009</v>
      </c>
      <c r="AI40" s="6">
        <f t="shared" si="20"/>
        <v>0.74940180000000001</v>
      </c>
      <c r="AJ40" s="1">
        <v>10</v>
      </c>
      <c r="AK40" s="1">
        <v>30</v>
      </c>
      <c r="AL40" s="6">
        <f t="shared" si="9"/>
        <v>0.33333333333333331</v>
      </c>
      <c r="AM40" s="1">
        <v>7</v>
      </c>
      <c r="AN40" s="1">
        <v>12</v>
      </c>
      <c r="AO40" s="6">
        <f t="shared" si="10"/>
        <v>0.58333333333333337</v>
      </c>
      <c r="AP40" s="2">
        <f t="shared" si="11"/>
        <v>0</v>
      </c>
      <c r="AQ40" s="2">
        <f t="shared" si="21"/>
        <v>0</v>
      </c>
      <c r="AR40" s="2">
        <f t="shared" si="22"/>
        <v>0</v>
      </c>
      <c r="AS40" s="2">
        <f t="shared" si="12"/>
        <v>0</v>
      </c>
      <c r="AT40" s="2">
        <f t="shared" si="13"/>
        <v>0</v>
      </c>
      <c r="AU40" s="2"/>
    </row>
    <row r="41" spans="1:47" x14ac:dyDescent="0.25">
      <c r="A41" s="1" t="s">
        <v>588</v>
      </c>
      <c r="B41" s="1" t="s">
        <v>12</v>
      </c>
      <c r="C41" s="1" t="s">
        <v>191</v>
      </c>
      <c r="D41" s="1" t="s">
        <v>743</v>
      </c>
      <c r="E41" s="1" t="s">
        <v>627</v>
      </c>
      <c r="F41" s="80">
        <v>45449</v>
      </c>
      <c r="G41" s="1" t="str">
        <f t="shared" ca="1" si="14"/>
        <v>0 Years, 3 Months, 19 Days</v>
      </c>
      <c r="H41" s="1" t="s">
        <v>210</v>
      </c>
      <c r="I41" s="1" t="s">
        <v>600</v>
      </c>
      <c r="J41" s="5">
        <f t="shared" si="15"/>
        <v>134615.38461538462</v>
      </c>
      <c r="K41" s="2">
        <v>3500000</v>
      </c>
      <c r="L41" s="2">
        <f>IFERROR(J41*((NETWORKDAYS.INTL(SUMMARRY!$B$1,SUMMARRY!$B$2,11))),"")</f>
        <v>3500000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1888700</v>
      </c>
      <c r="W41" s="2">
        <v>2808800</v>
      </c>
      <c r="X41" s="2">
        <v>1990300</v>
      </c>
      <c r="Y41" s="2">
        <v>2327800</v>
      </c>
      <c r="Z41" s="6">
        <f t="shared" si="16"/>
        <v>0.66508571428571428</v>
      </c>
      <c r="AA41" s="2" t="str">
        <f t="shared" si="17"/>
        <v>OTHERS</v>
      </c>
      <c r="AB41" s="2">
        <v>38801601.600000001</v>
      </c>
      <c r="AC41" s="2">
        <v>0</v>
      </c>
      <c r="AD41" s="6">
        <f t="shared" si="18"/>
        <v>0</v>
      </c>
      <c r="AE41" s="2">
        <v>10148472</v>
      </c>
      <c r="AF41" s="2">
        <v>2327800</v>
      </c>
      <c r="AG41" s="2">
        <v>1154900</v>
      </c>
      <c r="AH41" s="2">
        <f t="shared" si="19"/>
        <v>3482700</v>
      </c>
      <c r="AI41" s="6">
        <f t="shared" si="20"/>
        <v>0.99505714285714286</v>
      </c>
      <c r="AJ41" s="1">
        <v>6</v>
      </c>
      <c r="AK41" s="1">
        <v>20</v>
      </c>
      <c r="AL41" s="6">
        <f t="shared" si="9"/>
        <v>0.3</v>
      </c>
      <c r="AM41" s="1">
        <v>2</v>
      </c>
      <c r="AN41" s="1">
        <v>8</v>
      </c>
      <c r="AO41" s="6">
        <f t="shared" si="10"/>
        <v>0.25</v>
      </c>
      <c r="AP41" s="2">
        <f t="shared" si="11"/>
        <v>0</v>
      </c>
      <c r="AQ41" s="2">
        <f t="shared" si="21"/>
        <v>0</v>
      </c>
      <c r="AR41" s="2">
        <f t="shared" si="22"/>
        <v>0</v>
      </c>
      <c r="AS41" s="2">
        <f t="shared" si="12"/>
        <v>0</v>
      </c>
      <c r="AT41" s="2">
        <f t="shared" si="13"/>
        <v>0</v>
      </c>
      <c r="AU41" s="2"/>
    </row>
    <row r="42" spans="1:47" x14ac:dyDescent="0.25">
      <c r="A42" s="1" t="s">
        <v>66</v>
      </c>
      <c r="B42" s="1" t="s">
        <v>30</v>
      </c>
      <c r="C42" s="1" t="s">
        <v>196</v>
      </c>
      <c r="D42" s="1" t="s">
        <v>743</v>
      </c>
      <c r="E42" s="1" t="s">
        <v>627</v>
      </c>
      <c r="F42" s="80">
        <v>45299</v>
      </c>
      <c r="G42" s="1" t="str">
        <f t="shared" ca="1" si="14"/>
        <v>0 Years, 8 Months, 17 Days</v>
      </c>
      <c r="H42" s="1" t="s">
        <v>109</v>
      </c>
      <c r="I42" s="1" t="s">
        <v>137</v>
      </c>
      <c r="J42" s="5">
        <f t="shared" si="15"/>
        <v>134615.38461538462</v>
      </c>
      <c r="K42" s="2">
        <v>3500000</v>
      </c>
      <c r="L42" s="2">
        <f>IFERROR(J42*((NETWORKDAYS.INTL(SUMMARRY!$B$1,SUMMARRY!$B$2,11))),"")</f>
        <v>3500000</v>
      </c>
      <c r="M42" s="2">
        <v>0</v>
      </c>
      <c r="N42" s="2">
        <v>0</v>
      </c>
      <c r="O42" s="2">
        <v>0</v>
      </c>
      <c r="P42" s="2">
        <v>0</v>
      </c>
      <c r="Q42" s="2">
        <v>20700</v>
      </c>
      <c r="R42" s="2">
        <v>889657</v>
      </c>
      <c r="S42" s="2">
        <v>916850</v>
      </c>
      <c r="T42" s="2">
        <v>1942660</v>
      </c>
      <c r="U42" s="2">
        <v>1331989</v>
      </c>
      <c r="V42" s="2">
        <v>1806900</v>
      </c>
      <c r="W42" s="2">
        <v>1602932</v>
      </c>
      <c r="X42" s="2">
        <v>1520900</v>
      </c>
      <c r="Y42" s="2">
        <v>2151800</v>
      </c>
      <c r="Z42" s="6">
        <f t="shared" si="16"/>
        <v>0.61480000000000001</v>
      </c>
      <c r="AA42" s="6" t="str">
        <f t="shared" si="17"/>
        <v>OTHERS</v>
      </c>
      <c r="AB42" s="2">
        <v>47174611.109999999</v>
      </c>
      <c r="AC42" s="2">
        <v>77494.874857142859</v>
      </c>
      <c r="AD42" s="6">
        <f t="shared" si="18"/>
        <v>1.6427241906974749E-3</v>
      </c>
      <c r="AE42" s="2">
        <v>12174606.34</v>
      </c>
      <c r="AF42" s="2">
        <v>2151800</v>
      </c>
      <c r="AG42" s="2">
        <v>179461</v>
      </c>
      <c r="AH42" s="2">
        <f t="shared" si="19"/>
        <v>2331261</v>
      </c>
      <c r="AI42" s="6">
        <f t="shared" si="20"/>
        <v>0.6660745714285714</v>
      </c>
      <c r="AJ42" s="1">
        <v>11</v>
      </c>
      <c r="AK42" s="1">
        <v>20</v>
      </c>
      <c r="AL42" s="6">
        <f t="shared" si="9"/>
        <v>0.55000000000000004</v>
      </c>
      <c r="AM42" s="1">
        <v>7</v>
      </c>
      <c r="AN42" s="1">
        <v>8</v>
      </c>
      <c r="AO42" s="6">
        <f t="shared" si="10"/>
        <v>0.875</v>
      </c>
      <c r="AP42" s="2">
        <f t="shared" si="11"/>
        <v>0</v>
      </c>
      <c r="AQ42" s="2">
        <f t="shared" si="21"/>
        <v>0</v>
      </c>
      <c r="AR42" s="2">
        <f t="shared" si="22"/>
        <v>0</v>
      </c>
      <c r="AS42" s="2">
        <f t="shared" si="12"/>
        <v>0</v>
      </c>
      <c r="AT42" s="2">
        <f t="shared" si="13"/>
        <v>0</v>
      </c>
      <c r="AU42" s="2"/>
    </row>
    <row r="43" spans="1:47" x14ac:dyDescent="0.25">
      <c r="A43" s="1" t="s">
        <v>594</v>
      </c>
      <c r="B43" s="1" t="s">
        <v>13</v>
      </c>
      <c r="C43" s="1" t="s">
        <v>198</v>
      </c>
      <c r="D43" s="1" t="s">
        <v>743</v>
      </c>
      <c r="E43" s="1" t="s">
        <v>627</v>
      </c>
      <c r="F43" s="80">
        <v>45419</v>
      </c>
      <c r="G43" s="1" t="str">
        <f t="shared" ca="1" si="14"/>
        <v>0 Years, 4 Months, 18 Days</v>
      </c>
      <c r="H43" s="1" t="s">
        <v>593</v>
      </c>
      <c r="I43" s="1" t="s">
        <v>603</v>
      </c>
      <c r="J43" s="5">
        <f t="shared" si="15"/>
        <v>134615.38461538462</v>
      </c>
      <c r="K43" s="2">
        <v>3500000</v>
      </c>
      <c r="L43" s="2">
        <f>IFERROR(J43*((NETWORKDAYS.INTL(SUMMARRY!$B$1,SUMMARRY!$B$2,11))),"")</f>
        <v>3500000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30000</v>
      </c>
      <c r="W43" s="2">
        <v>1355500</v>
      </c>
      <c r="X43" s="2">
        <v>1125700</v>
      </c>
      <c r="Y43" s="2">
        <v>2014510</v>
      </c>
      <c r="Z43" s="6">
        <f t="shared" si="16"/>
        <v>0.5755742857142857</v>
      </c>
      <c r="AA43" s="2" t="str">
        <f t="shared" si="17"/>
        <v>OTHERS</v>
      </c>
      <c r="AB43" s="2">
        <v>19872824</v>
      </c>
      <c r="AC43" s="2">
        <v>29665.200000000001</v>
      </c>
      <c r="AD43" s="6">
        <f t="shared" si="18"/>
        <v>1.4927521121306162E-3</v>
      </c>
      <c r="AE43" s="2">
        <v>5175470</v>
      </c>
      <c r="AF43" s="2">
        <v>2014510</v>
      </c>
      <c r="AG43" s="2">
        <v>0</v>
      </c>
      <c r="AH43" s="2">
        <f t="shared" si="19"/>
        <v>2014510</v>
      </c>
      <c r="AI43" s="6">
        <f t="shared" si="20"/>
        <v>0.5755742857142857</v>
      </c>
      <c r="AJ43" s="1">
        <v>16</v>
      </c>
      <c r="AK43" s="1">
        <v>20</v>
      </c>
      <c r="AL43" s="6">
        <f t="shared" si="9"/>
        <v>0.8</v>
      </c>
      <c r="AM43" s="1">
        <v>6</v>
      </c>
      <c r="AN43" s="1">
        <v>8</v>
      </c>
      <c r="AO43" s="6">
        <f t="shared" si="10"/>
        <v>0.75</v>
      </c>
      <c r="AP43" s="2">
        <f t="shared" si="11"/>
        <v>0</v>
      </c>
      <c r="AQ43" s="2">
        <f t="shared" si="21"/>
        <v>0</v>
      </c>
      <c r="AR43" s="2">
        <f t="shared" si="22"/>
        <v>0</v>
      </c>
      <c r="AS43" s="2">
        <f t="shared" si="12"/>
        <v>0</v>
      </c>
      <c r="AT43" s="2">
        <f t="shared" si="13"/>
        <v>0</v>
      </c>
      <c r="AU43" s="2"/>
    </row>
    <row r="44" spans="1:47" x14ac:dyDescent="0.25">
      <c r="A44" s="1" t="s">
        <v>67</v>
      </c>
      <c r="B44" s="1" t="s">
        <v>30</v>
      </c>
      <c r="C44" s="1" t="s">
        <v>196</v>
      </c>
      <c r="D44" s="1" t="s">
        <v>743</v>
      </c>
      <c r="E44" s="1" t="s">
        <v>627</v>
      </c>
      <c r="F44" s="80">
        <v>45299</v>
      </c>
      <c r="G44" s="1" t="str">
        <f t="shared" ca="1" si="14"/>
        <v>0 Years, 8 Months, 17 Days</v>
      </c>
      <c r="H44" s="1" t="s">
        <v>110</v>
      </c>
      <c r="I44" s="1" t="s">
        <v>180</v>
      </c>
      <c r="J44" s="5">
        <f t="shared" si="15"/>
        <v>134615.38461538462</v>
      </c>
      <c r="K44" s="2">
        <v>3500000</v>
      </c>
      <c r="L44" s="2">
        <f>IFERROR(J44*((NETWORKDAYS.INTL(SUMMARRY!$B$1,SUMMARRY!$B$2,11))),"")</f>
        <v>3500000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2160813</v>
      </c>
      <c r="S44" s="2">
        <v>551563</v>
      </c>
      <c r="T44" s="2">
        <v>2811911</v>
      </c>
      <c r="U44" s="2">
        <v>1982483</v>
      </c>
      <c r="V44" s="2">
        <v>1866500</v>
      </c>
      <c r="W44" s="2">
        <v>1977500</v>
      </c>
      <c r="X44" s="2">
        <v>2681000</v>
      </c>
      <c r="Y44" s="2">
        <v>1519500</v>
      </c>
      <c r="Z44" s="6">
        <f t="shared" si="16"/>
        <v>0.43414285714285716</v>
      </c>
      <c r="AA44" s="6" t="str">
        <f t="shared" si="17"/>
        <v>OTHERS</v>
      </c>
      <c r="AB44" s="2">
        <v>57822645.019999996</v>
      </c>
      <c r="AC44" s="2">
        <v>164664.90857142859</v>
      </c>
      <c r="AD44" s="6">
        <f t="shared" si="18"/>
        <v>2.8477581493284066E-3</v>
      </c>
      <c r="AE44" s="2">
        <v>15350501</v>
      </c>
      <c r="AF44" s="2">
        <v>1519500</v>
      </c>
      <c r="AG44" s="2">
        <v>196976</v>
      </c>
      <c r="AH44" s="2">
        <f t="shared" si="19"/>
        <v>1716476</v>
      </c>
      <c r="AI44" s="6">
        <f t="shared" si="20"/>
        <v>0.49042171428571429</v>
      </c>
      <c r="AJ44" s="1">
        <v>11</v>
      </c>
      <c r="AK44" s="1">
        <v>20</v>
      </c>
      <c r="AL44" s="6">
        <f t="shared" si="9"/>
        <v>0.55000000000000004</v>
      </c>
      <c r="AM44" s="1">
        <v>4</v>
      </c>
      <c r="AN44" s="1">
        <v>8</v>
      </c>
      <c r="AO44" s="6">
        <f t="shared" si="10"/>
        <v>0.5</v>
      </c>
      <c r="AP44" s="2">
        <f t="shared" si="11"/>
        <v>0</v>
      </c>
      <c r="AQ44" s="2">
        <f t="shared" si="21"/>
        <v>0</v>
      </c>
      <c r="AR44" s="2">
        <f t="shared" si="22"/>
        <v>0</v>
      </c>
      <c r="AS44" s="2">
        <f t="shared" si="12"/>
        <v>0</v>
      </c>
      <c r="AT44" s="2">
        <f t="shared" si="13"/>
        <v>0</v>
      </c>
      <c r="AU44" s="2"/>
    </row>
    <row r="45" spans="1:47" x14ac:dyDescent="0.25">
      <c r="A45" s="1" t="s">
        <v>63</v>
      </c>
      <c r="B45" s="1" t="s">
        <v>30</v>
      </c>
      <c r="C45" s="1" t="s">
        <v>196</v>
      </c>
      <c r="D45" s="1" t="s">
        <v>743</v>
      </c>
      <c r="E45" s="1" t="s">
        <v>627</v>
      </c>
      <c r="F45" s="80">
        <v>44937</v>
      </c>
      <c r="G45" s="1" t="str">
        <f t="shared" ca="1" si="14"/>
        <v>1 Years, 8 Months, 14 Days</v>
      </c>
      <c r="H45" s="1" t="s">
        <v>106</v>
      </c>
      <c r="I45" s="1" t="s">
        <v>134</v>
      </c>
      <c r="J45" s="5">
        <f t="shared" si="15"/>
        <v>134615.38461538462</v>
      </c>
      <c r="K45" s="2">
        <v>3500000</v>
      </c>
      <c r="L45" s="2">
        <f>IFERROR(J45*((NETWORKDAYS.INTL(SUMMARRY!$B$1,SUMMARRY!$B$2,11))),"")</f>
        <v>3500000</v>
      </c>
      <c r="M45" s="2">
        <v>0</v>
      </c>
      <c r="N45" s="2">
        <v>0</v>
      </c>
      <c r="O45" s="2">
        <v>0</v>
      </c>
      <c r="P45" s="2">
        <v>0</v>
      </c>
      <c r="Q45" s="2">
        <v>1515554</v>
      </c>
      <c r="R45" s="2">
        <v>1188183</v>
      </c>
      <c r="S45" s="2">
        <v>905120</v>
      </c>
      <c r="T45" s="2">
        <v>1141790</v>
      </c>
      <c r="U45" s="2">
        <v>0</v>
      </c>
      <c r="V45" s="2">
        <v>2323786</v>
      </c>
      <c r="W45" s="2">
        <v>934600</v>
      </c>
      <c r="X45" s="2">
        <v>100000</v>
      </c>
      <c r="Y45" s="2">
        <v>1284500</v>
      </c>
      <c r="Z45" s="6">
        <f t="shared" si="16"/>
        <v>0.36699999999999999</v>
      </c>
      <c r="AA45" s="6" t="str">
        <f t="shared" si="17"/>
        <v>OTHERS</v>
      </c>
      <c r="AB45" s="2">
        <v>35653015.649999999</v>
      </c>
      <c r="AC45" s="2">
        <v>5455.2</v>
      </c>
      <c r="AD45" s="6">
        <f t="shared" si="18"/>
        <v>1.5300809484260273E-4</v>
      </c>
      <c r="AE45" s="2">
        <v>9494374</v>
      </c>
      <c r="AF45" s="2">
        <v>1284500</v>
      </c>
      <c r="AG45" s="2">
        <v>0</v>
      </c>
      <c r="AH45" s="2">
        <f t="shared" si="19"/>
        <v>1284500</v>
      </c>
      <c r="AI45" s="6">
        <f t="shared" si="20"/>
        <v>0.36699999999999999</v>
      </c>
      <c r="AJ45" s="1">
        <v>4</v>
      </c>
      <c r="AK45" s="1">
        <v>20</v>
      </c>
      <c r="AL45" s="6">
        <f t="shared" si="9"/>
        <v>0.2</v>
      </c>
      <c r="AM45" s="1">
        <v>2</v>
      </c>
      <c r="AN45" s="1">
        <v>8</v>
      </c>
      <c r="AO45" s="6">
        <f t="shared" si="10"/>
        <v>0.25</v>
      </c>
      <c r="AP45" s="2">
        <f t="shared" si="11"/>
        <v>0</v>
      </c>
      <c r="AQ45" s="2">
        <f t="shared" si="21"/>
        <v>0</v>
      </c>
      <c r="AR45" s="2">
        <f t="shared" si="22"/>
        <v>0</v>
      </c>
      <c r="AS45" s="2">
        <f t="shared" si="12"/>
        <v>0</v>
      </c>
      <c r="AT45" s="2">
        <f t="shared" si="13"/>
        <v>0</v>
      </c>
      <c r="AU45" s="2"/>
    </row>
    <row r="46" spans="1:47" x14ac:dyDescent="0.25">
      <c r="A46" s="1" t="s">
        <v>65</v>
      </c>
      <c r="B46" s="1" t="s">
        <v>30</v>
      </c>
      <c r="C46" s="1" t="s">
        <v>196</v>
      </c>
      <c r="D46" s="1" t="s">
        <v>743</v>
      </c>
      <c r="E46" s="1" t="s">
        <v>627</v>
      </c>
      <c r="F46" s="80">
        <v>45299</v>
      </c>
      <c r="G46" s="1" t="str">
        <f t="shared" ca="1" si="14"/>
        <v>0 Years, 8 Months, 17 Days</v>
      </c>
      <c r="H46" s="1" t="s">
        <v>179</v>
      </c>
      <c r="I46" s="1" t="s">
        <v>136</v>
      </c>
      <c r="J46" s="5">
        <f t="shared" si="15"/>
        <v>134615.38461538462</v>
      </c>
      <c r="K46" s="2">
        <v>3500000</v>
      </c>
      <c r="L46" s="2">
        <f>IFERROR(J46*((NETWORKDAYS.INTL(SUMMARRY!$B$1,SUMMARRY!$B$2,11))),"")</f>
        <v>3500000</v>
      </c>
      <c r="M46" s="2">
        <v>0</v>
      </c>
      <c r="N46" s="2">
        <v>0</v>
      </c>
      <c r="O46" s="2">
        <v>0</v>
      </c>
      <c r="P46" s="2">
        <v>0</v>
      </c>
      <c r="Q46" s="2">
        <v>1846678</v>
      </c>
      <c r="R46" s="2">
        <v>1583684</v>
      </c>
      <c r="S46" s="2">
        <v>38816</v>
      </c>
      <c r="T46" s="2">
        <v>1117898</v>
      </c>
      <c r="U46" s="2">
        <v>626039</v>
      </c>
      <c r="V46" s="2">
        <v>903900</v>
      </c>
      <c r="W46" s="2">
        <v>667600</v>
      </c>
      <c r="X46" s="2">
        <v>1474500</v>
      </c>
      <c r="Y46" s="2">
        <v>934700</v>
      </c>
      <c r="Z46" s="6">
        <f t="shared" si="16"/>
        <v>0.26705714285714288</v>
      </c>
      <c r="AA46" s="6" t="str">
        <f t="shared" si="17"/>
        <v>OTHERS</v>
      </c>
      <c r="AB46" s="2">
        <v>43461979.760000005</v>
      </c>
      <c r="AC46" s="2">
        <v>194200.67</v>
      </c>
      <c r="AD46" s="6">
        <f t="shared" si="18"/>
        <v>4.4682886300253521E-3</v>
      </c>
      <c r="AE46" s="2">
        <v>11392374.1</v>
      </c>
      <c r="AF46" s="2">
        <v>934700</v>
      </c>
      <c r="AG46" s="2">
        <v>1114921</v>
      </c>
      <c r="AH46" s="2">
        <f t="shared" si="19"/>
        <v>2049621</v>
      </c>
      <c r="AI46" s="6">
        <f t="shared" si="20"/>
        <v>0.58560599999999996</v>
      </c>
      <c r="AJ46" s="1">
        <v>4</v>
      </c>
      <c r="AK46" s="1">
        <v>20</v>
      </c>
      <c r="AL46" s="6">
        <f t="shared" si="9"/>
        <v>0.2</v>
      </c>
      <c r="AM46" s="1">
        <v>3</v>
      </c>
      <c r="AN46" s="1">
        <v>8</v>
      </c>
      <c r="AO46" s="6">
        <f t="shared" si="10"/>
        <v>0.375</v>
      </c>
      <c r="AP46" s="2">
        <f t="shared" si="11"/>
        <v>0</v>
      </c>
      <c r="AQ46" s="2">
        <f t="shared" si="21"/>
        <v>0</v>
      </c>
      <c r="AR46" s="2">
        <f t="shared" si="22"/>
        <v>0</v>
      </c>
      <c r="AS46" s="2">
        <f t="shared" si="12"/>
        <v>0</v>
      </c>
      <c r="AT46" s="2">
        <f t="shared" si="13"/>
        <v>0</v>
      </c>
      <c r="AU46" s="2"/>
    </row>
    <row r="47" spans="1:47" x14ac:dyDescent="0.25">
      <c r="A47" s="1" t="s">
        <v>592</v>
      </c>
      <c r="B47" s="1" t="s">
        <v>13</v>
      </c>
      <c r="C47" s="1" t="s">
        <v>198</v>
      </c>
      <c r="D47" s="1" t="s">
        <v>743</v>
      </c>
      <c r="E47" s="1" t="s">
        <v>627</v>
      </c>
      <c r="F47" s="80">
        <v>45439</v>
      </c>
      <c r="G47" s="1" t="str">
        <f t="shared" ca="1" si="14"/>
        <v>0 Years, 3 Months, 29 Days</v>
      </c>
      <c r="H47" s="1" t="s">
        <v>591</v>
      </c>
      <c r="I47" s="1" t="s">
        <v>602</v>
      </c>
      <c r="J47" s="5">
        <f t="shared" si="15"/>
        <v>192307.69230769231</v>
      </c>
      <c r="K47" s="2">
        <v>5000000</v>
      </c>
      <c r="L47" s="2">
        <f>IFERROR(J47*((NETWORKDAYS.INTL(SUMMARRY!$B$1,SUMMARRY!$B$2,11))),"")</f>
        <v>5000000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1121955</v>
      </c>
      <c r="W47" s="2">
        <v>1901630</v>
      </c>
      <c r="X47" s="2">
        <v>2757050</v>
      </c>
      <c r="Y47" s="2">
        <v>1212070</v>
      </c>
      <c r="Z47" s="6">
        <f t="shared" si="16"/>
        <v>0.24241399999999999</v>
      </c>
      <c r="AA47" s="2" t="str">
        <f t="shared" si="17"/>
        <v>OTHERS</v>
      </c>
      <c r="AB47" s="2">
        <v>28131252.600000001</v>
      </c>
      <c r="AC47" s="2">
        <v>111066</v>
      </c>
      <c r="AD47" s="6">
        <f t="shared" si="18"/>
        <v>3.9481356048823787E-3</v>
      </c>
      <c r="AE47" s="2">
        <v>7322015</v>
      </c>
      <c r="AF47" s="2">
        <v>1212070</v>
      </c>
      <c r="AG47" s="2">
        <v>27600</v>
      </c>
      <c r="AH47" s="2">
        <f t="shared" si="19"/>
        <v>1239670</v>
      </c>
      <c r="AI47" s="6">
        <f t="shared" si="20"/>
        <v>0.24793399999999999</v>
      </c>
      <c r="AJ47" s="1">
        <v>12</v>
      </c>
      <c r="AK47" s="1">
        <v>30</v>
      </c>
      <c r="AL47" s="6">
        <f t="shared" si="9"/>
        <v>0.4</v>
      </c>
      <c r="AM47" s="1">
        <v>6</v>
      </c>
      <c r="AN47" s="1">
        <v>12</v>
      </c>
      <c r="AO47" s="6">
        <f t="shared" si="10"/>
        <v>0.5</v>
      </c>
      <c r="AP47" s="2">
        <f t="shared" si="11"/>
        <v>0</v>
      </c>
      <c r="AQ47" s="2">
        <f t="shared" si="21"/>
        <v>0</v>
      </c>
      <c r="AR47" s="2">
        <f t="shared" si="22"/>
        <v>0</v>
      </c>
      <c r="AS47" s="2">
        <f t="shared" si="12"/>
        <v>0</v>
      </c>
      <c r="AT47" s="2">
        <f t="shared" si="13"/>
        <v>0</v>
      </c>
      <c r="AU47" s="2"/>
    </row>
    <row r="48" spans="1:47" x14ac:dyDescent="0.25">
      <c r="A48" s="1" t="s">
        <v>527</v>
      </c>
      <c r="B48" s="1" t="s">
        <v>12</v>
      </c>
      <c r="C48" s="1" t="s">
        <v>191</v>
      </c>
      <c r="D48" s="1" t="s">
        <v>743</v>
      </c>
      <c r="E48" s="1" t="s">
        <v>627</v>
      </c>
      <c r="F48" s="80">
        <v>45397</v>
      </c>
      <c r="G48" s="1" t="str">
        <f t="shared" ca="1" si="14"/>
        <v>0 Years, 5 Months, 10 Days</v>
      </c>
      <c r="H48" s="1" t="s">
        <v>526</v>
      </c>
      <c r="I48" s="1" t="s">
        <v>534</v>
      </c>
      <c r="J48" s="5">
        <f t="shared" si="15"/>
        <v>134615.38461538462</v>
      </c>
      <c r="K48" s="2">
        <v>3500000</v>
      </c>
      <c r="L48" s="2">
        <f>IFERROR(J48*((NETWORKDAYS.INTL(SUMMARRY!$B$1,SUMMARRY!$B$2,11))),"")</f>
        <v>3500000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1198100</v>
      </c>
      <c r="V48" s="2">
        <v>1113152</v>
      </c>
      <c r="W48" s="2">
        <v>1884700</v>
      </c>
      <c r="X48" s="2">
        <v>2328900</v>
      </c>
      <c r="Y48" s="2">
        <v>567500</v>
      </c>
      <c r="Z48" s="6">
        <f t="shared" si="16"/>
        <v>0.16214285714285714</v>
      </c>
      <c r="AA48" s="2" t="str">
        <f t="shared" si="17"/>
        <v>OTHERS</v>
      </c>
      <c r="AB48" s="2">
        <v>29208937.199999999</v>
      </c>
      <c r="AC48" s="2">
        <v>90871.19642857142</v>
      </c>
      <c r="AD48" s="6">
        <f t="shared" si="18"/>
        <v>3.1110750728914377E-3</v>
      </c>
      <c r="AE48" s="2">
        <v>7688143</v>
      </c>
      <c r="AF48" s="2">
        <v>567500</v>
      </c>
      <c r="AG48" s="2">
        <v>509800</v>
      </c>
      <c r="AH48" s="2">
        <f t="shared" si="19"/>
        <v>1077300</v>
      </c>
      <c r="AI48" s="6">
        <f t="shared" si="20"/>
        <v>0.30780000000000002</v>
      </c>
      <c r="AJ48" s="1">
        <v>10</v>
      </c>
      <c r="AK48" s="1">
        <v>20</v>
      </c>
      <c r="AL48" s="6">
        <f t="shared" si="9"/>
        <v>0.5</v>
      </c>
      <c r="AM48" s="1">
        <v>5</v>
      </c>
      <c r="AN48" s="1">
        <v>8</v>
      </c>
      <c r="AO48" s="6">
        <f t="shared" si="10"/>
        <v>0.625</v>
      </c>
      <c r="AP48" s="2">
        <f t="shared" si="11"/>
        <v>0</v>
      </c>
      <c r="AQ48" s="2">
        <f t="shared" si="21"/>
        <v>0</v>
      </c>
      <c r="AR48" s="2">
        <f t="shared" si="22"/>
        <v>0</v>
      </c>
      <c r="AS48" s="2">
        <f t="shared" si="12"/>
        <v>0</v>
      </c>
      <c r="AT48" s="2">
        <f t="shared" si="13"/>
        <v>0</v>
      </c>
      <c r="AU48" s="2"/>
    </row>
    <row r="49" spans="1:47" ht="15.75" thickBot="1" x14ac:dyDescent="0.3">
      <c r="A49" s="1" t="s">
        <v>618</v>
      </c>
      <c r="B49" s="1" t="s">
        <v>30</v>
      </c>
      <c r="C49" s="1" t="s">
        <v>196</v>
      </c>
      <c r="D49" s="1" t="s">
        <v>743</v>
      </c>
      <c r="E49" s="1" t="s">
        <v>627</v>
      </c>
      <c r="F49" s="80">
        <v>45419</v>
      </c>
      <c r="G49" s="1" t="str">
        <f t="shared" ca="1" si="14"/>
        <v>0 Years, 4 Months, 18 Days</v>
      </c>
      <c r="H49" s="1" t="s">
        <v>620</v>
      </c>
      <c r="I49" s="1" t="s">
        <v>631</v>
      </c>
      <c r="J49" s="5">
        <f t="shared" si="15"/>
        <v>134615.38461538462</v>
      </c>
      <c r="K49" s="2">
        <v>3500000</v>
      </c>
      <c r="L49" s="2">
        <f>IFERROR(J49*((NETWORKDAYS.INTL(SUMMARRY!$B$1,SUMMARRY!$B$2,11))),"")</f>
        <v>3500000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487900</v>
      </c>
      <c r="Z49" s="6">
        <f t="shared" si="16"/>
        <v>0.1394</v>
      </c>
      <c r="AA49" s="2" t="str">
        <f t="shared" si="17"/>
        <v>OTHERS</v>
      </c>
      <c r="AB49" s="2">
        <v>3129020</v>
      </c>
      <c r="AC49" s="2">
        <v>0</v>
      </c>
      <c r="AD49" s="6">
        <f t="shared" si="18"/>
        <v>0</v>
      </c>
      <c r="AE49" s="2">
        <v>812732</v>
      </c>
      <c r="AF49" s="2">
        <v>487900</v>
      </c>
      <c r="AG49" s="2">
        <v>0</v>
      </c>
      <c r="AH49" s="2">
        <f t="shared" si="19"/>
        <v>487900</v>
      </c>
      <c r="AI49" s="6">
        <f t="shared" si="20"/>
        <v>0.1394</v>
      </c>
      <c r="AJ49" s="1">
        <v>2</v>
      </c>
      <c r="AK49" s="1">
        <v>20</v>
      </c>
      <c r="AL49" s="6">
        <f t="shared" si="9"/>
        <v>0.1</v>
      </c>
      <c r="AM49" s="1">
        <v>1</v>
      </c>
      <c r="AN49" s="1">
        <v>8</v>
      </c>
      <c r="AO49" s="6">
        <f t="shared" si="10"/>
        <v>0.125</v>
      </c>
      <c r="AP49" s="2">
        <f t="shared" si="11"/>
        <v>0</v>
      </c>
      <c r="AQ49" s="2">
        <f t="shared" si="21"/>
        <v>0</v>
      </c>
      <c r="AR49" s="2">
        <f t="shared" si="22"/>
        <v>0</v>
      </c>
      <c r="AS49" s="2">
        <f t="shared" si="12"/>
        <v>0</v>
      </c>
      <c r="AT49" s="2">
        <f t="shared" si="13"/>
        <v>0</v>
      </c>
      <c r="AU49" s="2"/>
    </row>
    <row r="50" spans="1:47" ht="15.75" thickBot="1" x14ac:dyDescent="0.3">
      <c r="A50" s="1" t="s">
        <v>617</v>
      </c>
      <c r="B50" s="1" t="s">
        <v>17</v>
      </c>
      <c r="C50" s="1" t="s">
        <v>197</v>
      </c>
      <c r="D50" s="1" t="s">
        <v>743</v>
      </c>
      <c r="E50" s="1" t="s">
        <v>627</v>
      </c>
      <c r="F50" s="80">
        <v>45457</v>
      </c>
      <c r="G50" s="1" t="str">
        <f t="shared" ca="1" si="14"/>
        <v>0 Years, 3 Months, 11 Days</v>
      </c>
      <c r="H50" s="106" t="s">
        <v>619</v>
      </c>
      <c r="I50" s="1" t="s">
        <v>621</v>
      </c>
      <c r="J50" s="5">
        <f t="shared" si="15"/>
        <v>134615.38461538462</v>
      </c>
      <c r="K50" s="2">
        <v>3500000</v>
      </c>
      <c r="L50" s="2">
        <f>IFERROR(J50*((NETWORKDAYS.INTL(SUMMARRY!$B$1,SUMMARRY!$B$2,11))),"")</f>
        <v>3500000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584000</v>
      </c>
      <c r="X50" s="2">
        <v>221200</v>
      </c>
      <c r="Y50" s="2">
        <v>475300</v>
      </c>
      <c r="Z50" s="6">
        <f t="shared" si="16"/>
        <v>0.1358</v>
      </c>
      <c r="AA50" s="2" t="str">
        <f t="shared" si="17"/>
        <v>OTHERS</v>
      </c>
      <c r="AB50" s="2">
        <v>11037698</v>
      </c>
      <c r="AC50" s="2">
        <v>7044</v>
      </c>
      <c r="AD50" s="6">
        <f t="shared" si="18"/>
        <v>6.3817654731992122E-4</v>
      </c>
      <c r="AE50" s="2">
        <v>2870800</v>
      </c>
      <c r="AF50" s="2">
        <v>475300</v>
      </c>
      <c r="AG50" s="2">
        <v>730000</v>
      </c>
      <c r="AH50" s="2">
        <f t="shared" si="19"/>
        <v>1205300</v>
      </c>
      <c r="AI50" s="6">
        <f t="shared" si="20"/>
        <v>0.34437142857142855</v>
      </c>
      <c r="AJ50" s="1">
        <v>5</v>
      </c>
      <c r="AK50" s="1">
        <v>20</v>
      </c>
      <c r="AL50" s="6">
        <f t="shared" si="9"/>
        <v>0.25</v>
      </c>
      <c r="AM50" s="1">
        <v>1</v>
      </c>
      <c r="AN50" s="1">
        <v>8</v>
      </c>
      <c r="AO50" s="6">
        <f t="shared" si="10"/>
        <v>0.125</v>
      </c>
      <c r="AP50" s="2">
        <f t="shared" si="11"/>
        <v>0</v>
      </c>
      <c r="AQ50" s="2">
        <f t="shared" si="21"/>
        <v>0</v>
      </c>
      <c r="AR50" s="2">
        <f t="shared" si="22"/>
        <v>0</v>
      </c>
      <c r="AS50" s="2">
        <f t="shared" si="12"/>
        <v>0</v>
      </c>
      <c r="AT50" s="2">
        <f t="shared" si="13"/>
        <v>0</v>
      </c>
      <c r="AU50" s="2"/>
    </row>
    <row r="51" spans="1:47" x14ac:dyDescent="0.25">
      <c r="A51" s="1" t="s">
        <v>704</v>
      </c>
      <c r="B51" s="1" t="str">
        <f>_xlfn.XLOOKUP(A51,'[1]OGADAS TEAM '!$A:$A,'[1]OGADAS TEAM '!$B:$B,0)</f>
        <v>THIKA</v>
      </c>
      <c r="C51" s="1" t="s">
        <v>196</v>
      </c>
      <c r="D51" s="1" t="s">
        <v>745</v>
      </c>
      <c r="E51" s="1" t="s">
        <v>627</v>
      </c>
      <c r="F51" s="81">
        <v>0</v>
      </c>
      <c r="G51" s="1" t="str">
        <f t="shared" ca="1" si="14"/>
        <v>124 Years, 8 Months, 25 Days</v>
      </c>
      <c r="H51" s="85" t="s">
        <v>726</v>
      </c>
      <c r="I51" s="1" t="s">
        <v>738</v>
      </c>
      <c r="J51" s="1">
        <f t="shared" si="15"/>
        <v>76923.076923076922</v>
      </c>
      <c r="K51" s="2">
        <v>2000000</v>
      </c>
      <c r="L51" s="2">
        <f>IFERROR(J51*((NETWORKDAYS.INTL(SUMMARRY!$B$1,SUMMARRY!$B$2,11))),"")</f>
        <v>2000000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100000</v>
      </c>
      <c r="Z51" s="6">
        <f t="shared" si="16"/>
        <v>0.05</v>
      </c>
      <c r="AA51" s="2" t="str">
        <f t="shared" si="17"/>
        <v>OTHERS</v>
      </c>
      <c r="AB51" s="2">
        <v>397120</v>
      </c>
      <c r="AC51" s="2">
        <v>0</v>
      </c>
      <c r="AD51" s="6">
        <f t="shared" si="18"/>
        <v>0</v>
      </c>
      <c r="AE51" s="2">
        <v>130000</v>
      </c>
      <c r="AF51" s="2">
        <v>100000</v>
      </c>
      <c r="AG51" s="2">
        <v>0</v>
      </c>
      <c r="AH51" s="2">
        <f t="shared" si="19"/>
        <v>100000</v>
      </c>
      <c r="AI51" s="6">
        <f t="shared" si="20"/>
        <v>0.05</v>
      </c>
      <c r="AJ51" s="1">
        <v>1</v>
      </c>
      <c r="AK51" s="1">
        <v>12</v>
      </c>
      <c r="AL51" s="6">
        <f t="shared" si="9"/>
        <v>8.3333333333333329E-2</v>
      </c>
      <c r="AM51" s="1">
        <v>1</v>
      </c>
      <c r="AN51" s="1">
        <v>5</v>
      </c>
      <c r="AO51" s="6">
        <f t="shared" si="10"/>
        <v>0.2</v>
      </c>
      <c r="AP51" s="2">
        <f t="shared" si="11"/>
        <v>0</v>
      </c>
      <c r="AQ51" s="2">
        <f t="shared" si="21"/>
        <v>0</v>
      </c>
      <c r="AR51" s="2">
        <f t="shared" si="22"/>
        <v>0</v>
      </c>
      <c r="AS51" s="2">
        <f t="shared" si="12"/>
        <v>0</v>
      </c>
      <c r="AT51" s="2">
        <f t="shared" si="13"/>
        <v>0</v>
      </c>
      <c r="AU51" s="2"/>
    </row>
    <row r="52" spans="1:47" x14ac:dyDescent="0.25">
      <c r="A52" s="1" t="s">
        <v>703</v>
      </c>
      <c r="B52" s="1" t="str">
        <f>_xlfn.XLOOKUP(A52,'[1]OGADAS TEAM '!$A:$A,'[1]OGADAS TEAM '!$B:$B,0)</f>
        <v>THIKA</v>
      </c>
      <c r="C52" s="1" t="s">
        <v>196</v>
      </c>
      <c r="D52" s="1" t="s">
        <v>743</v>
      </c>
      <c r="E52" s="1" t="s">
        <v>627</v>
      </c>
      <c r="F52" s="81">
        <v>45534</v>
      </c>
      <c r="G52" s="1" t="str">
        <f t="shared" ca="1" si="14"/>
        <v>0 Years, 0 Months, 26 Days</v>
      </c>
      <c r="H52" s="1" t="s">
        <v>725</v>
      </c>
      <c r="I52" s="1" t="s">
        <v>737</v>
      </c>
      <c r="J52" s="1">
        <f t="shared" si="15"/>
        <v>96153.846153846156</v>
      </c>
      <c r="K52" s="2">
        <v>2500000</v>
      </c>
      <c r="L52" s="2">
        <f>IFERROR(J52*((NETWORKDAYS.INTL(SUMMARRY!$B$1,SUMMARRY!$B$2,11))),"")</f>
        <v>2500000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100400</v>
      </c>
      <c r="Z52" s="6">
        <f t="shared" si="16"/>
        <v>4.0160000000000001E-2</v>
      </c>
      <c r="AA52" s="2" t="str">
        <f t="shared" si="17"/>
        <v>OTHERS</v>
      </c>
      <c r="AB52" s="2">
        <v>389552</v>
      </c>
      <c r="AC52" s="2">
        <v>0</v>
      </c>
      <c r="AD52" s="6">
        <f t="shared" si="18"/>
        <v>0</v>
      </c>
      <c r="AE52" s="2">
        <v>100400</v>
      </c>
      <c r="AF52" s="2">
        <v>100400</v>
      </c>
      <c r="AG52" s="2">
        <v>0</v>
      </c>
      <c r="AH52" s="2">
        <f t="shared" si="19"/>
        <v>100400</v>
      </c>
      <c r="AI52" s="6">
        <f t="shared" si="20"/>
        <v>4.0160000000000001E-2</v>
      </c>
      <c r="AJ52" s="1">
        <v>1</v>
      </c>
      <c r="AK52" s="1">
        <v>12</v>
      </c>
      <c r="AL52" s="6">
        <f t="shared" si="9"/>
        <v>8.3333333333333329E-2</v>
      </c>
      <c r="AM52" s="1">
        <v>1</v>
      </c>
      <c r="AN52" s="1">
        <v>5</v>
      </c>
      <c r="AO52" s="6">
        <f t="shared" si="10"/>
        <v>0.2</v>
      </c>
      <c r="AP52" s="2">
        <f t="shared" si="11"/>
        <v>0</v>
      </c>
      <c r="AQ52" s="2">
        <f t="shared" si="21"/>
        <v>0</v>
      </c>
      <c r="AR52" s="2">
        <f t="shared" si="22"/>
        <v>0</v>
      </c>
      <c r="AS52" s="2">
        <f t="shared" si="12"/>
        <v>0</v>
      </c>
      <c r="AT52" s="2">
        <f t="shared" si="13"/>
        <v>0</v>
      </c>
      <c r="AU52" s="2"/>
    </row>
    <row r="53" spans="1:47" x14ac:dyDescent="0.25">
      <c r="A53" s="1" t="s">
        <v>705</v>
      </c>
      <c r="B53" s="1" t="str">
        <f>_xlfn.XLOOKUP(A53,'[1]OGADAS TEAM '!$A:$A,'[1]OGADAS TEAM '!$B:$B,0)</f>
        <v>ECOBANK</v>
      </c>
      <c r="C53" s="1" t="s">
        <v>192</v>
      </c>
      <c r="D53" s="1" t="s">
        <v>743</v>
      </c>
      <c r="E53" s="1" t="s">
        <v>627</v>
      </c>
      <c r="F53" s="81">
        <v>45452</v>
      </c>
      <c r="G53" s="1" t="str">
        <f t="shared" ca="1" si="14"/>
        <v>0 Years, 3 Months, 16 Days</v>
      </c>
      <c r="H53" s="1" t="s">
        <v>727</v>
      </c>
      <c r="I53" s="1" t="s">
        <v>739</v>
      </c>
      <c r="J53" s="1">
        <f t="shared" si="15"/>
        <v>153846.15384615384</v>
      </c>
      <c r="K53" s="2">
        <v>4000000</v>
      </c>
      <c r="L53" s="2">
        <f>IFERROR(J53*((NETWORKDAYS.INTL(SUMMARRY!$B$1,SUMMARRY!$B$2,11))),"")</f>
        <v>4000000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105900</v>
      </c>
      <c r="Z53" s="6">
        <f t="shared" si="16"/>
        <v>2.6474999999999999E-2</v>
      </c>
      <c r="AA53" s="2" t="str">
        <f t="shared" si="17"/>
        <v>OTHERS</v>
      </c>
      <c r="AB53" s="2">
        <v>400302</v>
      </c>
      <c r="AC53" s="2">
        <v>0</v>
      </c>
      <c r="AD53" s="6">
        <f t="shared" si="18"/>
        <v>0</v>
      </c>
      <c r="AE53" s="2">
        <v>105900</v>
      </c>
      <c r="AF53" s="2">
        <v>105900</v>
      </c>
      <c r="AG53" s="2">
        <v>0</v>
      </c>
      <c r="AH53" s="2">
        <f t="shared" si="19"/>
        <v>105900</v>
      </c>
      <c r="AI53" s="6">
        <f t="shared" si="20"/>
        <v>2.6474999999999999E-2</v>
      </c>
      <c r="AJ53" s="1">
        <v>1</v>
      </c>
      <c r="AK53" s="1">
        <v>30</v>
      </c>
      <c r="AL53" s="6">
        <f t="shared" si="9"/>
        <v>3.3333333333333333E-2</v>
      </c>
      <c r="AM53" s="1">
        <v>1</v>
      </c>
      <c r="AN53" s="1">
        <v>12</v>
      </c>
      <c r="AO53" s="6">
        <f t="shared" si="10"/>
        <v>8.3333333333333329E-2</v>
      </c>
      <c r="AP53" s="2">
        <f t="shared" si="11"/>
        <v>0</v>
      </c>
      <c r="AQ53" s="2">
        <f t="shared" si="21"/>
        <v>0</v>
      </c>
      <c r="AR53" s="2">
        <f t="shared" si="22"/>
        <v>0</v>
      </c>
      <c r="AS53" s="2">
        <f t="shared" si="12"/>
        <v>0</v>
      </c>
      <c r="AT53" s="2">
        <f t="shared" si="13"/>
        <v>0</v>
      </c>
      <c r="AU53" s="2"/>
    </row>
    <row r="54" spans="1:47" x14ac:dyDescent="0.25">
      <c r="A54" s="1" t="s">
        <v>706</v>
      </c>
      <c r="B54" s="1" t="str">
        <f>_xlfn.XLOOKUP(A54,'[1]OGADAS TEAM '!$A:$A,'[1]OGADAS TEAM '!$B:$B,0)</f>
        <v>THIKA</v>
      </c>
      <c r="C54" s="1" t="s">
        <v>196</v>
      </c>
      <c r="D54" s="1" t="s">
        <v>743</v>
      </c>
      <c r="E54" s="1" t="s">
        <v>627</v>
      </c>
      <c r="F54" s="81">
        <v>45534</v>
      </c>
      <c r="G54" s="1" t="str">
        <f t="shared" ca="1" si="14"/>
        <v>0 Years, 0 Months, 26 Days</v>
      </c>
      <c r="H54" s="1" t="s">
        <v>728</v>
      </c>
      <c r="I54" s="1" t="s">
        <v>740</v>
      </c>
      <c r="J54" s="1">
        <f t="shared" si="15"/>
        <v>96153.846153846156</v>
      </c>
      <c r="K54" s="2">
        <v>2500000</v>
      </c>
      <c r="L54" s="2">
        <f>IFERROR(J54*((NETWORKDAYS.INTL(SUMMARRY!$B$1,SUMMARRY!$B$2,11))),"")</f>
        <v>2500000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50000</v>
      </c>
      <c r="Z54" s="6">
        <f t="shared" si="16"/>
        <v>0.02</v>
      </c>
      <c r="AA54" s="2" t="str">
        <f t="shared" si="17"/>
        <v>OTHERS</v>
      </c>
      <c r="AB54" s="2">
        <v>155000</v>
      </c>
      <c r="AC54" s="2">
        <v>0</v>
      </c>
      <c r="AD54" s="6">
        <f t="shared" si="18"/>
        <v>0</v>
      </c>
      <c r="AE54" s="2">
        <v>50000</v>
      </c>
      <c r="AF54" s="2">
        <v>50000</v>
      </c>
      <c r="AG54" s="2">
        <v>0</v>
      </c>
      <c r="AH54" s="2">
        <f t="shared" si="19"/>
        <v>50000</v>
      </c>
      <c r="AI54" s="6">
        <f t="shared" si="20"/>
        <v>0.02</v>
      </c>
      <c r="AJ54" s="1">
        <v>1</v>
      </c>
      <c r="AK54" s="1">
        <v>12</v>
      </c>
      <c r="AL54" s="6">
        <f t="shared" si="9"/>
        <v>8.3333333333333329E-2</v>
      </c>
      <c r="AM54" s="1">
        <v>0</v>
      </c>
      <c r="AN54" s="1">
        <v>5</v>
      </c>
      <c r="AO54" s="6">
        <f t="shared" si="10"/>
        <v>0</v>
      </c>
      <c r="AP54" s="2">
        <f t="shared" si="11"/>
        <v>0</v>
      </c>
      <c r="AQ54" s="2">
        <f t="shared" si="21"/>
        <v>0</v>
      </c>
      <c r="AR54" s="2">
        <f t="shared" si="22"/>
        <v>0</v>
      </c>
      <c r="AS54" s="2">
        <f t="shared" si="12"/>
        <v>0</v>
      </c>
      <c r="AT54" s="2">
        <f t="shared" si="13"/>
        <v>0</v>
      </c>
      <c r="AU54" s="2"/>
    </row>
    <row r="55" spans="1:47" x14ac:dyDescent="0.25">
      <c r="A55" s="1" t="s">
        <v>707</v>
      </c>
      <c r="B55" s="1" t="str">
        <f>_xlfn.XLOOKUP(A55,'[1]OGADAS TEAM '!$A:$A,'[1]OGADAS TEAM '!$B:$B,0)</f>
        <v>MACHAKOS</v>
      </c>
      <c r="C55" s="1" t="s">
        <v>197</v>
      </c>
      <c r="D55" s="1" t="s">
        <v>743</v>
      </c>
      <c r="E55" s="1" t="s">
        <v>627</v>
      </c>
      <c r="F55" s="81">
        <v>45525</v>
      </c>
      <c r="G55" s="1" t="str">
        <f t="shared" ca="1" si="14"/>
        <v>0 Years, 1 Months, 4 Days</v>
      </c>
      <c r="H55" s="1" t="s">
        <v>721</v>
      </c>
      <c r="I55" s="1" t="s">
        <v>741</v>
      </c>
      <c r="J55" s="1">
        <f t="shared" si="15"/>
        <v>96153.846153846156</v>
      </c>
      <c r="K55" s="2">
        <v>2500000</v>
      </c>
      <c r="L55" s="2">
        <f>IFERROR(J55*((NETWORKDAYS.INTL(SUMMARRY!$B$1,SUMMARRY!$B$2,11))),"")</f>
        <v>2500000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32000</v>
      </c>
      <c r="Z55" s="6">
        <f t="shared" si="16"/>
        <v>1.2800000000000001E-2</v>
      </c>
      <c r="AA55" s="2" t="str">
        <f t="shared" si="17"/>
        <v>OTHERS</v>
      </c>
      <c r="AB55" s="2">
        <v>900928</v>
      </c>
      <c r="AC55" s="2">
        <v>0</v>
      </c>
      <c r="AD55" s="6">
        <f t="shared" si="18"/>
        <v>0</v>
      </c>
      <c r="AE55" s="2">
        <v>232000</v>
      </c>
      <c r="AF55" s="2">
        <v>32000</v>
      </c>
      <c r="AG55" s="2">
        <v>107000</v>
      </c>
      <c r="AH55" s="2">
        <f t="shared" si="19"/>
        <v>139000</v>
      </c>
      <c r="AI55" s="6">
        <f t="shared" si="20"/>
        <v>5.5599999999999997E-2</v>
      </c>
      <c r="AJ55" s="1">
        <v>1</v>
      </c>
      <c r="AK55" s="1">
        <v>12</v>
      </c>
      <c r="AL55" s="6">
        <f t="shared" si="9"/>
        <v>8.3333333333333329E-2</v>
      </c>
      <c r="AM55" s="1">
        <v>1</v>
      </c>
      <c r="AN55" s="1">
        <v>5</v>
      </c>
      <c r="AO55" s="6">
        <f t="shared" si="10"/>
        <v>0.2</v>
      </c>
      <c r="AP55" s="2">
        <f t="shared" si="11"/>
        <v>0</v>
      </c>
      <c r="AQ55" s="2">
        <f t="shared" si="21"/>
        <v>0</v>
      </c>
      <c r="AR55" s="2">
        <f t="shared" si="22"/>
        <v>0</v>
      </c>
      <c r="AS55" s="2">
        <f t="shared" si="12"/>
        <v>0</v>
      </c>
      <c r="AT55" s="2">
        <f t="shared" si="13"/>
        <v>0</v>
      </c>
      <c r="AU55" s="2"/>
    </row>
    <row r="56" spans="1:47" x14ac:dyDescent="0.25">
      <c r="A56" s="1" t="s">
        <v>709</v>
      </c>
      <c r="B56" s="1" t="str">
        <f>_xlfn.XLOOKUP(A56,'[1]OGADAS TEAM '!$A:$A,'[1]OGADAS TEAM '!$B:$B,0)</f>
        <v>NAKURU</v>
      </c>
      <c r="C56" s="1" t="s">
        <v>193</v>
      </c>
      <c r="D56" s="1" t="s">
        <v>745</v>
      </c>
      <c r="E56" s="1" t="s">
        <v>627</v>
      </c>
      <c r="F56" s="81">
        <v>45525</v>
      </c>
      <c r="G56" s="1" t="str">
        <f t="shared" ca="1" si="14"/>
        <v>0 Years, 1 Months, 4 Days</v>
      </c>
      <c r="H56" s="1" t="s">
        <v>719</v>
      </c>
      <c r="J56" s="1">
        <f t="shared" si="15"/>
        <v>76923.076923076922</v>
      </c>
      <c r="K56" s="2">
        <v>2000000</v>
      </c>
      <c r="L56" s="2">
        <f>IFERROR(J56*((NETWORKDAYS.INTL(SUMMARRY!$B$1,SUMMARRY!$B$2,11))),"")</f>
        <v>2000000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6">
        <f t="shared" si="16"/>
        <v>0</v>
      </c>
      <c r="AA56" s="2" t="str">
        <f t="shared" si="17"/>
        <v>OTHERS</v>
      </c>
      <c r="AB56" s="2">
        <v>0</v>
      </c>
      <c r="AC56" s="2">
        <v>0</v>
      </c>
      <c r="AD56" s="6">
        <f t="shared" si="18"/>
        <v>0</v>
      </c>
      <c r="AE56" s="2">
        <v>0</v>
      </c>
      <c r="AF56" s="2">
        <v>0</v>
      </c>
      <c r="AG56" s="2">
        <v>0</v>
      </c>
      <c r="AH56" s="2">
        <f t="shared" si="19"/>
        <v>0</v>
      </c>
      <c r="AI56" s="6">
        <f t="shared" si="20"/>
        <v>0</v>
      </c>
      <c r="AJ56" s="1">
        <v>0</v>
      </c>
      <c r="AK56" s="1">
        <v>12</v>
      </c>
      <c r="AL56" s="6">
        <f t="shared" si="9"/>
        <v>0</v>
      </c>
      <c r="AM56" s="1">
        <v>0</v>
      </c>
      <c r="AN56" s="1">
        <v>5</v>
      </c>
      <c r="AO56" s="6">
        <f t="shared" si="10"/>
        <v>0</v>
      </c>
      <c r="AP56" s="2">
        <f t="shared" si="11"/>
        <v>0</v>
      </c>
      <c r="AQ56" s="2">
        <f t="shared" si="21"/>
        <v>0</v>
      </c>
      <c r="AR56" s="2">
        <f t="shared" si="22"/>
        <v>0</v>
      </c>
      <c r="AS56" s="2">
        <f t="shared" si="12"/>
        <v>0</v>
      </c>
      <c r="AT56" s="2">
        <f t="shared" si="13"/>
        <v>0</v>
      </c>
      <c r="AU56" s="2"/>
    </row>
    <row r="57" spans="1:47" x14ac:dyDescent="0.25">
      <c r="A57" s="1" t="s">
        <v>710</v>
      </c>
      <c r="B57" s="1" t="str">
        <f>_xlfn.XLOOKUP(A57,'[1]OGADAS TEAM '!$A:$A,'[1]OGADAS TEAM '!$B:$B,0)</f>
        <v>THIKA</v>
      </c>
      <c r="C57" s="1" t="s">
        <v>196</v>
      </c>
      <c r="D57" s="1" t="s">
        <v>745</v>
      </c>
      <c r="E57" s="1" t="s">
        <v>627</v>
      </c>
      <c r="F57" s="81">
        <v>45525</v>
      </c>
      <c r="G57" s="1" t="str">
        <f t="shared" ca="1" si="14"/>
        <v>0 Years, 1 Months, 4 Days</v>
      </c>
      <c r="H57" s="1" t="s">
        <v>718</v>
      </c>
      <c r="J57" s="1">
        <f t="shared" si="15"/>
        <v>76923.076923076922</v>
      </c>
      <c r="K57" s="2">
        <v>2000000</v>
      </c>
      <c r="L57" s="2">
        <f>IFERROR(J57*((NETWORKDAYS.INTL(SUMMARRY!$B$1,SUMMARRY!$B$2,11))),"")</f>
        <v>2000000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6">
        <f t="shared" si="16"/>
        <v>0</v>
      </c>
      <c r="AA57" s="2" t="str">
        <f t="shared" si="17"/>
        <v>OTHERS</v>
      </c>
      <c r="AB57" s="2">
        <v>0</v>
      </c>
      <c r="AC57" s="2">
        <v>0</v>
      </c>
      <c r="AD57" s="6">
        <f t="shared" si="18"/>
        <v>0</v>
      </c>
      <c r="AE57" s="2">
        <v>0</v>
      </c>
      <c r="AF57" s="2">
        <v>0</v>
      </c>
      <c r="AG57" s="2">
        <v>0</v>
      </c>
      <c r="AH57" s="2">
        <f t="shared" si="19"/>
        <v>0</v>
      </c>
      <c r="AI57" s="6">
        <f t="shared" si="20"/>
        <v>0</v>
      </c>
      <c r="AJ57" s="1">
        <v>0</v>
      </c>
      <c r="AK57" s="1">
        <v>12</v>
      </c>
      <c r="AL57" s="6">
        <f t="shared" si="9"/>
        <v>0</v>
      </c>
      <c r="AM57" s="1">
        <v>0</v>
      </c>
      <c r="AN57" s="1">
        <v>5</v>
      </c>
      <c r="AO57" s="6">
        <f t="shared" si="10"/>
        <v>0</v>
      </c>
      <c r="AP57" s="2">
        <f t="shared" si="11"/>
        <v>0</v>
      </c>
      <c r="AQ57" s="2">
        <f t="shared" si="21"/>
        <v>0</v>
      </c>
      <c r="AR57" s="2">
        <f t="shared" si="22"/>
        <v>0</v>
      </c>
      <c r="AS57" s="2">
        <f t="shared" si="12"/>
        <v>0</v>
      </c>
      <c r="AT57" s="2">
        <f t="shared" si="13"/>
        <v>0</v>
      </c>
      <c r="AU57" s="2"/>
    </row>
    <row r="58" spans="1:47" x14ac:dyDescent="0.25">
      <c r="M58" s="2"/>
      <c r="N58" s="2"/>
      <c r="O58" s="2"/>
      <c r="P58" s="2"/>
      <c r="Q58" s="2"/>
    </row>
  </sheetData>
  <sortState ref="A2:AI57">
    <sortCondition ref="D2:D57"/>
    <sortCondition descending="1" ref="Z2:Z57"/>
  </sortState>
  <phoneticPr fontId="3" type="noConversion"/>
  <conditionalFormatting sqref="A1:A1048576">
    <cfRule type="duplicateValues" dxfId="19" priority="7"/>
  </conditionalFormatting>
  <conditionalFormatting sqref="AI2:AI57 Z2:Z57">
    <cfRule type="cellIs" dxfId="18" priority="5" operator="between">
      <formula>0.31</formula>
      <formula>0.49</formula>
    </cfRule>
    <cfRule type="cellIs" dxfId="17" priority="6" operator="between">
      <formula>0</formula>
      <formula>0.3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BB32-4222-47DB-9555-99A943642974}">
  <dimension ref="A1:AH13"/>
  <sheetViews>
    <sheetView zoomScaleNormal="100" workbookViewId="0">
      <pane xSplit="1" topLeftCell="S1" activePane="topRight" state="frozen"/>
      <selection pane="topRight" activeCell="E17" sqref="E17"/>
    </sheetView>
  </sheetViews>
  <sheetFormatPr defaultColWidth="9.140625" defaultRowHeight="15" x14ac:dyDescent="0.25"/>
  <cols>
    <col min="1" max="1" width="23.5703125" style="1" bestFit="1" customWidth="1"/>
    <col min="2" max="2" width="9.7109375" style="1" bestFit="1" customWidth="1"/>
    <col min="3" max="3" width="10.85546875" style="1" customWidth="1"/>
    <col min="4" max="4" width="11.28515625" style="80" customWidth="1"/>
    <col min="5" max="5" width="24" style="1" bestFit="1" customWidth="1"/>
    <col min="6" max="6" width="8.7109375" style="1" bestFit="1" customWidth="1"/>
    <col min="7" max="7" width="11.7109375" style="1" bestFit="1" customWidth="1"/>
    <col min="8" max="8" width="10.85546875" style="1" bestFit="1" customWidth="1"/>
    <col min="9" max="9" width="12.28515625" style="1" bestFit="1" customWidth="1"/>
    <col min="10" max="10" width="12.42578125" style="1" bestFit="1" customWidth="1"/>
    <col min="11" max="11" width="12.7109375" style="1" bestFit="1" customWidth="1"/>
    <col min="12" max="14" width="12.28515625" style="1" bestFit="1" customWidth="1"/>
    <col min="15" max="18" width="12.28515625" style="2" bestFit="1" customWidth="1"/>
    <col min="19" max="23" width="12.28515625" style="2" customWidth="1"/>
    <col min="24" max="24" width="11.42578125" style="1" bestFit="1" customWidth="1"/>
    <col min="25" max="25" width="7.5703125" style="1" bestFit="1" customWidth="1"/>
    <col min="26" max="26" width="13.42578125" style="1" bestFit="1" customWidth="1"/>
    <col min="27" max="27" width="13.42578125" style="2" bestFit="1" customWidth="1"/>
    <col min="28" max="28" width="7" style="1" bestFit="1" customWidth="1"/>
    <col min="29" max="29" width="13.42578125" style="1" bestFit="1" customWidth="1"/>
    <col min="30" max="30" width="12.85546875" style="2" bestFit="1" customWidth="1"/>
    <col min="31" max="31" width="17.7109375" style="1" bestFit="1" customWidth="1"/>
    <col min="32" max="32" width="12.28515625" style="1" bestFit="1" customWidth="1"/>
    <col min="33" max="33" width="11.140625" style="1" bestFit="1" customWidth="1"/>
    <col min="34" max="34" width="12.28515625" style="1" bestFit="1" customWidth="1"/>
    <col min="35" max="16384" width="9.140625" style="1"/>
  </cols>
  <sheetData>
    <row r="1" spans="1:34" s="9" customFormat="1" ht="45" x14ac:dyDescent="0.25">
      <c r="A1" s="8" t="s">
        <v>69</v>
      </c>
      <c r="B1" s="8" t="s">
        <v>633</v>
      </c>
      <c r="C1" s="83">
        <v>2024</v>
      </c>
      <c r="D1" s="84" t="s">
        <v>628</v>
      </c>
      <c r="E1" s="8" t="s">
        <v>629</v>
      </c>
      <c r="F1" s="8" t="s">
        <v>78</v>
      </c>
      <c r="G1" s="8" t="s">
        <v>111</v>
      </c>
      <c r="H1" s="8" t="s">
        <v>234</v>
      </c>
      <c r="I1" s="8" t="s">
        <v>173</v>
      </c>
      <c r="J1" s="8" t="s">
        <v>183</v>
      </c>
      <c r="K1" s="7" t="s">
        <v>40</v>
      </c>
      <c r="L1" s="7" t="s">
        <v>43</v>
      </c>
      <c r="M1" s="7" t="s">
        <v>42</v>
      </c>
      <c r="N1" s="7" t="s">
        <v>41</v>
      </c>
      <c r="O1" s="8" t="s">
        <v>39</v>
      </c>
      <c r="P1" s="8" t="s">
        <v>166</v>
      </c>
      <c r="Q1" s="8" t="s">
        <v>233</v>
      </c>
      <c r="R1" s="8" t="s">
        <v>489</v>
      </c>
      <c r="S1" s="8" t="s">
        <v>520</v>
      </c>
      <c r="T1" s="8" t="s">
        <v>580</v>
      </c>
      <c r="U1" s="8" t="s">
        <v>608</v>
      </c>
      <c r="V1" s="8" t="s">
        <v>625</v>
      </c>
      <c r="W1" s="8" t="s">
        <v>659</v>
      </c>
      <c r="X1" s="7" t="s">
        <v>635</v>
      </c>
      <c r="Y1" s="7" t="s">
        <v>486</v>
      </c>
      <c r="Z1" s="7" t="s">
        <v>153</v>
      </c>
      <c r="AA1" s="8" t="s">
        <v>154</v>
      </c>
      <c r="AB1" s="7" t="s">
        <v>156</v>
      </c>
      <c r="AC1" s="7" t="s">
        <v>155</v>
      </c>
      <c r="AD1" s="8" t="s">
        <v>693</v>
      </c>
      <c r="AE1" s="8" t="s">
        <v>215</v>
      </c>
      <c r="AF1" s="8" t="s">
        <v>232</v>
      </c>
      <c r="AG1" s="7" t="s">
        <v>167</v>
      </c>
      <c r="AH1" s="8" t="s">
        <v>159</v>
      </c>
    </row>
    <row r="2" spans="1:34" x14ac:dyDescent="0.25">
      <c r="A2" s="1" t="s">
        <v>72</v>
      </c>
      <c r="B2" s="1" t="s">
        <v>636</v>
      </c>
      <c r="C2" s="1" t="s">
        <v>627</v>
      </c>
      <c r="D2" s="80">
        <v>44206</v>
      </c>
      <c r="E2" s="1" t="str">
        <f ca="1">DATEDIF(D2, TODAY(), "Y") &amp; " Years, " &amp; DATEDIF(D2, TODAY(), "YM") &amp; " Months, " &amp; DATEDIF(D2, TODAY(), "MD") &amp; " Days"</f>
        <v>3 Years, 8 Months, 15 Days</v>
      </c>
      <c r="F2" s="1" t="s">
        <v>87</v>
      </c>
      <c r="G2" s="1" t="s">
        <v>113</v>
      </c>
      <c r="H2" s="5">
        <f t="shared" ref="H2:H12" si="0">I2/26</f>
        <v>76923.076923076922</v>
      </c>
      <c r="I2" s="2">
        <v>2000000</v>
      </c>
      <c r="J2" s="2">
        <f>IFERROR(H2*((NETWORKDAYS.INTL(SUMMARRY!$B$1,SUMMARRY!$B$2,11))),"")</f>
        <v>2000000</v>
      </c>
      <c r="K2" s="2">
        <v>3000000</v>
      </c>
      <c r="L2" s="2">
        <v>1961819</v>
      </c>
      <c r="M2" s="2">
        <v>1395000</v>
      </c>
      <c r="N2" s="2">
        <v>1750000</v>
      </c>
      <c r="O2" s="2">
        <v>2110000</v>
      </c>
      <c r="P2" s="2">
        <v>2730000</v>
      </c>
      <c r="Q2" s="2">
        <v>2700000</v>
      </c>
      <c r="R2" s="2">
        <v>2700000</v>
      </c>
      <c r="S2" s="2">
        <v>3280000</v>
      </c>
      <c r="T2" s="2">
        <v>2220000</v>
      </c>
      <c r="U2" s="2">
        <v>2835000</v>
      </c>
      <c r="V2" s="2">
        <v>175000</v>
      </c>
      <c r="W2" s="2">
        <v>2150000</v>
      </c>
      <c r="X2" s="6">
        <f>W2/J2</f>
        <v>1.075</v>
      </c>
      <c r="Y2" s="6" t="str">
        <f t="shared" ref="Y2:Y12" si="1">IF(X2&gt;=80%,"TEAM A","OTHERS")</f>
        <v>TEAM A</v>
      </c>
      <c r="Z2" s="2">
        <v>5381502.54</v>
      </c>
      <c r="AA2" s="2">
        <v>28992</v>
      </c>
      <c r="AB2" s="6">
        <f t="shared" ref="AB2:AB12" si="2">IFERROR(AA2/Z2,0)</f>
        <v>5.3873429928735107E-3</v>
      </c>
      <c r="AC2" s="2">
        <v>3697348.92</v>
      </c>
      <c r="AD2" s="2">
        <v>2150120</v>
      </c>
      <c r="AE2" s="2">
        <f t="shared" ref="AE2:AE12" si="3">IF(AD2&gt;I2,AD2-I2,0)</f>
        <v>150120</v>
      </c>
      <c r="AF2" s="5">
        <f t="shared" ref="AF2:AF12" si="4">AD2-AE2</f>
        <v>2000000</v>
      </c>
      <c r="AG2" s="1">
        <v>3</v>
      </c>
      <c r="AH2" s="5">
        <f>IFERROR((AF2*2%)+(AE2*3%)+IF(AND(AC2&gt;10000000,AB2&lt;1.5%),0.1%*(AC2-10000000),0),0)+(AG2*500)</f>
        <v>46003.6</v>
      </c>
    </row>
    <row r="3" spans="1:34" x14ac:dyDescent="0.25">
      <c r="A3" s="1" t="s">
        <v>70</v>
      </c>
      <c r="B3" s="1" t="s">
        <v>636</v>
      </c>
      <c r="C3" s="1" t="s">
        <v>627</v>
      </c>
      <c r="D3" s="80">
        <v>44199</v>
      </c>
      <c r="E3" s="1" t="str">
        <f t="shared" ref="E3:E12" ca="1" si="5">DATEDIF(D3, TODAY(), "Y") &amp; " Years, " &amp; DATEDIF(D3, TODAY(), "YM") &amp; " Months, " &amp; DATEDIF(D3, TODAY(), "MD") &amp; " Days"</f>
        <v>3 Years, 8 Months, 22 Days</v>
      </c>
      <c r="F3" s="1" t="s">
        <v>84</v>
      </c>
      <c r="G3" s="1" t="s">
        <v>163</v>
      </c>
      <c r="H3" s="5">
        <f t="shared" si="0"/>
        <v>76923.076923076922</v>
      </c>
      <c r="I3" s="2">
        <v>2000000</v>
      </c>
      <c r="J3" s="2">
        <f>IFERROR(H3*((NETWORKDAYS.INTL(SUMMARRY!$B$1,SUMMARRY!$B$2,11))),"")</f>
        <v>2000000</v>
      </c>
      <c r="K3" s="2">
        <v>3000000</v>
      </c>
      <c r="L3" s="2">
        <v>590000</v>
      </c>
      <c r="M3" s="2">
        <v>3029000</v>
      </c>
      <c r="N3" s="2">
        <v>4240000</v>
      </c>
      <c r="O3" s="2">
        <v>1678000</v>
      </c>
      <c r="P3" s="2">
        <v>3032000</v>
      </c>
      <c r="Q3" s="2">
        <v>2562000</v>
      </c>
      <c r="R3" s="2">
        <v>1920000</v>
      </c>
      <c r="S3" s="2">
        <v>1170000</v>
      </c>
      <c r="T3" s="2">
        <v>5270000</v>
      </c>
      <c r="U3" s="2">
        <v>2497667</v>
      </c>
      <c r="V3" s="2">
        <v>3490000</v>
      </c>
      <c r="W3" s="2">
        <v>1924000</v>
      </c>
      <c r="X3" s="6">
        <f t="shared" ref="X3:X12" si="6">W3/J3</f>
        <v>0.96199999999999997</v>
      </c>
      <c r="Y3" s="6" t="str">
        <f t="shared" si="1"/>
        <v>TEAM A</v>
      </c>
      <c r="Z3" s="2">
        <v>23116463.840000004</v>
      </c>
      <c r="AA3" s="2">
        <v>4117506.31</v>
      </c>
      <c r="AB3" s="6">
        <f t="shared" si="2"/>
        <v>0.17812007660424239</v>
      </c>
      <c r="AC3" s="2">
        <v>14773030.389999999</v>
      </c>
      <c r="AD3" s="2">
        <v>1636582</v>
      </c>
      <c r="AE3" s="2">
        <f t="shared" si="3"/>
        <v>0</v>
      </c>
      <c r="AF3" s="5">
        <f t="shared" si="4"/>
        <v>1636582</v>
      </c>
      <c r="AG3" s="1">
        <v>6</v>
      </c>
      <c r="AH3" s="5">
        <f t="shared" ref="AH3:AH12" si="7">IFERROR((AF3*2%)+(AE3*3%)+IF(AND(AC3&gt;10000000,AB3&lt;1.5%),0.1%*(AC3-10000000),0),0)+(AG3*500)</f>
        <v>35731.64</v>
      </c>
    </row>
    <row r="4" spans="1:34" x14ac:dyDescent="0.25">
      <c r="A4" s="1" t="s">
        <v>74</v>
      </c>
      <c r="B4" s="1" t="s">
        <v>636</v>
      </c>
      <c r="C4" s="1" t="s">
        <v>627</v>
      </c>
      <c r="D4" s="80">
        <v>44193</v>
      </c>
      <c r="E4" s="1" t="str">
        <f t="shared" ca="1" si="5"/>
        <v>3 Years, 8 Months, 28 Days</v>
      </c>
      <c r="F4" s="1" t="s">
        <v>83</v>
      </c>
      <c r="G4" s="1" t="s">
        <v>115</v>
      </c>
      <c r="H4" s="5">
        <f t="shared" si="0"/>
        <v>96153.846153846156</v>
      </c>
      <c r="I4" s="2">
        <v>2500000</v>
      </c>
      <c r="J4" s="2">
        <f>IFERROR(H4*((NETWORKDAYS.INTL(SUMMARRY!$B$1,SUMMARRY!$B$2,11))),"")</f>
        <v>2500000</v>
      </c>
      <c r="K4" s="2">
        <v>3000000</v>
      </c>
      <c r="L4" s="2">
        <v>1753000</v>
      </c>
      <c r="M4" s="2">
        <v>2756300</v>
      </c>
      <c r="N4" s="2">
        <v>4321800</v>
      </c>
      <c r="O4" s="2">
        <v>1152000</v>
      </c>
      <c r="P4" s="2">
        <v>2352000</v>
      </c>
      <c r="Q4" s="2">
        <v>2118874</v>
      </c>
      <c r="R4" s="2">
        <v>1750000</v>
      </c>
      <c r="S4" s="2">
        <v>3339500</v>
      </c>
      <c r="T4" s="2">
        <v>1552000</v>
      </c>
      <c r="U4" s="2">
        <v>2117000</v>
      </c>
      <c r="V4" s="2">
        <v>1019900</v>
      </c>
      <c r="W4" s="2">
        <v>1724409</v>
      </c>
      <c r="X4" s="6">
        <f t="shared" si="6"/>
        <v>0.68976360000000003</v>
      </c>
      <c r="Y4" s="6" t="str">
        <f t="shared" si="1"/>
        <v>OTHERS</v>
      </c>
      <c r="Z4" s="2">
        <v>28467113.170000002</v>
      </c>
      <c r="AA4" s="2">
        <v>2625006.7200000007</v>
      </c>
      <c r="AB4" s="6">
        <f t="shared" si="2"/>
        <v>9.2211904464073222E-2</v>
      </c>
      <c r="AC4" s="2">
        <v>14933057.560000002</v>
      </c>
      <c r="AD4" s="2">
        <v>1724469</v>
      </c>
      <c r="AE4" s="2">
        <f t="shared" si="3"/>
        <v>0</v>
      </c>
      <c r="AF4" s="5">
        <f t="shared" si="4"/>
        <v>1724469</v>
      </c>
      <c r="AG4" s="1">
        <v>7</v>
      </c>
      <c r="AH4" s="5">
        <f t="shared" si="7"/>
        <v>37989.379999999997</v>
      </c>
    </row>
    <row r="5" spans="1:34" x14ac:dyDescent="0.25">
      <c r="A5" s="1" t="s">
        <v>77</v>
      </c>
      <c r="B5" s="1" t="s">
        <v>636</v>
      </c>
      <c r="C5" s="1" t="s">
        <v>627</v>
      </c>
      <c r="D5" s="80">
        <v>43661</v>
      </c>
      <c r="E5" s="1" t="str">
        <f t="shared" ca="1" si="5"/>
        <v>5 Years, 2 Months, 10 Days</v>
      </c>
      <c r="F5" s="1" t="s">
        <v>79</v>
      </c>
      <c r="G5" s="1" t="s">
        <v>118</v>
      </c>
      <c r="H5" s="5">
        <f t="shared" si="0"/>
        <v>96153.846153846156</v>
      </c>
      <c r="I5" s="2">
        <v>2500000</v>
      </c>
      <c r="J5" s="2">
        <f>IFERROR(H5*((NETWORKDAYS.INTL(SUMMARRY!$B$1,SUMMARRY!$B$2,11))),"")</f>
        <v>2500000</v>
      </c>
      <c r="K5" s="2">
        <v>3000000</v>
      </c>
      <c r="L5" s="2">
        <v>310135</v>
      </c>
      <c r="M5" s="2">
        <v>521428</v>
      </c>
      <c r="N5" s="2">
        <v>853635</v>
      </c>
      <c r="O5" s="2">
        <v>896294</v>
      </c>
      <c r="P5" s="2">
        <v>1290000</v>
      </c>
      <c r="Q5" s="2">
        <v>2128000</v>
      </c>
      <c r="R5" s="2">
        <v>1652000</v>
      </c>
      <c r="S5" s="2">
        <v>1300000</v>
      </c>
      <c r="T5" s="2">
        <v>936400</v>
      </c>
      <c r="U5" s="2">
        <v>1928300</v>
      </c>
      <c r="V5" s="2">
        <v>807000</v>
      </c>
      <c r="W5" s="2">
        <v>1339600</v>
      </c>
      <c r="X5" s="6">
        <f t="shared" si="6"/>
        <v>0.53583999999999998</v>
      </c>
      <c r="Y5" s="6" t="str">
        <f t="shared" si="1"/>
        <v>OTHERS</v>
      </c>
      <c r="Z5" s="2">
        <v>16519629.290000003</v>
      </c>
      <c r="AA5" s="2">
        <v>753751.39</v>
      </c>
      <c r="AB5" s="6">
        <f t="shared" si="2"/>
        <v>4.5627621344764446E-2</v>
      </c>
      <c r="AC5" s="2">
        <v>8575414</v>
      </c>
      <c r="AD5" s="2">
        <v>1339720</v>
      </c>
      <c r="AE5" s="2">
        <f t="shared" si="3"/>
        <v>0</v>
      </c>
      <c r="AF5" s="5">
        <f t="shared" si="4"/>
        <v>1339720</v>
      </c>
      <c r="AG5" s="1">
        <v>4</v>
      </c>
      <c r="AH5" s="5">
        <f t="shared" si="7"/>
        <v>28794.400000000001</v>
      </c>
    </row>
    <row r="6" spans="1:34" x14ac:dyDescent="0.25">
      <c r="A6" s="1" t="s">
        <v>76</v>
      </c>
      <c r="B6" s="1" t="s">
        <v>636</v>
      </c>
      <c r="C6" s="1" t="s">
        <v>627</v>
      </c>
      <c r="D6" s="80">
        <v>44984</v>
      </c>
      <c r="E6" s="1" t="str">
        <f t="shared" ca="1" si="5"/>
        <v>1 Years, 6 Months, 29 Days</v>
      </c>
      <c r="F6" s="1" t="s">
        <v>98</v>
      </c>
      <c r="G6" s="1" t="s">
        <v>117</v>
      </c>
      <c r="H6" s="5">
        <f t="shared" si="0"/>
        <v>76923.076923076922</v>
      </c>
      <c r="I6" s="2">
        <v>2000000</v>
      </c>
      <c r="J6" s="2">
        <f>IFERROR(H6*((NETWORKDAYS.INTL(SUMMARRY!$B$1,SUMMARRY!$B$2,11))),"")</f>
        <v>2000000</v>
      </c>
      <c r="K6" s="2">
        <v>3000000</v>
      </c>
      <c r="L6" s="2">
        <v>1763500</v>
      </c>
      <c r="M6" s="2">
        <v>1453231</v>
      </c>
      <c r="N6" s="2">
        <v>1726125</v>
      </c>
      <c r="O6" s="2">
        <v>0</v>
      </c>
      <c r="P6" s="2">
        <v>2457000</v>
      </c>
      <c r="Q6" s="2">
        <v>4691501.6900000004</v>
      </c>
      <c r="R6" s="2">
        <v>2427982</v>
      </c>
      <c r="S6" s="2">
        <v>1149308</v>
      </c>
      <c r="T6" s="2">
        <v>1037400</v>
      </c>
      <c r="U6" s="2">
        <v>1566975</v>
      </c>
      <c r="V6" s="2">
        <v>758398</v>
      </c>
      <c r="W6" s="2">
        <v>2282600</v>
      </c>
      <c r="X6" s="6">
        <f t="shared" si="6"/>
        <v>1.1413</v>
      </c>
      <c r="Y6" s="6" t="str">
        <f t="shared" si="1"/>
        <v>TEAM A</v>
      </c>
      <c r="Z6" s="2">
        <v>32362585.189999998</v>
      </c>
      <c r="AA6" s="2">
        <v>490704.42000000004</v>
      </c>
      <c r="AB6" s="6">
        <f t="shared" si="2"/>
        <v>1.5162707710743305E-2</v>
      </c>
      <c r="AC6" s="2">
        <v>12480436.520000001</v>
      </c>
      <c r="AD6" s="2">
        <v>2282600</v>
      </c>
      <c r="AE6" s="2">
        <f t="shared" si="3"/>
        <v>282600</v>
      </c>
      <c r="AF6" s="5">
        <f t="shared" si="4"/>
        <v>2000000</v>
      </c>
      <c r="AG6" s="1">
        <v>2</v>
      </c>
      <c r="AH6" s="5">
        <f t="shared" si="7"/>
        <v>49478</v>
      </c>
    </row>
    <row r="7" spans="1:34" x14ac:dyDescent="0.25">
      <c r="A7" s="1" t="s">
        <v>73</v>
      </c>
      <c r="B7" s="1" t="s">
        <v>636</v>
      </c>
      <c r="C7" s="1" t="s">
        <v>627</v>
      </c>
      <c r="D7" s="80">
        <v>45240</v>
      </c>
      <c r="E7" s="1" t="str">
        <f t="shared" ca="1" si="5"/>
        <v>0 Years, 10 Months, 15 Days</v>
      </c>
      <c r="F7" s="1" t="s">
        <v>105</v>
      </c>
      <c r="G7" s="1" t="s">
        <v>114</v>
      </c>
      <c r="H7" s="5">
        <f t="shared" si="0"/>
        <v>96153.846153846156</v>
      </c>
      <c r="I7" s="2">
        <v>2500000</v>
      </c>
      <c r="J7" s="2">
        <f>IFERROR(H7*((NETWORKDAYS.INTL(SUMMARRY!$B$1,SUMMARRY!$B$2,11))),"")</f>
        <v>2500000</v>
      </c>
      <c r="K7" s="2">
        <v>0</v>
      </c>
      <c r="L7" s="2">
        <v>0</v>
      </c>
      <c r="M7" s="2">
        <v>1899310</v>
      </c>
      <c r="N7" s="2">
        <v>1339499</v>
      </c>
      <c r="O7" s="2">
        <v>1749500</v>
      </c>
      <c r="P7" s="2">
        <v>1705016</v>
      </c>
      <c r="Q7" s="2">
        <v>1665497</v>
      </c>
      <c r="R7" s="2">
        <v>5070866</v>
      </c>
      <c r="S7" s="2">
        <v>2314000</v>
      </c>
      <c r="T7" s="2">
        <v>1774000</v>
      </c>
      <c r="U7" s="2">
        <v>1004400</v>
      </c>
      <c r="V7" s="2">
        <v>1697700</v>
      </c>
      <c r="W7" s="2">
        <v>1856500</v>
      </c>
      <c r="X7" s="6">
        <f t="shared" si="6"/>
        <v>0.74260000000000004</v>
      </c>
      <c r="Y7" s="6" t="str">
        <f t="shared" si="1"/>
        <v>OTHERS</v>
      </c>
      <c r="Z7" s="2">
        <v>25905561.23</v>
      </c>
      <c r="AA7" s="2">
        <v>323668.62999999995</v>
      </c>
      <c r="AB7" s="6">
        <f t="shared" si="2"/>
        <v>1.2494175560465167E-2</v>
      </c>
      <c r="AC7" s="2">
        <v>10102310.039999999</v>
      </c>
      <c r="AD7" s="2">
        <v>1166793</v>
      </c>
      <c r="AE7" s="2">
        <f t="shared" si="3"/>
        <v>0</v>
      </c>
      <c r="AF7" s="5">
        <f t="shared" si="4"/>
        <v>1166793</v>
      </c>
      <c r="AG7" s="1">
        <v>9</v>
      </c>
      <c r="AH7" s="5">
        <f t="shared" si="7"/>
        <v>27938.170040000001</v>
      </c>
    </row>
    <row r="8" spans="1:34" x14ac:dyDescent="0.25">
      <c r="A8" s="1" t="s">
        <v>539</v>
      </c>
      <c r="B8" s="1" t="s">
        <v>636</v>
      </c>
      <c r="C8" s="1" t="s">
        <v>627</v>
      </c>
      <c r="D8" s="80">
        <v>45384</v>
      </c>
      <c r="E8" s="1" t="str">
        <f t="shared" ca="1" si="5"/>
        <v>0 Years, 5 Months, 23 Days</v>
      </c>
      <c r="F8" s="1" t="s">
        <v>543</v>
      </c>
      <c r="G8" s="1" t="s">
        <v>541</v>
      </c>
      <c r="H8" s="5">
        <f t="shared" si="0"/>
        <v>96153.846153846156</v>
      </c>
      <c r="I8" s="2">
        <v>2500000</v>
      </c>
      <c r="J8" s="2">
        <f>IFERROR(H8*((NETWORKDAYS.INTL(SUMMARRY!$B$1,SUMMARRY!$B$2,11))),"")</f>
        <v>2500000</v>
      </c>
      <c r="K8" s="2">
        <v>3000000</v>
      </c>
      <c r="L8" s="2">
        <v>2168307.7999999998</v>
      </c>
      <c r="M8" s="2">
        <v>3550000</v>
      </c>
      <c r="N8" s="2">
        <v>1775230</v>
      </c>
      <c r="O8" s="2">
        <v>300000</v>
      </c>
      <c r="P8" s="2">
        <v>0</v>
      </c>
      <c r="Q8" s="2">
        <v>1395000</v>
      </c>
      <c r="R8" s="2">
        <v>220000</v>
      </c>
      <c r="S8" s="2">
        <v>142968</v>
      </c>
      <c r="T8" s="2">
        <v>950485</v>
      </c>
      <c r="U8" s="2">
        <v>764500</v>
      </c>
      <c r="V8" s="2">
        <v>762300</v>
      </c>
      <c r="W8" s="2">
        <v>2266400</v>
      </c>
      <c r="X8" s="6">
        <f t="shared" si="6"/>
        <v>0.90656000000000003</v>
      </c>
      <c r="Y8" s="6" t="str">
        <f t="shared" si="1"/>
        <v>TEAM A</v>
      </c>
      <c r="Z8" s="2">
        <v>8646407.2199999988</v>
      </c>
      <c r="AA8" s="2">
        <v>86182.76</v>
      </c>
      <c r="AB8" s="6">
        <f t="shared" si="2"/>
        <v>9.9674648448954285E-3</v>
      </c>
      <c r="AC8" s="2">
        <v>4637231.08</v>
      </c>
      <c r="AD8" s="2">
        <v>2266400</v>
      </c>
      <c r="AE8" s="2">
        <f t="shared" si="3"/>
        <v>0</v>
      </c>
      <c r="AF8" s="5">
        <f t="shared" si="4"/>
        <v>2266400</v>
      </c>
      <c r="AG8" s="1">
        <v>3</v>
      </c>
      <c r="AH8" s="5">
        <f t="shared" si="7"/>
        <v>46828</v>
      </c>
    </row>
    <row r="9" spans="1:34" x14ac:dyDescent="0.25">
      <c r="A9" s="1" t="s">
        <v>75</v>
      </c>
      <c r="B9" s="1" t="s">
        <v>636</v>
      </c>
      <c r="C9" s="1" t="s">
        <v>627</v>
      </c>
      <c r="D9" s="80">
        <v>44725</v>
      </c>
      <c r="E9" s="1" t="str">
        <f t="shared" ca="1" si="5"/>
        <v>2 Years, 3 Months, 12 Days</v>
      </c>
      <c r="F9" s="1" t="s">
        <v>91</v>
      </c>
      <c r="G9" s="1" t="s">
        <v>116</v>
      </c>
      <c r="H9" s="5">
        <f t="shared" si="0"/>
        <v>96153.846153846156</v>
      </c>
      <c r="I9" s="2">
        <v>2500000</v>
      </c>
      <c r="J9" s="2">
        <f>IFERROR(H9*((NETWORKDAYS.INTL(SUMMARRY!$B$1,SUMMARRY!$B$2,11))),"")</f>
        <v>2500000</v>
      </c>
      <c r="K9" s="2">
        <v>3000000</v>
      </c>
      <c r="L9" s="2">
        <v>1825000</v>
      </c>
      <c r="M9" s="2">
        <v>783356</v>
      </c>
      <c r="N9" s="2">
        <v>987000</v>
      </c>
      <c r="O9" s="2">
        <v>2200880</v>
      </c>
      <c r="P9" s="2">
        <v>2487000</v>
      </c>
      <c r="Q9" s="2">
        <v>1005034</v>
      </c>
      <c r="R9" s="2">
        <v>1615000</v>
      </c>
      <c r="S9" s="2">
        <v>1266230</v>
      </c>
      <c r="T9" s="2">
        <v>1117400</v>
      </c>
      <c r="U9" s="2">
        <v>532500</v>
      </c>
      <c r="V9" s="2">
        <v>934400</v>
      </c>
      <c r="W9" s="2">
        <v>1979400</v>
      </c>
      <c r="X9" s="6">
        <f t="shared" si="6"/>
        <v>0.79176000000000002</v>
      </c>
      <c r="Y9" s="6" t="str">
        <f t="shared" si="1"/>
        <v>OTHERS</v>
      </c>
      <c r="Z9" s="2">
        <v>2175728.46</v>
      </c>
      <c r="AA9" s="2">
        <v>23169.41</v>
      </c>
      <c r="AB9" s="6">
        <f t="shared" si="2"/>
        <v>1.0649035679755735E-2</v>
      </c>
      <c r="AC9" s="2">
        <v>989168.58</v>
      </c>
      <c r="AD9" s="2">
        <v>1979580</v>
      </c>
      <c r="AE9" s="2">
        <f t="shared" si="3"/>
        <v>0</v>
      </c>
      <c r="AF9" s="5">
        <f t="shared" si="4"/>
        <v>1979580</v>
      </c>
      <c r="AG9" s="1">
        <v>2</v>
      </c>
      <c r="AH9" s="5">
        <f t="shared" si="7"/>
        <v>40591.599999999999</v>
      </c>
    </row>
    <row r="10" spans="1:34" x14ac:dyDescent="0.25">
      <c r="A10" s="1" t="s">
        <v>71</v>
      </c>
      <c r="B10" s="1" t="s">
        <v>636</v>
      </c>
      <c r="C10" s="1" t="s">
        <v>627</v>
      </c>
      <c r="D10" s="80">
        <v>43961</v>
      </c>
      <c r="E10" s="1" t="str">
        <f t="shared" ca="1" si="5"/>
        <v>4 Years, 4 Months, 15 Days</v>
      </c>
      <c r="F10" s="1" t="s">
        <v>81</v>
      </c>
      <c r="G10" s="1">
        <v>66</v>
      </c>
      <c r="H10" s="5">
        <f t="shared" si="0"/>
        <v>96153.846153846156</v>
      </c>
      <c r="I10" s="2">
        <v>2500000</v>
      </c>
      <c r="J10" s="2">
        <f>IFERROR(H10*((NETWORKDAYS.INTL(SUMMARRY!$B$1,SUMMARRY!$B$2,11))),"")</f>
        <v>2500000</v>
      </c>
      <c r="K10" s="2">
        <v>3000000</v>
      </c>
      <c r="L10" s="2">
        <v>1717846</v>
      </c>
      <c r="M10" s="2">
        <v>1535116</v>
      </c>
      <c r="N10" s="2">
        <v>852329</v>
      </c>
      <c r="O10" s="2">
        <v>1001198</v>
      </c>
      <c r="P10" s="2">
        <v>1715267</v>
      </c>
      <c r="Q10" s="2">
        <v>2026399</v>
      </c>
      <c r="R10" s="2">
        <v>1810094</v>
      </c>
      <c r="S10" s="2">
        <v>923104</v>
      </c>
      <c r="T10" s="2">
        <v>900300</v>
      </c>
      <c r="U10" s="2">
        <v>587600</v>
      </c>
      <c r="V10" s="2">
        <v>854300</v>
      </c>
      <c r="W10" s="2">
        <v>1180100</v>
      </c>
      <c r="X10" s="6">
        <f t="shared" si="6"/>
        <v>0.47204000000000002</v>
      </c>
      <c r="Y10" s="6" t="str">
        <f t="shared" si="1"/>
        <v>OTHERS</v>
      </c>
      <c r="Z10" s="2">
        <v>19933988.110000003</v>
      </c>
      <c r="AA10" s="2">
        <v>849273.42999999993</v>
      </c>
      <c r="AB10" s="6">
        <f t="shared" si="2"/>
        <v>4.2604290988513073E-2</v>
      </c>
      <c r="AC10" s="2">
        <v>5918238.21</v>
      </c>
      <c r="AD10" s="2">
        <v>580163</v>
      </c>
      <c r="AE10" s="2">
        <f t="shared" si="3"/>
        <v>0</v>
      </c>
      <c r="AF10" s="5">
        <f t="shared" si="4"/>
        <v>580163</v>
      </c>
      <c r="AG10" s="1">
        <v>0</v>
      </c>
      <c r="AH10" s="5">
        <f t="shared" si="7"/>
        <v>11603.26</v>
      </c>
    </row>
    <row r="11" spans="1:34" x14ac:dyDescent="0.25">
      <c r="A11" s="1" t="s">
        <v>538</v>
      </c>
      <c r="B11" s="1" t="s">
        <v>636</v>
      </c>
      <c r="C11" s="1" t="s">
        <v>627</v>
      </c>
      <c r="D11" s="80">
        <v>45384</v>
      </c>
      <c r="E11" s="1" t="str">
        <f t="shared" ca="1" si="5"/>
        <v>0 Years, 5 Months, 23 Days</v>
      </c>
      <c r="F11" s="1" t="s">
        <v>542</v>
      </c>
      <c r="G11" s="1" t="s">
        <v>540</v>
      </c>
      <c r="H11" s="5">
        <f t="shared" si="0"/>
        <v>96153.846153846156</v>
      </c>
      <c r="I11" s="2">
        <v>2500000</v>
      </c>
      <c r="J11" s="2">
        <f>IFERROR(H11*((NETWORKDAYS.INTL(SUMMARRY!$B$1,SUMMARRY!$B$2,11))),"")</f>
        <v>2500000</v>
      </c>
      <c r="K11" s="2">
        <v>3000000</v>
      </c>
      <c r="L11" s="2">
        <v>2168307.7999999998</v>
      </c>
      <c r="M11" s="2">
        <v>3550000</v>
      </c>
      <c r="N11" s="2">
        <v>1775230</v>
      </c>
      <c r="O11" s="2">
        <v>300000</v>
      </c>
      <c r="P11" s="2">
        <v>0</v>
      </c>
      <c r="Q11" s="2">
        <v>1395000</v>
      </c>
      <c r="R11" s="2">
        <v>220000</v>
      </c>
      <c r="S11" s="2">
        <v>0</v>
      </c>
      <c r="T11" s="2">
        <v>315900</v>
      </c>
      <c r="U11" s="2">
        <v>225000</v>
      </c>
      <c r="V11" s="2">
        <v>867000</v>
      </c>
      <c r="W11" s="2">
        <v>1040300</v>
      </c>
      <c r="X11" s="6">
        <f t="shared" si="6"/>
        <v>0.41611999999999999</v>
      </c>
      <c r="Y11" s="6" t="str">
        <f t="shared" si="1"/>
        <v>OTHERS</v>
      </c>
      <c r="Z11" s="2">
        <v>3238979.96</v>
      </c>
      <c r="AA11" s="2">
        <v>49335.96</v>
      </c>
      <c r="AB11" s="6">
        <f t="shared" si="2"/>
        <v>1.5231943577693516E-2</v>
      </c>
      <c r="AC11" s="2">
        <v>2005729.35</v>
      </c>
      <c r="AD11" s="2">
        <v>1040300</v>
      </c>
      <c r="AE11" s="2">
        <f t="shared" si="3"/>
        <v>0</v>
      </c>
      <c r="AF11" s="5">
        <f t="shared" si="4"/>
        <v>1040300</v>
      </c>
      <c r="AG11" s="1">
        <v>0</v>
      </c>
      <c r="AH11" s="5">
        <f t="shared" si="7"/>
        <v>20806</v>
      </c>
    </row>
    <row r="12" spans="1:34" x14ac:dyDescent="0.25">
      <c r="A12" s="1" t="s">
        <v>690</v>
      </c>
      <c r="B12" s="1" t="s">
        <v>636</v>
      </c>
      <c r="C12" s="1" t="s">
        <v>627</v>
      </c>
      <c r="D12" s="80">
        <v>45452</v>
      </c>
      <c r="E12" s="1" t="str">
        <f t="shared" ca="1" si="5"/>
        <v>0 Years, 3 Months, 16 Days</v>
      </c>
      <c r="F12" s="1" t="s">
        <v>691</v>
      </c>
      <c r="G12" s="1" t="s">
        <v>692</v>
      </c>
      <c r="H12" s="5">
        <f t="shared" si="0"/>
        <v>28846.153846153848</v>
      </c>
      <c r="I12" s="2">
        <v>750000</v>
      </c>
      <c r="J12" s="2">
        <f>IFERROR(H12*((NETWORKDAYS.INTL(SUMMARRY!$B$1,SUMMARRY!$B$2,11))),"")</f>
        <v>750000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161000</v>
      </c>
      <c r="W12" s="2">
        <v>85300</v>
      </c>
      <c r="X12" s="6">
        <f t="shared" si="6"/>
        <v>0.11373333333333334</v>
      </c>
      <c r="Y12" s="1" t="str">
        <f t="shared" si="1"/>
        <v>OTHERS</v>
      </c>
      <c r="Z12" s="2">
        <v>328900</v>
      </c>
      <c r="AA12" s="2">
        <v>0</v>
      </c>
      <c r="AB12" s="6">
        <f t="shared" si="2"/>
        <v>0</v>
      </c>
      <c r="AC12" s="2">
        <v>85300</v>
      </c>
      <c r="AD12" s="2">
        <v>85300</v>
      </c>
      <c r="AE12" s="2">
        <f t="shared" si="3"/>
        <v>0</v>
      </c>
      <c r="AF12" s="5">
        <f t="shared" si="4"/>
        <v>85300</v>
      </c>
      <c r="AG12" s="1">
        <v>0</v>
      </c>
      <c r="AH12" s="5">
        <f t="shared" si="7"/>
        <v>1706</v>
      </c>
    </row>
    <row r="13" spans="1:34" x14ac:dyDescent="0.25">
      <c r="AH13" s="5"/>
    </row>
  </sheetData>
  <sortState ref="A2:AH11">
    <sortCondition descending="1" ref="X2:X11"/>
  </sortState>
  <phoneticPr fontId="3" type="noConversion"/>
  <conditionalFormatting sqref="A13:E13 A1:E1 A2:A12 A25:E1048576 B14:E24">
    <cfRule type="duplicateValues" dxfId="16" priority="13"/>
  </conditionalFormatting>
  <conditionalFormatting sqref="AE13:AE1048576 A1:E1 A13:E13 A2:A12 A25:E1048576 B14:E24">
    <cfRule type="duplicateValues" dxfId="15" priority="12"/>
  </conditionalFormatting>
  <conditionalFormatting sqref="X2:X12">
    <cfRule type="cellIs" dxfId="14" priority="10" operator="between">
      <formula>0.31</formula>
      <formula>0.49</formula>
    </cfRule>
    <cfRule type="cellIs" dxfId="13" priority="11" operator="between">
      <formula>0</formula>
      <formula>0.3</formula>
    </cfRule>
  </conditionalFormatting>
  <conditionalFormatting sqref="F13:F1048576 F1:F11">
    <cfRule type="duplicateValues" dxfId="12" priority="8"/>
  </conditionalFormatting>
  <conditionalFormatting sqref="F12">
    <cfRule type="duplicateValues" dxfId="11" priority="6"/>
  </conditionalFormatting>
  <conditionalFormatting sqref="A14:A24">
    <cfRule type="duplicateValues" dxfId="10" priority="3"/>
  </conditionalFormatting>
  <conditionalFormatting sqref="A1:A1048576">
    <cfRule type="duplicateValues" dxfId="9" priority="2"/>
  </conditionalFormatting>
  <conditionalFormatting sqref="A12">
    <cfRule type="duplicateValues" dxfId="8" priority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F103-C2E5-45CC-9A79-EFB6178000FA}">
  <dimension ref="A1:AF72"/>
  <sheetViews>
    <sheetView topLeftCell="A10" workbookViewId="0">
      <pane xSplit="1" topLeftCell="B1" activePane="topRight" state="frozen"/>
      <selection pane="topRight" activeCell="C16" sqref="C16"/>
    </sheetView>
  </sheetViews>
  <sheetFormatPr defaultColWidth="9.140625" defaultRowHeight="15" x14ac:dyDescent="0.25"/>
  <cols>
    <col min="1" max="1" width="29.28515625" style="1" bestFit="1" customWidth="1"/>
    <col min="2" max="2" width="20.7109375" style="1" bestFit="1" customWidth="1"/>
    <col min="3" max="3" width="21" style="1" bestFit="1" customWidth="1"/>
    <col min="4" max="4" width="16.42578125" style="1" bestFit="1" customWidth="1"/>
    <col min="5" max="6" width="16.28515625" style="1" bestFit="1" customWidth="1"/>
    <col min="7" max="7" width="16.140625" style="1" bestFit="1" customWidth="1"/>
    <col min="8" max="9" width="17.5703125" style="1" bestFit="1" customWidth="1"/>
    <col min="10" max="10" width="16.85546875" style="1" bestFit="1" customWidth="1"/>
    <col min="11" max="11" width="16.85546875" style="1" customWidth="1"/>
    <col min="12" max="12" width="14.7109375" style="1" bestFit="1" customWidth="1"/>
    <col min="13" max="13" width="15.28515625" style="1" bestFit="1" customWidth="1"/>
    <col min="14" max="15" width="15.28515625" style="1" customWidth="1"/>
    <col min="16" max="16" width="14.7109375" style="1" bestFit="1" customWidth="1"/>
    <col min="17" max="19" width="14.7109375" style="1" customWidth="1"/>
    <col min="20" max="20" width="11.42578125" style="1" bestFit="1" customWidth="1"/>
    <col min="21" max="21" width="14.5703125" style="1" customWidth="1"/>
    <col min="22" max="22" width="15.28515625" style="1" customWidth="1"/>
    <col min="23" max="23" width="11.28515625" style="1" customWidth="1"/>
    <col min="24" max="24" width="15.28515625" style="1" customWidth="1"/>
    <col min="25" max="25" width="14.85546875" style="1" customWidth="1"/>
    <col min="26" max="26" width="13.7109375" style="1" customWidth="1"/>
    <col min="27" max="27" width="16.28515625" style="1" customWidth="1"/>
    <col min="28" max="28" width="14.28515625" style="1" customWidth="1"/>
    <col min="29" max="29" width="13.7109375" style="1" customWidth="1"/>
    <col min="30" max="30" width="14" style="1" customWidth="1"/>
    <col min="31" max="31" width="9.85546875" style="1" bestFit="1" customWidth="1"/>
    <col min="32" max="32" width="14" style="1" customWidth="1"/>
    <col min="33" max="16384" width="9.140625" style="1"/>
  </cols>
  <sheetData>
    <row r="1" spans="1:20" s="9" customFormat="1" ht="30" x14ac:dyDescent="0.25">
      <c r="A1" s="7" t="s">
        <v>184</v>
      </c>
      <c r="B1" s="7" t="s">
        <v>78</v>
      </c>
      <c r="C1" s="7" t="s">
        <v>1</v>
      </c>
      <c r="D1" s="7" t="s">
        <v>234</v>
      </c>
      <c r="E1" s="8" t="s">
        <v>173</v>
      </c>
      <c r="F1" s="8" t="s">
        <v>183</v>
      </c>
      <c r="G1" s="7" t="s">
        <v>40</v>
      </c>
      <c r="H1" s="7" t="s">
        <v>43</v>
      </c>
      <c r="I1" s="7" t="s">
        <v>42</v>
      </c>
      <c r="J1" s="7" t="s">
        <v>41</v>
      </c>
      <c r="K1" s="7" t="s">
        <v>39</v>
      </c>
      <c r="L1" s="7" t="s">
        <v>166</v>
      </c>
      <c r="M1" s="7" t="s">
        <v>233</v>
      </c>
      <c r="N1" s="7" t="s">
        <v>489</v>
      </c>
      <c r="O1" s="7" t="s">
        <v>520</v>
      </c>
      <c r="P1" s="7" t="s">
        <v>580</v>
      </c>
      <c r="Q1" s="7" t="s">
        <v>608</v>
      </c>
      <c r="R1" s="7" t="s">
        <v>625</v>
      </c>
      <c r="S1" s="7" t="s">
        <v>659</v>
      </c>
      <c r="T1" s="8" t="s">
        <v>164</v>
      </c>
    </row>
    <row r="2" spans="1:20" x14ac:dyDescent="0.25">
      <c r="A2" s="1" t="s">
        <v>185</v>
      </c>
      <c r="B2" s="1" t="s">
        <v>206</v>
      </c>
      <c r="C2" s="1" t="s">
        <v>26</v>
      </c>
      <c r="D2" s="5">
        <f>E2/24</f>
        <v>5437500</v>
      </c>
      <c r="E2" s="2">
        <v>130500000</v>
      </c>
      <c r="F2" s="2">
        <f>E2</f>
        <v>130500000</v>
      </c>
      <c r="G2" s="2">
        <v>81719999.99999997</v>
      </c>
      <c r="H2" s="2">
        <v>111740856</v>
      </c>
      <c r="I2" s="2">
        <v>99381504</v>
      </c>
      <c r="J2" s="2">
        <v>42057331</v>
      </c>
      <c r="K2" s="2">
        <v>82244093</v>
      </c>
      <c r="L2" s="2">
        <v>95136560</v>
      </c>
      <c r="M2" s="2">
        <v>85917755</v>
      </c>
      <c r="N2" s="2">
        <v>63160893</v>
      </c>
      <c r="O2" s="2">
        <v>85618478</v>
      </c>
      <c r="P2" s="2">
        <v>78524842.650000006</v>
      </c>
      <c r="Q2" s="2">
        <v>157486993.76999998</v>
      </c>
      <c r="R2" s="2">
        <v>92080749.299999997</v>
      </c>
      <c r="S2" s="2">
        <v>101188356.40000001</v>
      </c>
      <c r="T2" s="6">
        <f>S2/F2</f>
        <v>0.77538970421455944</v>
      </c>
    </row>
    <row r="3" spans="1:20" x14ac:dyDescent="0.25">
      <c r="C3" s="1" t="s">
        <v>30</v>
      </c>
      <c r="D3" s="5">
        <f t="shared" ref="D3:D14" si="0">E3/24</f>
        <v>3104166.6666666665</v>
      </c>
      <c r="E3" s="2">
        <v>74500000</v>
      </c>
      <c r="F3" s="2">
        <f t="shared" ref="F3:F14" si="1">E3</f>
        <v>74500000</v>
      </c>
      <c r="G3" s="2">
        <v>67919999.99999997</v>
      </c>
      <c r="H3" s="2">
        <v>14400036</v>
      </c>
      <c r="I3" s="2">
        <v>9651238</v>
      </c>
      <c r="J3" s="2">
        <v>35325267.670000002</v>
      </c>
      <c r="K3" s="2">
        <v>18272720</v>
      </c>
      <c r="L3" s="2">
        <v>41590236</v>
      </c>
      <c r="M3" s="2">
        <v>22991076</v>
      </c>
      <c r="N3" s="2">
        <v>29350298</v>
      </c>
      <c r="O3" s="2">
        <v>36939896</v>
      </c>
      <c r="P3" s="2">
        <v>36618077</v>
      </c>
      <c r="Q3" s="2">
        <v>25362057.25</v>
      </c>
      <c r="R3" s="2">
        <v>24132502</v>
      </c>
      <c r="S3" s="2">
        <v>26270280</v>
      </c>
      <c r="T3" s="6">
        <f t="shared" ref="T3:T14" si="2">S3/F3</f>
        <v>0.35262120805369129</v>
      </c>
    </row>
    <row r="4" spans="1:20" x14ac:dyDescent="0.25">
      <c r="C4" s="1" t="s">
        <v>4</v>
      </c>
      <c r="D4" s="5">
        <f t="shared" si="0"/>
        <v>7916666.666666667</v>
      </c>
      <c r="E4" s="2">
        <v>190000000</v>
      </c>
      <c r="F4" s="2">
        <f t="shared" si="1"/>
        <v>190000000</v>
      </c>
      <c r="G4" s="2">
        <v>74819999.999999985</v>
      </c>
      <c r="H4" s="2">
        <v>126146555</v>
      </c>
      <c r="I4" s="2">
        <v>121345612</v>
      </c>
      <c r="J4" s="2">
        <v>126604099</v>
      </c>
      <c r="K4" s="2">
        <v>137076282</v>
      </c>
      <c r="L4" s="2">
        <v>186851013</v>
      </c>
      <c r="M4" s="2">
        <v>122546898</v>
      </c>
      <c r="N4" s="2">
        <v>32494917</v>
      </c>
      <c r="O4" s="2">
        <v>108126910.3</v>
      </c>
      <c r="P4" s="2">
        <v>87538263</v>
      </c>
      <c r="Q4" s="2">
        <v>142237974</v>
      </c>
      <c r="R4" s="2">
        <v>92426953.349999994</v>
      </c>
      <c r="S4" s="2">
        <v>145968232</v>
      </c>
      <c r="T4" s="6">
        <f t="shared" si="2"/>
        <v>0.76825385263157897</v>
      </c>
    </row>
    <row r="5" spans="1:20" x14ac:dyDescent="0.25">
      <c r="C5" s="1" t="s">
        <v>20</v>
      </c>
      <c r="D5" s="5">
        <f t="shared" si="0"/>
        <v>3958333.3333333335</v>
      </c>
      <c r="E5" s="2">
        <v>95000000</v>
      </c>
      <c r="F5" s="2">
        <f t="shared" si="1"/>
        <v>95000000</v>
      </c>
      <c r="G5" s="2">
        <v>50640000</v>
      </c>
      <c r="H5" s="2">
        <v>29325004.800000001</v>
      </c>
      <c r="I5" s="2">
        <v>27624610.670000002</v>
      </c>
      <c r="J5" s="2">
        <v>23366602</v>
      </c>
      <c r="K5" s="2">
        <v>21479141</v>
      </c>
      <c r="L5" s="2">
        <v>25819811.989999998</v>
      </c>
      <c r="M5" s="2">
        <v>19751557</v>
      </c>
      <c r="N5" s="2">
        <v>14565294</v>
      </c>
      <c r="O5" s="2">
        <v>16397881</v>
      </c>
      <c r="P5" s="2">
        <v>24230729</v>
      </c>
      <c r="Q5" s="2">
        <v>15621310</v>
      </c>
      <c r="R5" s="2">
        <v>14664365</v>
      </c>
      <c r="S5" s="2">
        <v>26347650</v>
      </c>
      <c r="T5" s="6">
        <f t="shared" si="2"/>
        <v>0.2773436842105263</v>
      </c>
    </row>
    <row r="6" spans="1:20" x14ac:dyDescent="0.25">
      <c r="A6" s="1" t="s">
        <v>186</v>
      </c>
      <c r="B6" s="1" t="s">
        <v>207</v>
      </c>
      <c r="C6" s="1" t="s">
        <v>24</v>
      </c>
      <c r="D6" s="5">
        <f t="shared" si="0"/>
        <v>1875000</v>
      </c>
      <c r="E6" s="2">
        <v>45000000</v>
      </c>
      <c r="F6" s="2">
        <f t="shared" si="1"/>
        <v>45000000</v>
      </c>
      <c r="G6" s="2">
        <v>30240000</v>
      </c>
      <c r="H6" s="2">
        <v>11555639</v>
      </c>
      <c r="I6" s="2">
        <v>11928350</v>
      </c>
      <c r="J6" s="2">
        <v>7393687</v>
      </c>
      <c r="K6" s="2">
        <v>8483847</v>
      </c>
      <c r="L6" s="2">
        <v>8528695</v>
      </c>
      <c r="M6" s="2">
        <v>5727080</v>
      </c>
      <c r="N6" s="2">
        <v>7074825</v>
      </c>
      <c r="O6" s="2">
        <v>7016325</v>
      </c>
      <c r="P6" s="2">
        <v>14401258</v>
      </c>
      <c r="Q6" s="2">
        <v>20135900</v>
      </c>
      <c r="R6" s="2">
        <v>29331023.310000002</v>
      </c>
      <c r="S6" s="2">
        <v>24888595.199999999</v>
      </c>
      <c r="T6" s="6">
        <f t="shared" si="2"/>
        <v>0.55307989333333329</v>
      </c>
    </row>
    <row r="7" spans="1:20" x14ac:dyDescent="0.25">
      <c r="A7" s="1" t="s">
        <v>187</v>
      </c>
      <c r="B7" s="1" t="s">
        <v>208</v>
      </c>
      <c r="C7" s="1" t="s">
        <v>17</v>
      </c>
      <c r="D7" s="5">
        <f t="shared" si="0"/>
        <v>3250000</v>
      </c>
      <c r="E7" s="2">
        <v>78000000</v>
      </c>
      <c r="F7" s="2">
        <f t="shared" si="1"/>
        <v>78000000</v>
      </c>
      <c r="G7" s="2">
        <v>49259999.999999993</v>
      </c>
      <c r="H7" s="2">
        <v>40722208</v>
      </c>
      <c r="I7" s="2">
        <v>32811862</v>
      </c>
      <c r="J7" s="2">
        <v>20708021</v>
      </c>
      <c r="K7" s="2">
        <v>20150825</v>
      </c>
      <c r="L7" s="2">
        <v>16540361</v>
      </c>
      <c r="M7" s="2">
        <v>16472249</v>
      </c>
      <c r="N7" s="2">
        <v>21898234</v>
      </c>
      <c r="O7" s="2">
        <v>29245269</v>
      </c>
      <c r="P7" s="2">
        <v>25528661</v>
      </c>
      <c r="Q7" s="2">
        <v>26745297</v>
      </c>
      <c r="R7" s="2">
        <v>30158683</v>
      </c>
      <c r="S7" s="2">
        <v>13583267</v>
      </c>
      <c r="T7" s="6">
        <f t="shared" si="2"/>
        <v>0.17414444871794871</v>
      </c>
    </row>
    <row r="8" spans="1:20" x14ac:dyDescent="0.25">
      <c r="C8" s="1" t="s">
        <v>13</v>
      </c>
      <c r="D8" s="5">
        <f t="shared" si="0"/>
        <v>2916666.6666666665</v>
      </c>
      <c r="E8" s="2">
        <v>70000000</v>
      </c>
      <c r="F8" s="2">
        <f t="shared" si="1"/>
        <v>70000000</v>
      </c>
      <c r="G8" s="2">
        <v>57899999.999999985</v>
      </c>
      <c r="H8" s="2">
        <v>15374897</v>
      </c>
      <c r="I8" s="2">
        <v>19825873.5</v>
      </c>
      <c r="J8" s="2">
        <v>17275405</v>
      </c>
      <c r="K8" s="2">
        <v>12030172</v>
      </c>
      <c r="L8" s="2">
        <v>17103995</v>
      </c>
      <c r="M8" s="2">
        <v>19021122</v>
      </c>
      <c r="N8" s="2">
        <v>15978599</v>
      </c>
      <c r="O8" s="2">
        <v>16633004</v>
      </c>
      <c r="P8" s="2">
        <v>20696530.990000002</v>
      </c>
      <c r="Q8" s="2">
        <v>26651978.170000002</v>
      </c>
      <c r="R8" s="2">
        <v>27066298</v>
      </c>
      <c r="S8" s="2">
        <v>22576029</v>
      </c>
      <c r="T8" s="6">
        <f t="shared" si="2"/>
        <v>0.32251469999999999</v>
      </c>
    </row>
    <row r="9" spans="1:20" x14ac:dyDescent="0.25">
      <c r="A9" s="1" t="s">
        <v>637</v>
      </c>
      <c r="B9" s="1" t="s">
        <v>640</v>
      </c>
      <c r="C9" s="1" t="s">
        <v>12</v>
      </c>
      <c r="D9" s="5">
        <f t="shared" si="0"/>
        <v>1666666.6666666667</v>
      </c>
      <c r="E9" s="2">
        <v>40000000</v>
      </c>
      <c r="F9" s="2">
        <f t="shared" si="1"/>
        <v>40000000</v>
      </c>
      <c r="G9" s="2">
        <v>26699999.999999993</v>
      </c>
      <c r="H9" s="2">
        <v>5121268</v>
      </c>
      <c r="I9" s="2">
        <v>3885222</v>
      </c>
      <c r="J9" s="2">
        <v>10168569</v>
      </c>
      <c r="K9" s="2">
        <v>7244475</v>
      </c>
      <c r="L9" s="2">
        <v>5927856</v>
      </c>
      <c r="M9" s="2">
        <v>5830806</v>
      </c>
      <c r="N9" s="2">
        <v>6089895</v>
      </c>
      <c r="O9" s="2">
        <v>5028893</v>
      </c>
      <c r="P9" s="2">
        <v>10516264</v>
      </c>
      <c r="Q9" s="2">
        <v>12401700</v>
      </c>
      <c r="R9" s="2">
        <v>13872235</v>
      </c>
      <c r="S9" s="2">
        <v>14132000</v>
      </c>
      <c r="T9" s="6">
        <f t="shared" si="2"/>
        <v>0.3533</v>
      </c>
    </row>
    <row r="10" spans="1:20" x14ac:dyDescent="0.25">
      <c r="A10" s="1" t="s">
        <v>544</v>
      </c>
      <c r="B10" s="1" t="s">
        <v>641</v>
      </c>
      <c r="C10" s="1" t="s">
        <v>34</v>
      </c>
      <c r="D10" s="5">
        <f t="shared" si="0"/>
        <v>5229166.666666667</v>
      </c>
      <c r="E10" s="2">
        <v>125500000</v>
      </c>
      <c r="F10" s="2">
        <f t="shared" si="1"/>
        <v>125500000</v>
      </c>
      <c r="G10" s="2">
        <v>85680000.000000015</v>
      </c>
      <c r="H10" s="2">
        <v>104836207</v>
      </c>
      <c r="I10" s="2">
        <v>32858263</v>
      </c>
      <c r="J10" s="2">
        <v>50033605.670000002</v>
      </c>
      <c r="K10" s="2">
        <v>95897835.549999997</v>
      </c>
      <c r="L10" s="2">
        <v>73200337.719999999</v>
      </c>
      <c r="M10" s="2">
        <v>115593743.55</v>
      </c>
      <c r="N10" s="2">
        <v>73583520.670000002</v>
      </c>
      <c r="O10" s="2">
        <v>73699843.109999999</v>
      </c>
      <c r="P10" s="2">
        <v>98584087.180000007</v>
      </c>
      <c r="Q10" s="2">
        <v>32247166.609999999</v>
      </c>
      <c r="R10" s="2">
        <v>54928127.760000005</v>
      </c>
      <c r="S10" s="2">
        <v>72626637</v>
      </c>
      <c r="T10" s="6">
        <f t="shared" si="2"/>
        <v>0.5786983027888446</v>
      </c>
    </row>
    <row r="11" spans="1:20" x14ac:dyDescent="0.25">
      <c r="C11" s="1" t="s">
        <v>9</v>
      </c>
      <c r="D11" s="5">
        <f t="shared" si="0"/>
        <v>2979166.6666666665</v>
      </c>
      <c r="E11" s="2">
        <v>71500000</v>
      </c>
      <c r="F11" s="2">
        <f t="shared" si="1"/>
        <v>71500000</v>
      </c>
      <c r="G11" s="2">
        <v>51060000</v>
      </c>
      <c r="H11" s="2">
        <v>16636473</v>
      </c>
      <c r="I11" s="2">
        <v>12932134</v>
      </c>
      <c r="J11" s="2">
        <v>12130590.550000001</v>
      </c>
      <c r="K11" s="2">
        <v>10642513</v>
      </c>
      <c r="L11" s="2">
        <v>11901701</v>
      </c>
      <c r="M11" s="2">
        <v>12084699</v>
      </c>
      <c r="N11" s="2">
        <v>14463945.359999999</v>
      </c>
      <c r="O11" s="2">
        <v>11403885</v>
      </c>
      <c r="P11" s="2">
        <v>20405384</v>
      </c>
      <c r="Q11" s="2">
        <v>24142810</v>
      </c>
      <c r="R11" s="2">
        <v>19884900</v>
      </c>
      <c r="S11" s="2">
        <v>28591017</v>
      </c>
      <c r="T11" s="6">
        <f t="shared" si="2"/>
        <v>0.39987436363636364</v>
      </c>
    </row>
    <row r="12" spans="1:20" x14ac:dyDescent="0.25">
      <c r="A12" s="1" t="s">
        <v>36</v>
      </c>
      <c r="B12" s="1" t="s">
        <v>511</v>
      </c>
      <c r="C12" s="1" t="s">
        <v>37</v>
      </c>
      <c r="D12" s="5">
        <f t="shared" si="0"/>
        <v>1666666.6666666667</v>
      </c>
      <c r="E12" s="2">
        <v>40000000</v>
      </c>
      <c r="F12" s="2">
        <f>E12</f>
        <v>40000000</v>
      </c>
      <c r="G12" s="2">
        <v>24059999.999999996</v>
      </c>
      <c r="H12" s="2">
        <v>3488295.92</v>
      </c>
      <c r="I12" s="2">
        <v>3021773.83</v>
      </c>
      <c r="J12" s="2">
        <v>1206925</v>
      </c>
      <c r="K12" s="2">
        <v>2460627</v>
      </c>
      <c r="L12" s="2">
        <v>3026338</v>
      </c>
      <c r="M12" s="2">
        <v>4380860</v>
      </c>
      <c r="N12" s="2">
        <v>1615394</v>
      </c>
      <c r="O12" s="2">
        <v>3286756</v>
      </c>
      <c r="P12" s="2">
        <v>2889000</v>
      </c>
      <c r="Q12" s="2">
        <v>5459200</v>
      </c>
      <c r="R12" s="2">
        <v>3478700</v>
      </c>
      <c r="S12" s="2">
        <v>7206500</v>
      </c>
      <c r="T12" s="6">
        <f t="shared" si="2"/>
        <v>0.1801625</v>
      </c>
    </row>
    <row r="13" spans="1:20" x14ac:dyDescent="0.25">
      <c r="A13" s="1" t="s">
        <v>545</v>
      </c>
      <c r="B13" s="1" t="s">
        <v>642</v>
      </c>
      <c r="C13" s="1" t="s">
        <v>488</v>
      </c>
      <c r="D13" s="5">
        <f t="shared" si="0"/>
        <v>833333.33333333337</v>
      </c>
      <c r="E13" s="2">
        <v>20000000</v>
      </c>
      <c r="F13" s="2">
        <f>E13</f>
        <v>20000000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5212388</v>
      </c>
      <c r="P13" s="2">
        <v>6202300</v>
      </c>
      <c r="Q13" s="2">
        <v>13414600</v>
      </c>
      <c r="R13" s="2">
        <v>12295100</v>
      </c>
      <c r="S13" s="2">
        <v>19321189</v>
      </c>
      <c r="T13" s="6">
        <f t="shared" si="2"/>
        <v>0.96605945000000004</v>
      </c>
    </row>
    <row r="14" spans="1:20" x14ac:dyDescent="0.25">
      <c r="A14" s="1" t="s">
        <v>188</v>
      </c>
      <c r="B14" s="1" t="s">
        <v>210</v>
      </c>
      <c r="C14" s="1" t="s">
        <v>19</v>
      </c>
      <c r="D14" s="5">
        <f t="shared" si="0"/>
        <v>1666666.6666666667</v>
      </c>
      <c r="E14" s="2">
        <v>40000000</v>
      </c>
      <c r="F14" s="2">
        <f t="shared" si="1"/>
        <v>40000000</v>
      </c>
      <c r="G14" s="2">
        <v>10000000</v>
      </c>
      <c r="H14" s="2">
        <v>752950</v>
      </c>
      <c r="I14" s="2">
        <v>5922785</v>
      </c>
      <c r="J14" s="2">
        <v>9565420</v>
      </c>
      <c r="K14" s="2">
        <v>4118873</v>
      </c>
      <c r="L14" s="2">
        <v>14793043</v>
      </c>
      <c r="M14" s="2">
        <v>5213285</v>
      </c>
      <c r="N14" s="2">
        <v>9493285</v>
      </c>
      <c r="O14" s="2">
        <v>13268905</v>
      </c>
      <c r="P14" s="2">
        <v>12509955</v>
      </c>
      <c r="Q14" s="2">
        <v>14700100.880000001</v>
      </c>
      <c r="R14" s="2">
        <v>17654900</v>
      </c>
      <c r="S14" s="2">
        <v>20745000</v>
      </c>
      <c r="T14" s="6">
        <f t="shared" si="2"/>
        <v>0.518625</v>
      </c>
    </row>
    <row r="15" spans="1:20" x14ac:dyDescent="0.25">
      <c r="A15" s="3" t="s">
        <v>639</v>
      </c>
      <c r="B15" s="3"/>
      <c r="C15" s="3" t="s">
        <v>638</v>
      </c>
      <c r="D15" s="17">
        <f>SUM(D2:D14)-D13</f>
        <v>41666666.666666657</v>
      </c>
      <c r="E15" s="4">
        <v>1000000000</v>
      </c>
      <c r="F15" s="4">
        <v>1000000000</v>
      </c>
      <c r="G15" s="4">
        <f>SUM(G2:G14)</f>
        <v>610000000</v>
      </c>
      <c r="H15" s="4">
        <f t="shared" ref="H15:J15" si="3">SUM(H2:H14)</f>
        <v>480100389.72000003</v>
      </c>
      <c r="I15" s="4">
        <f t="shared" si="3"/>
        <v>381189228</v>
      </c>
      <c r="J15" s="4">
        <f t="shared" si="3"/>
        <v>355835522.89000005</v>
      </c>
      <c r="K15" s="4">
        <f t="shared" ref="K15:S15" si="4">SUM(K2:K14)</f>
        <v>420101403.55000001</v>
      </c>
      <c r="L15" s="4">
        <f t="shared" si="4"/>
        <v>500419947.71000004</v>
      </c>
      <c r="M15" s="4">
        <f t="shared" si="4"/>
        <v>435531130.55000001</v>
      </c>
      <c r="N15" s="4">
        <f t="shared" si="4"/>
        <v>289769100.03000003</v>
      </c>
      <c r="O15" s="4">
        <f t="shared" si="4"/>
        <v>411878433.41000003</v>
      </c>
      <c r="P15" s="4">
        <f t="shared" si="4"/>
        <v>438645351.81999999</v>
      </c>
      <c r="Q15" s="4">
        <f t="shared" si="4"/>
        <v>516607087.68000001</v>
      </c>
      <c r="R15" s="4">
        <f t="shared" si="4"/>
        <v>431974536.71999997</v>
      </c>
      <c r="S15" s="4">
        <f t="shared" si="4"/>
        <v>523444752.59999996</v>
      </c>
      <c r="T15" s="10">
        <f>S15/F15</f>
        <v>0.52344475260000001</v>
      </c>
    </row>
    <row r="17" spans="1:32" ht="45" x14ac:dyDescent="0.25">
      <c r="A17" s="7" t="s">
        <v>200</v>
      </c>
      <c r="B17" s="7" t="s">
        <v>189</v>
      </c>
      <c r="C17" s="7" t="s">
        <v>78</v>
      </c>
      <c r="D17" s="7" t="s">
        <v>234</v>
      </c>
      <c r="E17" s="7" t="s">
        <v>165</v>
      </c>
      <c r="F17" s="7" t="s">
        <v>303</v>
      </c>
      <c r="G17" s="7" t="s">
        <v>190</v>
      </c>
      <c r="H17" s="3" t="s">
        <v>39</v>
      </c>
      <c r="I17" s="3" t="s">
        <v>166</v>
      </c>
      <c r="J17" s="3" t="s">
        <v>233</v>
      </c>
      <c r="K17" s="8" t="s">
        <v>489</v>
      </c>
      <c r="L17" s="8" t="s">
        <v>520</v>
      </c>
      <c r="M17" s="8" t="s">
        <v>580</v>
      </c>
      <c r="N17" s="8" t="s">
        <v>608</v>
      </c>
      <c r="O17" s="8" t="s">
        <v>625</v>
      </c>
      <c r="P17" s="8" t="s">
        <v>655</v>
      </c>
      <c r="Q17" s="7" t="s">
        <v>164</v>
      </c>
      <c r="R17" s="7" t="s">
        <v>153</v>
      </c>
      <c r="S17" s="7" t="s">
        <v>154</v>
      </c>
      <c r="T17" s="7" t="s">
        <v>156</v>
      </c>
      <c r="U17" s="7" t="s">
        <v>155</v>
      </c>
      <c r="V17" s="7" t="s">
        <v>748</v>
      </c>
      <c r="W17" s="7" t="s">
        <v>747</v>
      </c>
      <c r="X17" s="7" t="s">
        <v>765</v>
      </c>
      <c r="Y17" s="7" t="s">
        <v>769</v>
      </c>
      <c r="Z17" s="7" t="s">
        <v>768</v>
      </c>
      <c r="AA17" s="7" t="s">
        <v>770</v>
      </c>
      <c r="AB17" s="7" t="s">
        <v>767</v>
      </c>
      <c r="AC17" s="8" t="s">
        <v>760</v>
      </c>
      <c r="AD17" s="7" t="s">
        <v>761</v>
      </c>
      <c r="AE17" s="7" t="s">
        <v>762</v>
      </c>
      <c r="AF17" s="8" t="s">
        <v>763</v>
      </c>
    </row>
    <row r="18" spans="1:32" x14ac:dyDescent="0.25">
      <c r="B18" s="1" t="s">
        <v>191</v>
      </c>
      <c r="C18" s="85" t="s">
        <v>209</v>
      </c>
      <c r="D18" s="5">
        <f>E18/24</f>
        <v>1250000</v>
      </c>
      <c r="E18" s="2">
        <v>30000000</v>
      </c>
      <c r="F18" s="2">
        <v>45000000</v>
      </c>
      <c r="G18" s="2">
        <v>4794578</v>
      </c>
      <c r="H18" s="2">
        <v>9109012</v>
      </c>
      <c r="I18" s="2">
        <v>4173633</v>
      </c>
      <c r="J18" s="2">
        <v>5173317</v>
      </c>
      <c r="K18" s="2">
        <v>3281160</v>
      </c>
      <c r="L18" s="2">
        <v>4415424</v>
      </c>
      <c r="M18" s="2">
        <v>10262650</v>
      </c>
      <c r="N18" s="2">
        <v>12349700</v>
      </c>
      <c r="O18" s="2">
        <v>11706000</v>
      </c>
      <c r="P18" s="2">
        <v>14289800</v>
      </c>
      <c r="Q18" s="6">
        <f>P18/F18</f>
        <v>0.31755111111111112</v>
      </c>
      <c r="R18" s="2">
        <f>SUMIFS('CHECKOFF TEAM LEADERS '!AB:AB,'CHECKOFF TEAM LEADERS '!C:C,'BRANCHES '!B18)</f>
        <v>274414197.40999997</v>
      </c>
      <c r="S18" s="2">
        <f>SUMIFS('CHECKOFF TEAM LEADERS '!AC:AC,'CHECKOFF TEAM LEADERS '!C:C,'BRANCHES '!B18)</f>
        <v>450709.93642857141</v>
      </c>
      <c r="T18" s="6">
        <f>S18/R18</f>
        <v>1.6424439430703707E-3</v>
      </c>
      <c r="U18" s="2">
        <f>SUMIFS('CHECKOFF TEAM LEADERS '!AE:AE,'CHECKOFF TEAM LEADERS '!C:C,'BRANCHES '!B18)</f>
        <v>72013285.539999992</v>
      </c>
      <c r="V18" s="1">
        <f>SUMIFS('CHECKOFF TEAM LEADERS '!AJ:AJ,'CHECKOFF TEAM LEADERS '!C:C,'BRANCHES '!B18)</f>
        <v>55</v>
      </c>
      <c r="W18" s="1">
        <v>150</v>
      </c>
      <c r="X18" s="6">
        <f>V18/W18</f>
        <v>0.36666666666666664</v>
      </c>
      <c r="Y18" s="1">
        <f>COUNTIFS('CHECKOFF TEAM LEADERS '!C:C,'BRANCHES '!B18)</f>
        <v>4</v>
      </c>
      <c r="Z18" s="1">
        <v>15</v>
      </c>
      <c r="AA18" s="107">
        <f>Y18/Z18</f>
        <v>0.26666666666666666</v>
      </c>
      <c r="AB18" s="2">
        <f t="shared" ref="AB18:AB25" si="5">IF(Q18&gt;=70%,(P18-(70%*E18)),0)</f>
        <v>0</v>
      </c>
      <c r="AC18" s="2">
        <f>IF(AND(U18&gt;=200000000, X18&gt;=0.6, T18&lt;=1.5), (U18-200000000)*0.05%, 0)</f>
        <v>0</v>
      </c>
      <c r="AD18" s="2">
        <f t="shared" ref="AD18:AD25" si="6">IF(AND(Q18&gt;=80%,X18&gt;=75%),15000,0)</f>
        <v>0</v>
      </c>
      <c r="AE18" s="2">
        <f t="shared" ref="AE18:AE25" si="7">IF(AND(AA18&gt;=60%,Q18&gt;=70%),AB18*0.5%,0)</f>
        <v>0</v>
      </c>
      <c r="AF18" s="2">
        <f>SUM(AC18:AE18)</f>
        <v>0</v>
      </c>
    </row>
    <row r="19" spans="1:32" x14ac:dyDescent="0.25">
      <c r="B19" s="1" t="s">
        <v>192</v>
      </c>
      <c r="C19" s="85" t="s">
        <v>646</v>
      </c>
      <c r="D19" s="5">
        <f t="shared" ref="D19:D25" si="8">E19/24</f>
        <v>3125000</v>
      </c>
      <c r="E19" s="2">
        <v>75000000</v>
      </c>
      <c r="F19" s="2">
        <v>45000000</v>
      </c>
      <c r="G19" s="2">
        <v>8272987</v>
      </c>
      <c r="H19" s="2">
        <v>17456728.689999998</v>
      </c>
      <c r="I19" s="2">
        <v>13618682.850000001</v>
      </c>
      <c r="J19" s="2">
        <v>20554272.18</v>
      </c>
      <c r="K19" s="2">
        <v>15527133</v>
      </c>
      <c r="L19" s="2">
        <v>10288167.1</v>
      </c>
      <c r="M19" s="2">
        <v>22119499</v>
      </c>
      <c r="N19" s="2">
        <v>14705937</v>
      </c>
      <c r="O19" s="2">
        <v>29435056</v>
      </c>
      <c r="P19" s="2">
        <v>27235650</v>
      </c>
      <c r="Q19" s="6">
        <f t="shared" ref="Q19:Q25" si="9">P19/F19</f>
        <v>0.60523666666666665</v>
      </c>
      <c r="R19" s="2">
        <f>SUMIFS('CHECKOFF TEAM LEADERS '!AB:AB,'CHECKOFF TEAM LEADERS '!C:C,'BRANCHES '!B19)</f>
        <v>450704445.53999996</v>
      </c>
      <c r="S19" s="2">
        <f>SUMIFS('CHECKOFF TEAM LEADERS '!AC:AC,'CHECKOFF TEAM LEADERS '!C:C,'BRANCHES '!B19)</f>
        <v>870959.513142857</v>
      </c>
      <c r="T19" s="6">
        <f t="shared" ref="T19:T25" si="10">S19/R19</f>
        <v>1.9324404757076208E-3</v>
      </c>
      <c r="U19" s="2">
        <f>SUMIFS('CHECKOFF TEAM LEADERS '!AE:AE,'CHECKOFF TEAM LEADERS '!C:C,'BRANCHES '!B19)</f>
        <v>119906550.75</v>
      </c>
      <c r="V19" s="1">
        <f>SUMIFS('CHECKOFF TEAM LEADERS '!AJ:AJ,'CHECKOFF TEAM LEADERS '!C:C,'BRANCHES '!B19)</f>
        <v>63</v>
      </c>
      <c r="W19" s="1">
        <v>150</v>
      </c>
      <c r="X19" s="6">
        <f t="shared" ref="X19:X25" si="11">V19/W19</f>
        <v>0.42</v>
      </c>
      <c r="Y19" s="1">
        <f>COUNTIFS('CHECKOFF TEAM LEADERS '!C:C,'BRANCHES '!B19)</f>
        <v>5</v>
      </c>
      <c r="Z19" s="1">
        <v>15</v>
      </c>
      <c r="AA19" s="107">
        <f t="shared" ref="AA19:AA25" si="12">Y19/Z19</f>
        <v>0.33333333333333331</v>
      </c>
      <c r="AB19" s="2">
        <f t="shared" si="5"/>
        <v>0</v>
      </c>
      <c r="AC19" s="2">
        <f t="shared" ref="AC19:AC25" si="13">IF(AND(U19&gt;=200000000, X19&gt;=0.6, T19&lt;=1.5), (U19-200000000)*0.05%, 0)</f>
        <v>0</v>
      </c>
      <c r="AD19" s="2">
        <f t="shared" si="6"/>
        <v>0</v>
      </c>
      <c r="AE19" s="2">
        <f t="shared" si="7"/>
        <v>0</v>
      </c>
      <c r="AF19" s="2">
        <f t="shared" ref="AF19:AF25" si="14">SUM(AC19:AE19)</f>
        <v>0</v>
      </c>
    </row>
    <row r="20" spans="1:32" x14ac:dyDescent="0.25">
      <c r="A20" s="1" t="s">
        <v>605</v>
      </c>
      <c r="B20" s="1" t="s">
        <v>193</v>
      </c>
      <c r="C20" s="1" t="s">
        <v>647</v>
      </c>
      <c r="D20" s="5">
        <f t="shared" si="8"/>
        <v>2291666.6666666665</v>
      </c>
      <c r="E20" s="2">
        <v>55000000</v>
      </c>
      <c r="F20" s="2">
        <v>50000000</v>
      </c>
      <c r="G20" s="2">
        <v>8581362</v>
      </c>
      <c r="H20" s="2">
        <v>11551139</v>
      </c>
      <c r="I20" s="2">
        <v>18120815</v>
      </c>
      <c r="J20" s="2">
        <v>13324763</v>
      </c>
      <c r="K20" s="2">
        <v>11552882</v>
      </c>
      <c r="L20" s="2">
        <v>8121291</v>
      </c>
      <c r="M20" s="2">
        <v>17011466</v>
      </c>
      <c r="N20" s="2">
        <v>34510600</v>
      </c>
      <c r="O20" s="2">
        <v>46590600</v>
      </c>
      <c r="P20" s="2">
        <v>52166491</v>
      </c>
      <c r="Q20" s="6">
        <f t="shared" si="9"/>
        <v>1.0433298200000001</v>
      </c>
      <c r="R20" s="2">
        <f>SUMIFS('CHECKOFF TEAM LEADERS '!AB:AB,'CHECKOFF TEAM LEADERS '!C:C,'BRANCHES '!B20)</f>
        <v>941191487.11999989</v>
      </c>
      <c r="S20" s="2">
        <f>SUMIFS('CHECKOFF TEAM LEADERS '!AC:AC,'CHECKOFF TEAM LEADERS '!C:C,'BRANCHES '!B20)</f>
        <v>1426222.0857142857</v>
      </c>
      <c r="T20" s="6">
        <f t="shared" si="10"/>
        <v>1.5153367887744669E-3</v>
      </c>
      <c r="U20" s="2">
        <f>SUMIFS('CHECKOFF TEAM LEADERS '!AE:AE,'CHECKOFF TEAM LEADERS '!C:C,'BRANCHES '!B20)</f>
        <v>248717725.00999999</v>
      </c>
      <c r="V20" s="1">
        <f>SUMIFS('CHECKOFF TEAM LEADERS '!AJ:AJ,'CHECKOFF TEAM LEADERS '!C:C,'BRANCHES '!B20)</f>
        <v>156</v>
      </c>
      <c r="W20" s="1">
        <v>150</v>
      </c>
      <c r="X20" s="6">
        <f t="shared" si="11"/>
        <v>1.04</v>
      </c>
      <c r="Y20" s="1">
        <f>COUNTIFS('CHECKOFF TEAM LEADERS '!C:C,'BRANCHES '!B20)</f>
        <v>12</v>
      </c>
      <c r="Z20" s="1">
        <v>15</v>
      </c>
      <c r="AA20" s="107">
        <f t="shared" si="12"/>
        <v>0.8</v>
      </c>
      <c r="AB20" s="2">
        <f t="shared" si="5"/>
        <v>13666491</v>
      </c>
      <c r="AC20" s="2">
        <f t="shared" si="13"/>
        <v>24358.862504999997</v>
      </c>
      <c r="AD20" s="2">
        <f t="shared" si="6"/>
        <v>15000</v>
      </c>
      <c r="AE20" s="2">
        <f t="shared" si="7"/>
        <v>68332.455000000002</v>
      </c>
      <c r="AF20" s="2">
        <f t="shared" si="14"/>
        <v>107691.317505</v>
      </c>
    </row>
    <row r="21" spans="1:32" x14ac:dyDescent="0.25">
      <c r="B21" s="1" t="s">
        <v>194</v>
      </c>
      <c r="D21" s="5">
        <f t="shared" si="8"/>
        <v>1000000</v>
      </c>
      <c r="E21" s="2">
        <v>24000000</v>
      </c>
      <c r="F21" s="2">
        <v>0</v>
      </c>
      <c r="G21" s="2">
        <v>0</v>
      </c>
      <c r="H21" s="2">
        <v>9210548</v>
      </c>
      <c r="I21" s="2">
        <v>5384141</v>
      </c>
      <c r="J21" s="2">
        <v>6228085</v>
      </c>
      <c r="K21" s="2">
        <v>9203358</v>
      </c>
      <c r="L21" s="2">
        <v>10189926.43</v>
      </c>
      <c r="M21" s="2">
        <v>10667583</v>
      </c>
      <c r="N21" s="2">
        <v>15483500</v>
      </c>
      <c r="O21" s="2">
        <v>0</v>
      </c>
      <c r="P21" s="2">
        <v>0</v>
      </c>
      <c r="Q21" s="6">
        <v>0</v>
      </c>
      <c r="R21" s="2"/>
      <c r="S21" s="2"/>
      <c r="T21" s="6"/>
      <c r="U21" s="2"/>
      <c r="X21" s="6"/>
      <c r="Y21" s="1">
        <f>COUNTIFS('CHECKOFF TEAM LEADERS '!C:C,'BRANCHES '!B21)</f>
        <v>0</v>
      </c>
      <c r="AA21" s="107"/>
      <c r="AB21" s="2">
        <f t="shared" si="5"/>
        <v>0</v>
      </c>
      <c r="AC21" s="2">
        <f t="shared" si="13"/>
        <v>0</v>
      </c>
      <c r="AD21" s="2">
        <f t="shared" si="6"/>
        <v>0</v>
      </c>
      <c r="AE21" s="2">
        <f t="shared" si="7"/>
        <v>0</v>
      </c>
      <c r="AF21" s="2">
        <f t="shared" si="14"/>
        <v>0</v>
      </c>
    </row>
    <row r="22" spans="1:32" x14ac:dyDescent="0.25">
      <c r="B22" s="1" t="s">
        <v>195</v>
      </c>
      <c r="C22" s="1" t="s">
        <v>205</v>
      </c>
      <c r="D22" s="5">
        <f t="shared" si="8"/>
        <v>1875000</v>
      </c>
      <c r="E22" s="2">
        <v>45000000</v>
      </c>
      <c r="F22" s="2">
        <v>45000000</v>
      </c>
      <c r="G22" s="2">
        <v>4613217</v>
      </c>
      <c r="H22" s="2">
        <v>7134443</v>
      </c>
      <c r="I22" s="2">
        <v>12535461.9</v>
      </c>
      <c r="J22" s="2">
        <v>13184321</v>
      </c>
      <c r="K22" s="2">
        <v>6850172</v>
      </c>
      <c r="L22" s="2">
        <v>11385687</v>
      </c>
      <c r="M22" s="2">
        <v>12360950</v>
      </c>
      <c r="N22" s="2">
        <v>12370095</v>
      </c>
      <c r="O22" s="2">
        <v>12394500</v>
      </c>
      <c r="P22" s="2">
        <v>17760974</v>
      </c>
      <c r="Q22" s="6">
        <f t="shared" si="9"/>
        <v>0.39468831111111113</v>
      </c>
      <c r="R22" s="2">
        <f>SUMIFS('CHECKOFF TEAM LEADERS '!AB:AB,'CHECKOFF TEAM LEADERS '!C:C,'BRANCHES '!B22)</f>
        <v>288686187.57999992</v>
      </c>
      <c r="S22" s="2">
        <f>SUMIFS('CHECKOFF TEAM LEADERS '!AC:AC,'CHECKOFF TEAM LEADERS '!C:C,'BRANCHES '!B22)</f>
        <v>594655.3328571429</v>
      </c>
      <c r="T22" s="6">
        <f t="shared" si="10"/>
        <v>2.0598676294214932E-3</v>
      </c>
      <c r="U22" s="2">
        <f>SUMIFS('CHECKOFF TEAM LEADERS '!AE:AE,'CHECKOFF TEAM LEADERS '!C:C,'BRANCHES '!B22)</f>
        <v>76865033.129999995</v>
      </c>
      <c r="V22" s="1">
        <f>SUMIFS('CHECKOFF TEAM LEADERS '!AJ:AJ,'CHECKOFF TEAM LEADERS '!C:C,'BRANCHES '!B22)</f>
        <v>65</v>
      </c>
      <c r="W22" s="1">
        <v>150</v>
      </c>
      <c r="X22" s="6">
        <f t="shared" si="11"/>
        <v>0.43333333333333335</v>
      </c>
      <c r="Y22" s="1">
        <f>COUNTIFS('CHECKOFF TEAM LEADERS '!C:C,'BRANCHES '!B22)</f>
        <v>6</v>
      </c>
      <c r="Z22" s="1">
        <v>15</v>
      </c>
      <c r="AA22" s="107">
        <f t="shared" si="12"/>
        <v>0.4</v>
      </c>
      <c r="AB22" s="2">
        <f t="shared" si="5"/>
        <v>0</v>
      </c>
      <c r="AC22" s="2">
        <f t="shared" si="13"/>
        <v>0</v>
      </c>
      <c r="AD22" s="2">
        <f t="shared" si="6"/>
        <v>0</v>
      </c>
      <c r="AE22" s="2">
        <f t="shared" si="7"/>
        <v>0</v>
      </c>
      <c r="AF22" s="2">
        <f t="shared" si="14"/>
        <v>0</v>
      </c>
    </row>
    <row r="23" spans="1:32" x14ac:dyDescent="0.25">
      <c r="A23" s="1" t="s">
        <v>201</v>
      </c>
      <c r="B23" s="1" t="s">
        <v>196</v>
      </c>
      <c r="C23" s="1" t="s">
        <v>204</v>
      </c>
      <c r="D23" s="5">
        <f t="shared" si="8"/>
        <v>1895833.3333333333</v>
      </c>
      <c r="E23" s="2">
        <v>45500000</v>
      </c>
      <c r="F23" s="2">
        <v>45000000</v>
      </c>
      <c r="G23" s="2">
        <v>4091508</v>
      </c>
      <c r="H23" s="2">
        <v>10511380</v>
      </c>
      <c r="I23" s="2">
        <v>15718877</v>
      </c>
      <c r="J23" s="2">
        <v>11933767</v>
      </c>
      <c r="K23" s="2">
        <v>12247608</v>
      </c>
      <c r="L23" s="2">
        <v>11361023</v>
      </c>
      <c r="M23" s="2">
        <v>20555125</v>
      </c>
      <c r="N23" s="2">
        <v>15850572</v>
      </c>
      <c r="O23" s="2">
        <v>20261771</v>
      </c>
      <c r="P23" s="2">
        <v>19966893</v>
      </c>
      <c r="Q23" s="6">
        <f t="shared" si="9"/>
        <v>0.44370873333333333</v>
      </c>
      <c r="R23" s="2">
        <f>SUMIFS('CHECKOFF TEAM LEADERS '!AB:AB,'CHECKOFF TEAM LEADERS '!C:C,'BRANCHES '!B23)</f>
        <v>578850545.81000006</v>
      </c>
      <c r="S23" s="2">
        <f>SUMIFS('CHECKOFF TEAM LEADERS '!AC:AC,'CHECKOFF TEAM LEADERS '!C:C,'BRANCHES '!B23)</f>
        <v>1697548.7497142856</v>
      </c>
      <c r="T23" s="6">
        <f t="shared" si="10"/>
        <v>2.9326201072141394E-3</v>
      </c>
      <c r="U23" s="2">
        <f>SUMIFS('CHECKOFF TEAM LEADERS '!AE:AE,'CHECKOFF TEAM LEADERS '!C:C,'BRANCHES '!B23)</f>
        <v>152617487</v>
      </c>
      <c r="V23" s="1">
        <f>SUMIFS('CHECKOFF TEAM LEADERS '!AJ:AJ,'CHECKOFF TEAM LEADERS '!C:C,'BRANCHES '!B23)</f>
        <v>88</v>
      </c>
      <c r="W23" s="1">
        <v>150</v>
      </c>
      <c r="X23" s="6">
        <f t="shared" si="11"/>
        <v>0.58666666666666667</v>
      </c>
      <c r="Y23" s="1">
        <f>COUNTIFS('CHECKOFF TEAM LEADERS '!C:C,'BRANCHES '!B23)</f>
        <v>13</v>
      </c>
      <c r="Z23" s="1">
        <v>15</v>
      </c>
      <c r="AA23" s="107">
        <f t="shared" si="12"/>
        <v>0.8666666666666667</v>
      </c>
      <c r="AB23" s="2">
        <f t="shared" si="5"/>
        <v>0</v>
      </c>
      <c r="AC23" s="2">
        <f t="shared" si="13"/>
        <v>0</v>
      </c>
      <c r="AD23" s="2">
        <f t="shared" si="6"/>
        <v>0</v>
      </c>
      <c r="AE23" s="2">
        <f t="shared" si="7"/>
        <v>0</v>
      </c>
      <c r="AF23" s="2">
        <f t="shared" si="14"/>
        <v>0</v>
      </c>
    </row>
    <row r="24" spans="1:32" x14ac:dyDescent="0.25">
      <c r="A24" s="1" t="s">
        <v>643</v>
      </c>
      <c r="B24" s="1" t="s">
        <v>197</v>
      </c>
      <c r="C24" s="86" t="s">
        <v>649</v>
      </c>
      <c r="D24" s="5">
        <f t="shared" si="8"/>
        <v>1875000</v>
      </c>
      <c r="E24" s="2">
        <v>45000000</v>
      </c>
      <c r="F24" s="2">
        <v>45000000</v>
      </c>
      <c r="G24" s="2">
        <v>16378330</v>
      </c>
      <c r="H24" s="2">
        <v>6103815</v>
      </c>
      <c r="I24" s="2">
        <v>8831025</v>
      </c>
      <c r="J24" s="2">
        <v>8156215</v>
      </c>
      <c r="K24" s="2">
        <v>7057946</v>
      </c>
      <c r="L24" s="2">
        <v>6536375</v>
      </c>
      <c r="M24" s="2">
        <v>14373991</v>
      </c>
      <c r="N24" s="2">
        <v>13820300</v>
      </c>
      <c r="O24" s="2">
        <v>29034689</v>
      </c>
      <c r="P24" s="2">
        <v>44830371</v>
      </c>
      <c r="Q24" s="6">
        <f t="shared" si="9"/>
        <v>0.9962304666666667</v>
      </c>
      <c r="R24" s="2">
        <f>SUMIFS('CHECKOFF TEAM LEADERS '!AB:AB,'CHECKOFF TEAM LEADERS '!C:C,'BRANCHES '!B24)</f>
        <v>726171201.50999999</v>
      </c>
      <c r="S24" s="2">
        <f>SUMIFS('CHECKOFF TEAM LEADERS '!AC:AC,'CHECKOFF TEAM LEADERS '!C:C,'BRANCHES '!B24)</f>
        <v>4103999.5424285717</v>
      </c>
      <c r="T24" s="6">
        <f t="shared" si="10"/>
        <v>5.651559210685741E-3</v>
      </c>
      <c r="U24" s="2">
        <f>SUMIFS('CHECKOFF TEAM LEADERS '!AE:AE,'CHECKOFF TEAM LEADERS '!C:C,'BRANCHES '!B24)</f>
        <v>194370072.90000001</v>
      </c>
      <c r="V24" s="1">
        <f>SUMIFS('CHECKOFF TEAM LEADERS '!AJ:AJ,'CHECKOFF TEAM LEADERS '!C:C,'BRANCHES '!B24)</f>
        <v>145</v>
      </c>
      <c r="W24" s="1">
        <v>150</v>
      </c>
      <c r="X24" s="6">
        <f t="shared" si="11"/>
        <v>0.96666666666666667</v>
      </c>
      <c r="Y24" s="1">
        <f>COUNTIFS('CHECKOFF TEAM LEADERS '!C:C,'BRANCHES '!B24)</f>
        <v>10</v>
      </c>
      <c r="Z24" s="1">
        <v>15</v>
      </c>
      <c r="AA24" s="107">
        <f t="shared" si="12"/>
        <v>0.66666666666666663</v>
      </c>
      <c r="AB24" s="2">
        <f t="shared" si="5"/>
        <v>13330371.000000004</v>
      </c>
      <c r="AC24" s="2">
        <f t="shared" si="13"/>
        <v>0</v>
      </c>
      <c r="AD24" s="2">
        <f t="shared" si="6"/>
        <v>15000</v>
      </c>
      <c r="AE24" s="2">
        <f t="shared" si="7"/>
        <v>66651.855000000025</v>
      </c>
      <c r="AF24" s="2">
        <f t="shared" si="14"/>
        <v>81651.855000000025</v>
      </c>
    </row>
    <row r="25" spans="1:32" x14ac:dyDescent="0.25">
      <c r="A25" s="1" t="s">
        <v>644</v>
      </c>
      <c r="B25" s="1" t="s">
        <v>198</v>
      </c>
      <c r="C25" s="9" t="s">
        <v>648</v>
      </c>
      <c r="D25" s="5">
        <f t="shared" si="8"/>
        <v>1250000</v>
      </c>
      <c r="E25" s="2">
        <v>30000000</v>
      </c>
      <c r="F25" s="2">
        <v>45000000</v>
      </c>
      <c r="G25" s="2">
        <v>4227540</v>
      </c>
      <c r="H25" s="2">
        <v>10275284</v>
      </c>
      <c r="I25" s="2">
        <v>11578956</v>
      </c>
      <c r="J25" s="2">
        <v>11768474</v>
      </c>
      <c r="K25" s="2">
        <v>10958983</v>
      </c>
      <c r="L25" s="2">
        <v>8572224</v>
      </c>
      <c r="M25" s="2">
        <v>13689629</v>
      </c>
      <c r="N25" s="2">
        <v>19054408</v>
      </c>
      <c r="O25" s="2">
        <v>20152720</v>
      </c>
      <c r="P25" s="2">
        <v>22344966</v>
      </c>
      <c r="Q25" s="6">
        <f t="shared" si="9"/>
        <v>0.49655480000000002</v>
      </c>
      <c r="R25" s="2">
        <f>SUMIFS('CHECKOFF TEAM LEADERS '!AB:AB,'CHECKOFF TEAM LEADERS '!C:C,'BRANCHES '!B25)</f>
        <v>454056077.59000003</v>
      </c>
      <c r="S25" s="2">
        <f>SUMIFS('CHECKOFF TEAM LEADERS '!AC:AC,'CHECKOFF TEAM LEADERS '!C:C,'BRANCHES '!B25)</f>
        <v>917727.22599999991</v>
      </c>
      <c r="T25" s="6">
        <f t="shared" si="10"/>
        <v>2.021175954457066E-3</v>
      </c>
      <c r="U25" s="2">
        <f>SUMIFS('CHECKOFF TEAM LEADERS '!AE:AE,'CHECKOFF TEAM LEADERS '!C:C,'BRANCHES '!B25)</f>
        <v>120343605.34999999</v>
      </c>
      <c r="V25" s="1">
        <f>SUMIFS('CHECKOFF TEAM LEADERS '!AJ:AJ,'CHECKOFF TEAM LEADERS '!C:C,'BRANCHES '!B25)</f>
        <v>116</v>
      </c>
      <c r="W25" s="1">
        <v>150</v>
      </c>
      <c r="X25" s="6">
        <f t="shared" si="11"/>
        <v>0.77333333333333332</v>
      </c>
      <c r="Y25" s="1">
        <f>COUNTIFS('CHECKOFF TEAM LEADERS '!C:C,'BRANCHES '!B25)</f>
        <v>6</v>
      </c>
      <c r="Z25" s="1">
        <v>15</v>
      </c>
      <c r="AA25" s="107">
        <f t="shared" si="12"/>
        <v>0.4</v>
      </c>
      <c r="AB25" s="2">
        <f t="shared" si="5"/>
        <v>0</v>
      </c>
      <c r="AC25" s="2">
        <f t="shared" si="13"/>
        <v>0</v>
      </c>
      <c r="AD25" s="2">
        <f t="shared" si="6"/>
        <v>0</v>
      </c>
      <c r="AE25" s="2">
        <f t="shared" si="7"/>
        <v>0</v>
      </c>
      <c r="AF25" s="2">
        <f t="shared" si="14"/>
        <v>0</v>
      </c>
    </row>
    <row r="26" spans="1:32" x14ac:dyDescent="0.25">
      <c r="A26" s="3" t="s">
        <v>202</v>
      </c>
      <c r="B26" s="3" t="s">
        <v>199</v>
      </c>
      <c r="C26" s="3" t="s">
        <v>203</v>
      </c>
      <c r="D26" s="17">
        <f>E26/24</f>
        <v>16041666.666666666</v>
      </c>
      <c r="E26" s="4">
        <v>385000000</v>
      </c>
      <c r="F26" s="4">
        <f>E26</f>
        <v>385000000</v>
      </c>
      <c r="G26" s="4">
        <f t="shared" ref="G26:N26" si="15">SUM(G18:G25)</f>
        <v>50959522</v>
      </c>
      <c r="H26" s="4">
        <f t="shared" si="15"/>
        <v>81352349.689999998</v>
      </c>
      <c r="I26" s="4">
        <f t="shared" si="15"/>
        <v>89961591.75</v>
      </c>
      <c r="J26" s="17">
        <f t="shared" si="15"/>
        <v>90323214.180000007</v>
      </c>
      <c r="K26" s="4">
        <f t="shared" si="15"/>
        <v>76679242</v>
      </c>
      <c r="L26" s="4">
        <f t="shared" si="15"/>
        <v>70870117.530000001</v>
      </c>
      <c r="M26" s="4">
        <f t="shared" si="15"/>
        <v>121040893</v>
      </c>
      <c r="N26" s="4">
        <f t="shared" si="15"/>
        <v>138145112</v>
      </c>
      <c r="O26" s="4">
        <f>SUM(O18:O25)</f>
        <v>169575336</v>
      </c>
      <c r="P26" s="4">
        <v>198000000</v>
      </c>
      <c r="Q26" s="10">
        <f>P26/F26</f>
        <v>0.51428571428571423</v>
      </c>
      <c r="R26" s="10"/>
      <c r="S26" s="10"/>
      <c r="T26" s="10"/>
      <c r="U26" s="10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E27" s="2"/>
    </row>
    <row r="28" spans="1:32" x14ac:dyDescent="0.25">
      <c r="A28" s="7" t="s">
        <v>238</v>
      </c>
      <c r="B28" s="7" t="s">
        <v>234</v>
      </c>
      <c r="C28" s="8" t="s">
        <v>173</v>
      </c>
      <c r="D28" s="8" t="s">
        <v>183</v>
      </c>
      <c r="E28" s="4" t="s">
        <v>240</v>
      </c>
      <c r="F28" s="4" t="s">
        <v>166</v>
      </c>
      <c r="G28" s="4" t="s">
        <v>233</v>
      </c>
      <c r="H28" s="4" t="s">
        <v>489</v>
      </c>
      <c r="I28" s="4" t="s">
        <v>520</v>
      </c>
      <c r="J28" s="4" t="s">
        <v>580</v>
      </c>
      <c r="K28" s="4" t="s">
        <v>608</v>
      </c>
      <c r="L28" s="4" t="s">
        <v>625</v>
      </c>
      <c r="M28" s="4" t="s">
        <v>659</v>
      </c>
      <c r="N28" s="4" t="s">
        <v>320</v>
      </c>
    </row>
    <row r="29" spans="1:32" x14ac:dyDescent="0.25">
      <c r="A29" s="7" t="s">
        <v>645</v>
      </c>
      <c r="B29" s="5">
        <f>C29/26</f>
        <v>3076923.076923077</v>
      </c>
      <c r="C29" s="2">
        <v>80000000</v>
      </c>
      <c r="D29" s="2">
        <f>IFERROR(B29*((NETWORKDAYS.INTL(SUMMARRY!$B$1,SUMMARRY!$B$2,11))),"")</f>
        <v>80000000</v>
      </c>
      <c r="E29" s="2">
        <v>27381214</v>
      </c>
      <c r="F29" s="2">
        <v>39576409</v>
      </c>
      <c r="G29" s="2">
        <v>41191190</v>
      </c>
      <c r="H29" s="2">
        <v>42745667</v>
      </c>
      <c r="I29" s="2">
        <v>27539448</v>
      </c>
      <c r="J29" s="2">
        <v>27463228</v>
      </c>
      <c r="K29" s="2">
        <v>30324561</v>
      </c>
      <c r="L29" s="2">
        <v>16853348</v>
      </c>
      <c r="M29" s="2">
        <v>17828609</v>
      </c>
      <c r="N29" s="6">
        <f>M29/D29</f>
        <v>0.2228576125</v>
      </c>
    </row>
    <row r="30" spans="1:32" x14ac:dyDescent="0.25">
      <c r="A30" s="7" t="s">
        <v>553</v>
      </c>
      <c r="E30" s="2"/>
    </row>
    <row r="31" spans="1:32" x14ac:dyDescent="0.25">
      <c r="E31" s="2"/>
      <c r="I31" s="18"/>
    </row>
    <row r="32" spans="1:32" x14ac:dyDescent="0.25">
      <c r="A32" s="19" t="s">
        <v>546</v>
      </c>
      <c r="B32" s="19" t="s">
        <v>547</v>
      </c>
      <c r="C32" s="19" t="s">
        <v>548</v>
      </c>
      <c r="D32" s="19" t="s">
        <v>549</v>
      </c>
      <c r="E32" s="20" t="s">
        <v>650</v>
      </c>
      <c r="F32" s="19" t="s">
        <v>550</v>
      </c>
    </row>
    <row r="33" spans="1:9" x14ac:dyDescent="0.25">
      <c r="A33" s="1" t="s">
        <v>664</v>
      </c>
      <c r="B33" s="1">
        <v>32</v>
      </c>
      <c r="C33" s="2">
        <v>300000000</v>
      </c>
      <c r="D33" s="2">
        <v>216927211.40000001</v>
      </c>
      <c r="E33" s="2">
        <f>C33-D33</f>
        <v>83072788.599999994</v>
      </c>
      <c r="F33" s="87">
        <f>D33/C33</f>
        <v>0.72309070466666669</v>
      </c>
    </row>
    <row r="34" spans="1:9" x14ac:dyDescent="0.25">
      <c r="A34" s="1" t="s">
        <v>202</v>
      </c>
      <c r="B34" s="44">
        <v>56</v>
      </c>
      <c r="C34" s="50">
        <v>385000000</v>
      </c>
      <c r="D34" s="51">
        <v>155963432.19999999</v>
      </c>
      <c r="E34" s="2">
        <f t="shared" ref="E34:E36" si="16">C34-D34</f>
        <v>229036567.80000001</v>
      </c>
      <c r="F34" s="87">
        <f t="shared" ref="F34:F36" si="17">D34/C34</f>
        <v>0.40509982389610388</v>
      </c>
    </row>
    <row r="35" spans="1:9" x14ac:dyDescent="0.25">
      <c r="A35" s="1" t="s">
        <v>609</v>
      </c>
      <c r="B35" s="44">
        <v>3</v>
      </c>
      <c r="C35" s="50">
        <v>150000000</v>
      </c>
      <c r="D35" s="51">
        <v>2725500</v>
      </c>
      <c r="E35" s="2">
        <f t="shared" si="16"/>
        <v>147274500</v>
      </c>
      <c r="F35" s="87">
        <f t="shared" si="17"/>
        <v>1.8169999999999999E-2</v>
      </c>
    </row>
    <row r="36" spans="1:9" x14ac:dyDescent="0.25">
      <c r="A36" s="1" t="s">
        <v>551</v>
      </c>
      <c r="B36" s="44">
        <v>12</v>
      </c>
      <c r="C36" s="50">
        <v>80000000</v>
      </c>
      <c r="D36" s="51">
        <v>17828609</v>
      </c>
      <c r="E36" s="2">
        <f t="shared" si="16"/>
        <v>62171391</v>
      </c>
      <c r="F36" s="87">
        <f t="shared" si="17"/>
        <v>0.2228576125</v>
      </c>
    </row>
    <row r="37" spans="1:9" x14ac:dyDescent="0.25">
      <c r="A37" s="1" t="s">
        <v>552</v>
      </c>
      <c r="B37" s="44"/>
      <c r="C37" s="50"/>
      <c r="D37" s="51">
        <v>130000000</v>
      </c>
      <c r="E37" s="47"/>
      <c r="F37" s="87"/>
    </row>
    <row r="38" spans="1:9" x14ac:dyDescent="0.25">
      <c r="A38" s="19" t="s">
        <v>68</v>
      </c>
      <c r="B38" s="48">
        <v>103</v>
      </c>
      <c r="C38" s="52">
        <v>1000000000</v>
      </c>
      <c r="D38" s="53">
        <v>523444752.60000002</v>
      </c>
      <c r="E38" s="49">
        <v>476555247.39999998</v>
      </c>
      <c r="F38" s="88">
        <v>0.52344475260000001</v>
      </c>
    </row>
    <row r="39" spans="1:9" x14ac:dyDescent="0.25">
      <c r="B39" s="44"/>
      <c r="C39" s="45"/>
      <c r="D39" s="46"/>
      <c r="E39" s="47"/>
      <c r="F39" s="45"/>
      <c r="G39" s="46"/>
    </row>
    <row r="40" spans="1:9" x14ac:dyDescent="0.25">
      <c r="A40" s="89"/>
      <c r="B40" s="113" t="s">
        <v>211</v>
      </c>
      <c r="C40" s="114"/>
      <c r="D40" s="114"/>
      <c r="E40" s="114"/>
      <c r="F40" s="115"/>
      <c r="G40" s="113" t="s">
        <v>214</v>
      </c>
      <c r="H40" s="114"/>
      <c r="I40" s="115"/>
    </row>
    <row r="41" spans="1:9" ht="30" x14ac:dyDescent="0.25">
      <c r="A41" s="71" t="s">
        <v>1</v>
      </c>
      <c r="B41" s="72" t="s">
        <v>687</v>
      </c>
      <c r="C41" s="72" t="s">
        <v>688</v>
      </c>
      <c r="D41" s="72" t="s">
        <v>212</v>
      </c>
      <c r="E41" s="72" t="s">
        <v>554</v>
      </c>
      <c r="F41" s="100" t="s">
        <v>689</v>
      </c>
      <c r="G41" s="72" t="s">
        <v>687</v>
      </c>
      <c r="H41" s="72" t="s">
        <v>688</v>
      </c>
      <c r="I41" s="73" t="s">
        <v>212</v>
      </c>
    </row>
    <row r="42" spans="1:9" x14ac:dyDescent="0.25">
      <c r="A42" s="74" t="s">
        <v>34</v>
      </c>
      <c r="B42" s="75">
        <v>633807796.57999945</v>
      </c>
      <c r="C42" s="75">
        <v>637644710.28000021</v>
      </c>
      <c r="D42" s="76">
        <v>3836913.7000007629</v>
      </c>
      <c r="E42" s="76">
        <v>16227768.17</v>
      </c>
      <c r="F42" s="101">
        <v>33</v>
      </c>
      <c r="G42" s="75">
        <v>680021990.17999971</v>
      </c>
      <c r="H42" s="75">
        <v>719375782.06999934</v>
      </c>
      <c r="I42" s="75">
        <v>39353791.889999628</v>
      </c>
    </row>
    <row r="43" spans="1:9" x14ac:dyDescent="0.25">
      <c r="A43" s="74" t="s">
        <v>4</v>
      </c>
      <c r="B43" s="75">
        <v>885826033.48000002</v>
      </c>
      <c r="C43" s="75">
        <v>802712914.48999929</v>
      </c>
      <c r="D43" s="76">
        <v>-83113118.990000725</v>
      </c>
      <c r="E43" s="76">
        <v>5635321.3599999994</v>
      </c>
      <c r="F43" s="101">
        <v>26</v>
      </c>
      <c r="G43" s="75">
        <v>773921591.92000031</v>
      </c>
      <c r="H43" s="75">
        <v>808315061.45000029</v>
      </c>
      <c r="I43" s="75">
        <v>34393469.529999971</v>
      </c>
    </row>
    <row r="44" spans="1:9" x14ac:dyDescent="0.25">
      <c r="A44" s="74" t="s">
        <v>26</v>
      </c>
      <c r="B44" s="75">
        <v>268132229.95533323</v>
      </c>
      <c r="C44" s="75">
        <v>271323724.39314276</v>
      </c>
      <c r="D44" s="76">
        <v>3191494.4378095269</v>
      </c>
      <c r="E44" s="76">
        <v>9053144.8400000017</v>
      </c>
      <c r="F44" s="101">
        <v>70</v>
      </c>
      <c r="G44" s="75">
        <v>550606574.20000052</v>
      </c>
      <c r="H44" s="75">
        <v>575261700.21999991</v>
      </c>
      <c r="I44" s="75">
        <v>24655126.019999385</v>
      </c>
    </row>
    <row r="45" spans="1:9" x14ac:dyDescent="0.25">
      <c r="A45" s="74" t="s">
        <v>9</v>
      </c>
      <c r="B45" s="75">
        <v>171865521.69257131</v>
      </c>
      <c r="C45" s="75">
        <v>171670135.87257129</v>
      </c>
      <c r="D45" s="76">
        <v>-195385.82000002265</v>
      </c>
      <c r="E45" s="76">
        <v>855230.98</v>
      </c>
      <c r="F45" s="101">
        <v>18</v>
      </c>
      <c r="G45" s="75">
        <v>267058289.15000007</v>
      </c>
      <c r="H45" s="75">
        <v>281870163.41000003</v>
      </c>
      <c r="I45" s="75">
        <v>14811874.259999961</v>
      </c>
    </row>
    <row r="46" spans="1:9" x14ac:dyDescent="0.25">
      <c r="A46" s="74" t="s">
        <v>20</v>
      </c>
      <c r="B46" s="75">
        <v>209135088.4619047</v>
      </c>
      <c r="C46" s="75">
        <v>212743545.42285722</v>
      </c>
      <c r="D46" s="76">
        <v>3608456.9609525204</v>
      </c>
      <c r="E46" s="76">
        <v>1617016.88</v>
      </c>
      <c r="F46" s="101">
        <v>25</v>
      </c>
      <c r="G46" s="75">
        <v>298149081.27000004</v>
      </c>
      <c r="H46" s="75">
        <v>301091332.37999994</v>
      </c>
      <c r="I46" s="75">
        <v>2942251.1099998951</v>
      </c>
    </row>
    <row r="47" spans="1:9" x14ac:dyDescent="0.25">
      <c r="A47" s="74" t="s">
        <v>13</v>
      </c>
      <c r="B47" s="75">
        <v>97983733.841999963</v>
      </c>
      <c r="C47" s="75">
        <v>98866201.07600008</v>
      </c>
      <c r="D47" s="76">
        <v>882467.23400011659</v>
      </c>
      <c r="E47" s="76">
        <v>489703.29000000004</v>
      </c>
      <c r="F47" s="101">
        <v>39</v>
      </c>
      <c r="G47" s="75">
        <v>305059178.48000014</v>
      </c>
      <c r="H47" s="75">
        <v>315309975.27000022</v>
      </c>
      <c r="I47" s="75">
        <v>10250796.790000081</v>
      </c>
    </row>
    <row r="48" spans="1:9" x14ac:dyDescent="0.25">
      <c r="A48" s="74" t="s">
        <v>30</v>
      </c>
      <c r="B48" s="75">
        <v>68381420.217276171</v>
      </c>
      <c r="C48" s="75">
        <v>73377521.070514292</v>
      </c>
      <c r="D48" s="76">
        <v>4996100.8532381207</v>
      </c>
      <c r="E48" s="76">
        <v>3518079.1300000004</v>
      </c>
      <c r="F48" s="101">
        <v>41</v>
      </c>
      <c r="G48" s="75">
        <v>275398529.70000005</v>
      </c>
      <c r="H48" s="75">
        <v>283811843.46999985</v>
      </c>
      <c r="I48" s="75">
        <v>8413313.7699998021</v>
      </c>
    </row>
    <row r="49" spans="1:9" x14ac:dyDescent="0.25">
      <c r="A49" s="74" t="s">
        <v>37</v>
      </c>
      <c r="B49" s="75">
        <v>8571202.2933333311</v>
      </c>
      <c r="C49" s="75">
        <v>9404587.8600000013</v>
      </c>
      <c r="D49" s="76">
        <v>833385.56666667014</v>
      </c>
      <c r="E49" s="76">
        <v>114024.35</v>
      </c>
      <c r="F49" s="101">
        <v>5</v>
      </c>
      <c r="G49" s="75">
        <v>48976497.990000002</v>
      </c>
      <c r="H49" s="75">
        <v>54265109.519999996</v>
      </c>
      <c r="I49" s="75">
        <v>5288611.5299999937</v>
      </c>
    </row>
    <row r="50" spans="1:9" x14ac:dyDescent="0.25">
      <c r="A50" s="74" t="s">
        <v>17</v>
      </c>
      <c r="B50" s="75">
        <v>119735441.92000003</v>
      </c>
      <c r="C50" s="75">
        <v>124579674.27000003</v>
      </c>
      <c r="D50" s="76">
        <v>4844232.349999994</v>
      </c>
      <c r="E50" s="76">
        <v>2317986.9800000004</v>
      </c>
      <c r="F50" s="101">
        <v>28</v>
      </c>
      <c r="G50" s="75">
        <v>269079704.47999996</v>
      </c>
      <c r="H50" s="75">
        <v>266290090.97000003</v>
      </c>
      <c r="I50" s="75">
        <v>-2789613.5099999309</v>
      </c>
    </row>
    <row r="51" spans="1:9" x14ac:dyDescent="0.25">
      <c r="A51" s="74" t="s">
        <v>12</v>
      </c>
      <c r="B51" s="75">
        <v>14923102.447619058</v>
      </c>
      <c r="C51" s="75">
        <v>15122923.916428568</v>
      </c>
      <c r="D51" s="76">
        <v>199821.46880950965</v>
      </c>
      <c r="E51" s="76">
        <v>18606.05</v>
      </c>
      <c r="F51" s="101">
        <v>5</v>
      </c>
      <c r="G51" s="75">
        <v>113619703.46000001</v>
      </c>
      <c r="H51" s="75">
        <v>121222345.28</v>
      </c>
      <c r="I51" s="75">
        <v>7602641.8199999928</v>
      </c>
    </row>
    <row r="52" spans="1:9" x14ac:dyDescent="0.25">
      <c r="A52" s="74" t="s">
        <v>19</v>
      </c>
      <c r="B52" s="75">
        <v>1864814.2744973542</v>
      </c>
      <c r="C52" s="75">
        <v>2627031.5713174599</v>
      </c>
      <c r="D52" s="76">
        <v>762217.29682010575</v>
      </c>
      <c r="E52" s="76">
        <v>367735.1</v>
      </c>
      <c r="F52" s="101">
        <v>54</v>
      </c>
      <c r="G52" s="75">
        <v>96904399.859999999</v>
      </c>
      <c r="H52" s="75">
        <v>113121883.02</v>
      </c>
      <c r="I52" s="75">
        <v>16217483.159999996</v>
      </c>
    </row>
    <row r="53" spans="1:9" x14ac:dyDescent="0.25">
      <c r="A53" s="74" t="s">
        <v>488</v>
      </c>
      <c r="B53" s="75">
        <v>892895.59000000008</v>
      </c>
      <c r="C53" s="75">
        <v>1323718.69</v>
      </c>
      <c r="D53" s="76">
        <v>430823.09999999986</v>
      </c>
      <c r="E53" s="76">
        <v>65198</v>
      </c>
      <c r="F53" s="101">
        <v>8</v>
      </c>
      <c r="G53" s="75">
        <v>35484597.839999996</v>
      </c>
      <c r="H53" s="75">
        <v>53900910.449999996</v>
      </c>
      <c r="I53" s="75">
        <v>18416312.609999999</v>
      </c>
    </row>
    <row r="54" spans="1:9" x14ac:dyDescent="0.25">
      <c r="A54" s="74" t="s">
        <v>24</v>
      </c>
      <c r="B54" s="75">
        <v>17846603.605428573</v>
      </c>
      <c r="C54" s="75">
        <v>18258329.893142853</v>
      </c>
      <c r="D54" s="76">
        <v>411726.28771428019</v>
      </c>
      <c r="E54" s="76">
        <v>303505.57</v>
      </c>
      <c r="F54" s="101">
        <v>18</v>
      </c>
      <c r="G54" s="75">
        <v>149340903.47</v>
      </c>
      <c r="H54" s="75">
        <v>172026684.69000003</v>
      </c>
      <c r="I54" s="75">
        <v>22685781.220000029</v>
      </c>
    </row>
    <row r="55" spans="1:9" x14ac:dyDescent="0.25">
      <c r="A55" s="77" t="s">
        <v>213</v>
      </c>
      <c r="B55" s="78">
        <v>2498965884.3599639</v>
      </c>
      <c r="C55" s="78">
        <v>2439655018.805974</v>
      </c>
      <c r="D55" s="79">
        <v>-59310865.553989142</v>
      </c>
      <c r="E55" s="79">
        <v>40583320.700000003</v>
      </c>
      <c r="F55" s="102">
        <v>370</v>
      </c>
      <c r="G55" s="78">
        <v>3863621042.0000005</v>
      </c>
      <c r="H55" s="78">
        <v>4065862882.1999993</v>
      </c>
      <c r="I55" s="78">
        <v>202241840.19999886</v>
      </c>
    </row>
    <row r="57" spans="1:9" x14ac:dyDescent="0.25">
      <c r="A57" s="71" t="s">
        <v>217</v>
      </c>
      <c r="B57" s="116" t="s">
        <v>211</v>
      </c>
      <c r="C57" s="117"/>
      <c r="D57" s="117"/>
      <c r="E57" s="117"/>
      <c r="F57" s="118"/>
      <c r="G57" s="113" t="s">
        <v>214</v>
      </c>
      <c r="H57" s="114"/>
      <c r="I57" s="115"/>
    </row>
    <row r="58" spans="1:9" ht="30" x14ac:dyDescent="0.25">
      <c r="A58" s="90"/>
      <c r="B58" s="72" t="s">
        <v>687</v>
      </c>
      <c r="C58" s="72" t="s">
        <v>688</v>
      </c>
      <c r="D58" s="72" t="s">
        <v>212</v>
      </c>
      <c r="E58" s="72" t="s">
        <v>554</v>
      </c>
      <c r="F58" s="100" t="s">
        <v>689</v>
      </c>
      <c r="G58" s="72" t="s">
        <v>687</v>
      </c>
      <c r="H58" s="72" t="s">
        <v>688</v>
      </c>
      <c r="I58" s="73" t="s">
        <v>212</v>
      </c>
    </row>
    <row r="59" spans="1:9" x14ac:dyDescent="0.25">
      <c r="A59" s="56" t="s">
        <v>218</v>
      </c>
      <c r="B59" s="57">
        <v>66881727.530000009</v>
      </c>
      <c r="C59" s="57">
        <v>72243038.140000001</v>
      </c>
      <c r="D59" s="57">
        <v>5361310.609999992</v>
      </c>
      <c r="E59" s="57">
        <v>9155551.1600000001</v>
      </c>
      <c r="F59" s="103">
        <v>24</v>
      </c>
      <c r="G59" s="57">
        <v>74343269.489999995</v>
      </c>
      <c r="H59" s="57">
        <v>70640303.75</v>
      </c>
      <c r="I59" s="57">
        <v>-3702965.7399999946</v>
      </c>
    </row>
    <row r="60" spans="1:9" x14ac:dyDescent="0.25">
      <c r="A60" s="56" t="s">
        <v>219</v>
      </c>
      <c r="B60" s="57">
        <v>134746500.24000001</v>
      </c>
      <c r="C60" s="57">
        <v>109066043.3</v>
      </c>
      <c r="D60" s="57">
        <v>-25680456.940000013</v>
      </c>
      <c r="E60" s="57">
        <v>138508.29</v>
      </c>
      <c r="F60" s="103">
        <v>4</v>
      </c>
      <c r="G60" s="57">
        <v>247115242.66999999</v>
      </c>
      <c r="H60" s="57">
        <v>252036747.88</v>
      </c>
      <c r="I60" s="57">
        <v>4921505.2100000083</v>
      </c>
    </row>
    <row r="61" spans="1:9" x14ac:dyDescent="0.25">
      <c r="A61" s="56" t="s">
        <v>220</v>
      </c>
      <c r="B61" s="57">
        <v>1030104349.3599998</v>
      </c>
      <c r="C61" s="57">
        <v>977478718.7899996</v>
      </c>
      <c r="D61" s="57">
        <v>-52625630.570000172</v>
      </c>
      <c r="E61" s="57">
        <v>15624963.980000002</v>
      </c>
      <c r="F61" s="103">
        <v>9</v>
      </c>
      <c r="G61" s="57">
        <v>807143851.33999979</v>
      </c>
      <c r="H61" s="57">
        <v>815319183.21999967</v>
      </c>
      <c r="I61" s="57">
        <v>8175331.879999876</v>
      </c>
    </row>
    <row r="62" spans="1:9" x14ac:dyDescent="0.25">
      <c r="A62" s="56" t="s">
        <v>221</v>
      </c>
      <c r="B62" s="57">
        <v>152216257.86583072</v>
      </c>
      <c r="C62" s="57">
        <v>157387799.39517438</v>
      </c>
      <c r="D62" s="57">
        <v>5171541.5293436646</v>
      </c>
      <c r="E62" s="57">
        <v>1395415.01</v>
      </c>
      <c r="F62" s="103">
        <v>179</v>
      </c>
      <c r="G62" s="57">
        <v>1771403767.4999993</v>
      </c>
      <c r="H62" s="57">
        <v>1890669770.1099999</v>
      </c>
      <c r="I62" s="57">
        <v>119266002.61000061</v>
      </c>
    </row>
    <row r="63" spans="1:9" x14ac:dyDescent="0.25">
      <c r="A63" s="56" t="s">
        <v>222</v>
      </c>
      <c r="B63" s="57">
        <v>0</v>
      </c>
      <c r="C63" s="57">
        <v>6814304.4400000004</v>
      </c>
      <c r="D63" s="57">
        <v>6814304.4400000004</v>
      </c>
      <c r="E63" s="57">
        <v>6814304.4400000004</v>
      </c>
      <c r="F63" s="103">
        <v>1</v>
      </c>
      <c r="G63" s="57">
        <v>74864798.299999997</v>
      </c>
      <c r="H63" s="57">
        <v>157689683.40000001</v>
      </c>
      <c r="I63" s="57">
        <v>82824885.100000009</v>
      </c>
    </row>
    <row r="64" spans="1:9" x14ac:dyDescent="0.25">
      <c r="A64" s="56" t="s">
        <v>223</v>
      </c>
      <c r="B64" s="57">
        <v>1088181049.4141343</v>
      </c>
      <c r="C64" s="57">
        <v>1089042839.5008013</v>
      </c>
      <c r="D64" s="57">
        <v>861790.08666706085</v>
      </c>
      <c r="E64" s="57">
        <v>7223717.3799999999</v>
      </c>
      <c r="F64" s="103">
        <v>134</v>
      </c>
      <c r="G64" s="57">
        <v>856749179.73999918</v>
      </c>
      <c r="H64" s="57">
        <v>848607695.73999894</v>
      </c>
      <c r="I64" s="57">
        <v>-8141484.0000002384</v>
      </c>
    </row>
    <row r="65" spans="1:9" x14ac:dyDescent="0.25">
      <c r="A65" s="56" t="s">
        <v>224</v>
      </c>
      <c r="B65" s="57">
        <v>0</v>
      </c>
      <c r="C65" s="57">
        <v>0</v>
      </c>
      <c r="D65" s="57">
        <v>0</v>
      </c>
      <c r="E65" s="57">
        <v>0</v>
      </c>
      <c r="F65" s="103">
        <v>0</v>
      </c>
      <c r="G65" s="57">
        <v>0</v>
      </c>
      <c r="H65" s="57">
        <v>0</v>
      </c>
      <c r="I65" s="57">
        <v>0</v>
      </c>
    </row>
    <row r="66" spans="1:9" x14ac:dyDescent="0.25">
      <c r="A66" s="56" t="s">
        <v>225</v>
      </c>
      <c r="B66" s="57">
        <v>4148503.7800000003</v>
      </c>
      <c r="C66" s="57">
        <v>4574712.68</v>
      </c>
      <c r="D66" s="57">
        <v>426208.89999999944</v>
      </c>
      <c r="E66" s="57">
        <v>130460.78</v>
      </c>
      <c r="F66" s="103">
        <v>3</v>
      </c>
      <c r="G66" s="57">
        <v>15191174.83</v>
      </c>
      <c r="H66" s="57">
        <v>14546538.680000003</v>
      </c>
      <c r="I66" s="57">
        <v>-644636.14999999665</v>
      </c>
    </row>
    <row r="67" spans="1:9" x14ac:dyDescent="0.25">
      <c r="A67" s="56" t="s">
        <v>226</v>
      </c>
      <c r="B67" s="57">
        <v>4737742.5599999996</v>
      </c>
      <c r="C67" s="57">
        <v>5113454.9399999995</v>
      </c>
      <c r="D67" s="57">
        <v>375712.37999999989</v>
      </c>
      <c r="E67" s="57">
        <v>0</v>
      </c>
      <c r="F67" s="103">
        <v>0</v>
      </c>
      <c r="G67" s="57">
        <v>-1889552</v>
      </c>
      <c r="H67" s="57">
        <v>-1889552</v>
      </c>
      <c r="I67" s="57">
        <v>0</v>
      </c>
    </row>
    <row r="68" spans="1:9" x14ac:dyDescent="0.25">
      <c r="A68" s="56" t="s">
        <v>227</v>
      </c>
      <c r="B68" s="57">
        <v>2469657.31</v>
      </c>
      <c r="C68" s="57">
        <v>2421139.61</v>
      </c>
      <c r="D68" s="57">
        <v>-48517.700000000186</v>
      </c>
      <c r="E68" s="57">
        <v>0</v>
      </c>
      <c r="F68" s="103">
        <v>0</v>
      </c>
      <c r="G68" s="57">
        <v>2815331.46</v>
      </c>
      <c r="H68" s="57">
        <v>3480728.96</v>
      </c>
      <c r="I68" s="57">
        <v>665397.5</v>
      </c>
    </row>
    <row r="69" spans="1:9" x14ac:dyDescent="0.25">
      <c r="A69" s="56" t="s">
        <v>228</v>
      </c>
      <c r="B69" s="57">
        <v>10955248.139999999</v>
      </c>
      <c r="C69" s="57">
        <v>10927943.049999995</v>
      </c>
      <c r="D69" s="57">
        <v>-27305.090000003576</v>
      </c>
      <c r="E69" s="57">
        <v>0</v>
      </c>
      <c r="F69" s="103">
        <v>0</v>
      </c>
      <c r="G69" s="57">
        <v>7318057.6499999994</v>
      </c>
      <c r="H69" s="57">
        <v>6283843.7400000002</v>
      </c>
      <c r="I69" s="57">
        <v>-1034213.9099999992</v>
      </c>
    </row>
    <row r="70" spans="1:9" x14ac:dyDescent="0.25">
      <c r="A70" s="56" t="s">
        <v>229</v>
      </c>
      <c r="B70" s="57">
        <v>2951625.19</v>
      </c>
      <c r="C70" s="57">
        <v>2954538.49</v>
      </c>
      <c r="D70" s="57">
        <v>2913.3000000002794</v>
      </c>
      <c r="E70" s="57">
        <v>0</v>
      </c>
      <c r="F70" s="103">
        <v>0</v>
      </c>
      <c r="G70" s="57">
        <v>3761255.58</v>
      </c>
      <c r="H70" s="57">
        <v>3761255.58</v>
      </c>
      <c r="I70" s="57">
        <v>0</v>
      </c>
    </row>
    <row r="71" spans="1:9" x14ac:dyDescent="0.25">
      <c r="A71" s="56" t="s">
        <v>230</v>
      </c>
      <c r="B71" s="57">
        <v>1573222.9699999995</v>
      </c>
      <c r="C71" s="57">
        <v>1630486.4699999995</v>
      </c>
      <c r="D71" s="57">
        <v>57263.5</v>
      </c>
      <c r="E71" s="57">
        <v>100399.66</v>
      </c>
      <c r="F71" s="103">
        <v>16</v>
      </c>
      <c r="G71" s="57">
        <v>4804665.4400000013</v>
      </c>
      <c r="H71" s="57">
        <v>4716683.1399999987</v>
      </c>
      <c r="I71" s="57">
        <v>-87982.300000002608</v>
      </c>
    </row>
    <row r="72" spans="1:9" x14ac:dyDescent="0.25">
      <c r="A72" s="91" t="s">
        <v>213</v>
      </c>
      <c r="B72" s="92">
        <v>2498965884.3599644</v>
      </c>
      <c r="C72" s="92">
        <v>2439655018.805975</v>
      </c>
      <c r="D72" s="92">
        <v>-59310865.55398941</v>
      </c>
      <c r="E72" s="92">
        <v>40583320.700000003</v>
      </c>
      <c r="F72" s="104">
        <v>370</v>
      </c>
      <c r="G72" s="92">
        <v>3863621041.9999986</v>
      </c>
      <c r="H72" s="92">
        <v>4065862882.1999979</v>
      </c>
      <c r="I72" s="92">
        <v>202241840.19999933</v>
      </c>
    </row>
  </sheetData>
  <mergeCells count="4">
    <mergeCell ref="B40:F40"/>
    <mergeCell ref="G40:I40"/>
    <mergeCell ref="B57:F57"/>
    <mergeCell ref="G57:I57"/>
  </mergeCells>
  <phoneticPr fontId="3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A1A6-A80D-4B9B-B29A-1E3EBF8DFD1F}">
  <dimension ref="A1:K105"/>
  <sheetViews>
    <sheetView topLeftCell="A88" workbookViewId="0">
      <selection activeCell="A90" sqref="A90:I105"/>
    </sheetView>
  </sheetViews>
  <sheetFormatPr defaultColWidth="9.140625" defaultRowHeight="15" x14ac:dyDescent="0.25"/>
  <cols>
    <col min="1" max="1" width="20.5703125" style="1" bestFit="1" customWidth="1"/>
    <col min="2" max="3" width="16.28515625" style="1" bestFit="1" customWidth="1"/>
    <col min="4" max="5" width="14.7109375" style="1" bestFit="1" customWidth="1"/>
    <col min="6" max="6" width="16.140625" style="1" customWidth="1"/>
    <col min="7" max="8" width="16.28515625" style="1" bestFit="1" customWidth="1"/>
    <col min="9" max="9" width="14.7109375" style="1" customWidth="1"/>
    <col min="10" max="16384" width="9.140625" style="1"/>
  </cols>
  <sheetData>
    <row r="1" spans="1:9" x14ac:dyDescent="0.25">
      <c r="A1" s="93"/>
      <c r="B1" s="119" t="s">
        <v>672</v>
      </c>
      <c r="C1" s="120"/>
      <c r="D1" s="120"/>
      <c r="E1" s="121"/>
      <c r="F1" s="119" t="s">
        <v>673</v>
      </c>
      <c r="G1" s="120"/>
      <c r="H1" s="120"/>
      <c r="I1" s="121"/>
    </row>
    <row r="2" spans="1:9" ht="30" x14ac:dyDescent="0.25">
      <c r="A2" s="68" t="s">
        <v>1</v>
      </c>
      <c r="B2" s="68" t="s">
        <v>305</v>
      </c>
      <c r="C2" s="68" t="s">
        <v>306</v>
      </c>
      <c r="D2" s="68" t="s">
        <v>307</v>
      </c>
      <c r="E2" s="68" t="s">
        <v>308</v>
      </c>
      <c r="F2" s="68" t="s">
        <v>305</v>
      </c>
      <c r="G2" s="68" t="s">
        <v>306</v>
      </c>
      <c r="H2" s="68" t="s">
        <v>307</v>
      </c>
      <c r="I2" s="68" t="s">
        <v>308</v>
      </c>
    </row>
    <row r="3" spans="1:9" x14ac:dyDescent="0.25">
      <c r="A3" s="56" t="s">
        <v>26</v>
      </c>
      <c r="B3" s="57">
        <v>8807749</v>
      </c>
      <c r="C3" s="57">
        <v>81943754.400000006</v>
      </c>
      <c r="D3" s="57">
        <v>25968913.350000001</v>
      </c>
      <c r="E3" s="57">
        <v>116720416.75</v>
      </c>
      <c r="F3" s="56">
        <v>229</v>
      </c>
      <c r="G3" s="56">
        <v>652</v>
      </c>
      <c r="H3" s="56">
        <v>40</v>
      </c>
      <c r="I3" s="56">
        <v>921</v>
      </c>
    </row>
    <row r="4" spans="1:9" x14ac:dyDescent="0.25">
      <c r="A4" s="56" t="s">
        <v>30</v>
      </c>
      <c r="B4" s="57">
        <v>6040247.5999999996</v>
      </c>
      <c r="C4" s="57">
        <v>17900245.66</v>
      </c>
      <c r="D4" s="57">
        <v>2102411.69</v>
      </c>
      <c r="E4" s="57">
        <v>26042904.949999999</v>
      </c>
      <c r="F4" s="56">
        <v>178</v>
      </c>
      <c r="G4" s="56">
        <v>488</v>
      </c>
      <c r="H4" s="56">
        <v>23</v>
      </c>
      <c r="I4" s="56">
        <v>689</v>
      </c>
    </row>
    <row r="5" spans="1:9" x14ac:dyDescent="0.25">
      <c r="A5" s="56" t="s">
        <v>654</v>
      </c>
      <c r="B5" s="57">
        <v>34698305.649999999</v>
      </c>
      <c r="C5" s="57">
        <v>107948983.88</v>
      </c>
      <c r="D5" s="57">
        <v>9114575.8900000006</v>
      </c>
      <c r="E5" s="57">
        <v>151761865.42000002</v>
      </c>
      <c r="F5" s="56">
        <v>278</v>
      </c>
      <c r="G5" s="56">
        <v>542</v>
      </c>
      <c r="H5" s="56">
        <v>49</v>
      </c>
      <c r="I5" s="56">
        <v>869</v>
      </c>
    </row>
    <row r="6" spans="1:9" x14ac:dyDescent="0.25">
      <c r="A6" s="56" t="s">
        <v>20</v>
      </c>
      <c r="B6" s="57">
        <v>10160577.6</v>
      </c>
      <c r="C6" s="57">
        <v>24467830.75</v>
      </c>
      <c r="D6" s="57">
        <v>3727076.6100000003</v>
      </c>
      <c r="E6" s="57">
        <v>38355484.960000001</v>
      </c>
      <c r="F6" s="56">
        <v>195</v>
      </c>
      <c r="G6" s="56">
        <v>593</v>
      </c>
      <c r="H6" s="56">
        <v>30</v>
      </c>
      <c r="I6" s="56">
        <v>818</v>
      </c>
    </row>
    <row r="7" spans="1:9" x14ac:dyDescent="0.25">
      <c r="A7" s="56" t="s">
        <v>24</v>
      </c>
      <c r="B7" s="57">
        <v>1259851.3</v>
      </c>
      <c r="C7" s="57">
        <v>5670658.2599999998</v>
      </c>
      <c r="D7" s="57">
        <v>718374.16999999993</v>
      </c>
      <c r="E7" s="57">
        <v>7648883.7299999995</v>
      </c>
      <c r="F7" s="56">
        <v>66</v>
      </c>
      <c r="G7" s="56">
        <v>344</v>
      </c>
      <c r="H7" s="56">
        <v>12</v>
      </c>
      <c r="I7" s="56">
        <v>422</v>
      </c>
    </row>
    <row r="8" spans="1:9" x14ac:dyDescent="0.25">
      <c r="A8" s="56" t="s">
        <v>17</v>
      </c>
      <c r="B8" s="57">
        <v>7021495.2699999996</v>
      </c>
      <c r="C8" s="57">
        <v>14897902.529999999</v>
      </c>
      <c r="D8" s="57">
        <v>5136411.0699999994</v>
      </c>
      <c r="E8" s="57">
        <v>27055808.869999997</v>
      </c>
      <c r="F8" s="56">
        <v>182</v>
      </c>
      <c r="G8" s="56">
        <v>409</v>
      </c>
      <c r="H8" s="56">
        <v>44</v>
      </c>
      <c r="I8" s="56">
        <v>635</v>
      </c>
    </row>
    <row r="9" spans="1:9" x14ac:dyDescent="0.25">
      <c r="A9" s="56" t="s">
        <v>13</v>
      </c>
      <c r="B9" s="57">
        <v>2672924.5</v>
      </c>
      <c r="C9" s="57">
        <v>14253209.01</v>
      </c>
      <c r="D9" s="57">
        <v>1706574.1000000003</v>
      </c>
      <c r="E9" s="57">
        <v>18632707.609999999</v>
      </c>
      <c r="F9" s="56">
        <v>249</v>
      </c>
      <c r="G9" s="56">
        <v>698</v>
      </c>
      <c r="H9" s="56">
        <v>41</v>
      </c>
      <c r="I9" s="56">
        <v>988</v>
      </c>
    </row>
    <row r="10" spans="1:9" x14ac:dyDescent="0.25">
      <c r="A10" s="56" t="s">
        <v>12</v>
      </c>
      <c r="B10" s="57">
        <v>518706</v>
      </c>
      <c r="C10" s="57">
        <v>4852493.7299999995</v>
      </c>
      <c r="D10" s="57">
        <v>1844396.74</v>
      </c>
      <c r="E10" s="57">
        <v>7215596.4699999997</v>
      </c>
      <c r="F10" s="56">
        <v>71</v>
      </c>
      <c r="G10" s="56">
        <v>380</v>
      </c>
      <c r="H10" s="56">
        <v>22</v>
      </c>
      <c r="I10" s="56">
        <v>473</v>
      </c>
    </row>
    <row r="11" spans="1:9" x14ac:dyDescent="0.25">
      <c r="A11" s="56" t="s">
        <v>34</v>
      </c>
      <c r="B11" s="57">
        <v>24646100.359999999</v>
      </c>
      <c r="C11" s="57">
        <v>29207206.75</v>
      </c>
      <c r="D11" s="57">
        <v>1389791.02</v>
      </c>
      <c r="E11" s="57">
        <v>55243098.130000003</v>
      </c>
      <c r="F11" s="56">
        <v>226</v>
      </c>
      <c r="G11" s="56">
        <v>349</v>
      </c>
      <c r="H11" s="56">
        <v>18</v>
      </c>
      <c r="I11" s="56">
        <v>593</v>
      </c>
    </row>
    <row r="12" spans="1:9" x14ac:dyDescent="0.25">
      <c r="A12" s="56" t="s">
        <v>9</v>
      </c>
      <c r="B12" s="57">
        <v>2627815.7800000003</v>
      </c>
      <c r="C12" s="57">
        <v>11736399.619999999</v>
      </c>
      <c r="D12" s="57">
        <v>2685526.6</v>
      </c>
      <c r="E12" s="57">
        <v>17049742</v>
      </c>
      <c r="F12" s="56">
        <v>138</v>
      </c>
      <c r="G12" s="56">
        <v>344</v>
      </c>
      <c r="H12" s="56">
        <v>21</v>
      </c>
      <c r="I12" s="56">
        <v>503</v>
      </c>
    </row>
    <row r="13" spans="1:9" x14ac:dyDescent="0.25">
      <c r="A13" s="56" t="s">
        <v>37</v>
      </c>
      <c r="B13" s="57">
        <v>1197728.7</v>
      </c>
      <c r="C13" s="57">
        <v>2219774.0999999996</v>
      </c>
      <c r="D13" s="57">
        <v>27220</v>
      </c>
      <c r="E13" s="57">
        <v>3444722.8</v>
      </c>
      <c r="F13" s="56">
        <v>43</v>
      </c>
      <c r="G13" s="56">
        <v>105</v>
      </c>
      <c r="H13" s="56">
        <v>3</v>
      </c>
      <c r="I13" s="56">
        <v>151</v>
      </c>
    </row>
    <row r="14" spans="1:9" x14ac:dyDescent="0.25">
      <c r="A14" s="56" t="s">
        <v>488</v>
      </c>
      <c r="B14" s="57">
        <v>807841</v>
      </c>
      <c r="C14" s="57">
        <v>715413</v>
      </c>
      <c r="D14" s="57">
        <v>0</v>
      </c>
      <c r="E14" s="57">
        <v>1523254</v>
      </c>
      <c r="F14" s="56">
        <v>21</v>
      </c>
      <c r="G14" s="56">
        <v>62</v>
      </c>
      <c r="H14" s="56">
        <v>0</v>
      </c>
      <c r="I14" s="56">
        <v>83</v>
      </c>
    </row>
    <row r="15" spans="1:9" x14ac:dyDescent="0.25">
      <c r="A15" s="56" t="s">
        <v>19</v>
      </c>
      <c r="B15" s="57">
        <v>640732.55000000005</v>
      </c>
      <c r="C15" s="57">
        <v>1786931</v>
      </c>
      <c r="D15" s="57">
        <v>3297</v>
      </c>
      <c r="E15" s="57">
        <v>2430960.5499999998</v>
      </c>
      <c r="F15" s="56">
        <v>68</v>
      </c>
      <c r="G15" s="56">
        <v>221</v>
      </c>
      <c r="H15" s="56">
        <v>2</v>
      </c>
      <c r="I15" s="56">
        <v>291</v>
      </c>
    </row>
    <row r="16" spans="1:9" x14ac:dyDescent="0.25">
      <c r="A16" s="93" t="s">
        <v>68</v>
      </c>
      <c r="B16" s="94">
        <v>101100075.31</v>
      </c>
      <c r="C16" s="94">
        <v>317600802.69</v>
      </c>
      <c r="D16" s="94">
        <v>54424568.240000017</v>
      </c>
      <c r="E16" s="94">
        <v>473125446.24000007</v>
      </c>
      <c r="F16" s="93">
        <v>1944</v>
      </c>
      <c r="G16" s="93">
        <v>5187</v>
      </c>
      <c r="H16" s="93">
        <v>305</v>
      </c>
      <c r="I16" s="93">
        <v>7436</v>
      </c>
    </row>
    <row r="17" spans="1:9" x14ac:dyDescent="0.25">
      <c r="A17" s="56"/>
      <c r="B17" s="56"/>
      <c r="C17" s="56"/>
      <c r="D17" s="56"/>
      <c r="E17" s="56"/>
      <c r="F17" s="56"/>
      <c r="G17" s="56"/>
      <c r="H17" s="56"/>
      <c r="I17" s="56"/>
    </row>
    <row r="18" spans="1:9" x14ac:dyDescent="0.25">
      <c r="A18" s="68"/>
      <c r="B18" s="119" t="s">
        <v>672</v>
      </c>
      <c r="C18" s="120"/>
      <c r="D18" s="120"/>
      <c r="E18" s="121"/>
      <c r="F18" s="119" t="s">
        <v>673</v>
      </c>
      <c r="G18" s="120"/>
      <c r="H18" s="120"/>
      <c r="I18" s="121"/>
    </row>
    <row r="19" spans="1:9" ht="30" x14ac:dyDescent="0.25">
      <c r="A19" s="68" t="s">
        <v>309</v>
      </c>
      <c r="B19" s="68" t="s">
        <v>305</v>
      </c>
      <c r="C19" s="68" t="s">
        <v>306</v>
      </c>
      <c r="D19" s="68" t="s">
        <v>307</v>
      </c>
      <c r="E19" s="68" t="s">
        <v>308</v>
      </c>
      <c r="F19" s="68" t="s">
        <v>305</v>
      </c>
      <c r="G19" s="68" t="s">
        <v>306</v>
      </c>
      <c r="H19" s="68" t="s">
        <v>307</v>
      </c>
      <c r="I19" s="68" t="s">
        <v>308</v>
      </c>
    </row>
    <row r="20" spans="1:9" x14ac:dyDescent="0.25">
      <c r="A20" s="56" t="s">
        <v>219</v>
      </c>
      <c r="B20" s="57">
        <v>3005804</v>
      </c>
      <c r="C20" s="57">
        <v>44655320.109999999</v>
      </c>
      <c r="D20" s="57">
        <v>38067</v>
      </c>
      <c r="E20" s="57">
        <v>47699191.109999999</v>
      </c>
      <c r="F20" s="56">
        <v>9</v>
      </c>
      <c r="G20" s="56">
        <v>31</v>
      </c>
      <c r="H20" s="56">
        <v>1</v>
      </c>
      <c r="I20" s="56">
        <v>41</v>
      </c>
    </row>
    <row r="21" spans="1:9" x14ac:dyDescent="0.25">
      <c r="A21" s="56" t="s">
        <v>223</v>
      </c>
      <c r="B21" s="57">
        <v>38790347.030000001</v>
      </c>
      <c r="C21" s="57">
        <v>86515092.75999999</v>
      </c>
      <c r="D21" s="57">
        <v>9455281.3499999996</v>
      </c>
      <c r="E21" s="57">
        <v>134760721.13999999</v>
      </c>
      <c r="F21" s="56">
        <v>453</v>
      </c>
      <c r="G21" s="56">
        <v>803</v>
      </c>
      <c r="H21" s="56">
        <v>41</v>
      </c>
      <c r="I21" s="56">
        <v>1297</v>
      </c>
    </row>
    <row r="22" spans="1:9" x14ac:dyDescent="0.25">
      <c r="A22" s="56" t="s">
        <v>221</v>
      </c>
      <c r="B22" s="57">
        <v>12559739.920000002</v>
      </c>
      <c r="C22" s="57">
        <v>64324184.800000027</v>
      </c>
      <c r="D22" s="57">
        <v>18700907.490000002</v>
      </c>
      <c r="E22" s="57">
        <v>95584832.210000038</v>
      </c>
      <c r="F22" s="56">
        <v>1364</v>
      </c>
      <c r="G22" s="56">
        <v>4133</v>
      </c>
      <c r="H22" s="56">
        <v>204</v>
      </c>
      <c r="I22" s="56">
        <v>5701</v>
      </c>
    </row>
    <row r="23" spans="1:9" x14ac:dyDescent="0.25">
      <c r="A23" s="56" t="s">
        <v>218</v>
      </c>
      <c r="B23" s="57">
        <v>13320220.359999999</v>
      </c>
      <c r="C23" s="57">
        <v>24715184.25</v>
      </c>
      <c r="D23" s="57">
        <v>6497814</v>
      </c>
      <c r="E23" s="57">
        <v>44533218.609999999</v>
      </c>
      <c r="F23" s="56">
        <v>42</v>
      </c>
      <c r="G23" s="56">
        <v>112</v>
      </c>
      <c r="H23" s="56">
        <v>54</v>
      </c>
      <c r="I23" s="56">
        <v>208</v>
      </c>
    </row>
    <row r="24" spans="1:9" x14ac:dyDescent="0.25">
      <c r="A24" s="56" t="s">
        <v>227</v>
      </c>
      <c r="B24" s="57">
        <v>74339</v>
      </c>
      <c r="C24" s="57">
        <v>56801</v>
      </c>
      <c r="D24" s="57">
        <v>0</v>
      </c>
      <c r="E24" s="57">
        <v>131140</v>
      </c>
      <c r="F24" s="56">
        <v>3</v>
      </c>
      <c r="G24" s="56">
        <v>2</v>
      </c>
      <c r="H24" s="56">
        <v>0</v>
      </c>
      <c r="I24" s="56">
        <v>5</v>
      </c>
    </row>
    <row r="25" spans="1:9" x14ac:dyDescent="0.25">
      <c r="A25" s="56" t="s">
        <v>228</v>
      </c>
      <c r="B25" s="57">
        <v>0</v>
      </c>
      <c r="C25" s="57">
        <v>0</v>
      </c>
      <c r="D25" s="57">
        <v>0</v>
      </c>
      <c r="E25" s="57">
        <v>0</v>
      </c>
      <c r="F25" s="56">
        <v>0</v>
      </c>
      <c r="G25" s="56">
        <v>0</v>
      </c>
      <c r="H25" s="56">
        <v>0</v>
      </c>
      <c r="I25" s="56">
        <v>0</v>
      </c>
    </row>
    <row r="26" spans="1:9" x14ac:dyDescent="0.25">
      <c r="A26" s="56" t="s">
        <v>674</v>
      </c>
      <c r="B26" s="57">
        <v>32263964</v>
      </c>
      <c r="C26" s="57">
        <v>41969194</v>
      </c>
      <c r="D26" s="57">
        <v>217000</v>
      </c>
      <c r="E26" s="57">
        <v>74450158</v>
      </c>
      <c r="F26" s="56">
        <v>46</v>
      </c>
      <c r="G26" s="56">
        <v>30</v>
      </c>
      <c r="H26" s="56">
        <v>1</v>
      </c>
      <c r="I26" s="56">
        <v>77</v>
      </c>
    </row>
    <row r="27" spans="1:9" x14ac:dyDescent="0.25">
      <c r="A27" s="56" t="s">
        <v>230</v>
      </c>
      <c r="B27" s="57">
        <v>188942</v>
      </c>
      <c r="C27" s="57">
        <v>573676.77</v>
      </c>
      <c r="D27" s="57">
        <v>55121</v>
      </c>
      <c r="E27" s="57">
        <v>817739.77</v>
      </c>
      <c r="F27" s="56">
        <v>18</v>
      </c>
      <c r="G27" s="56">
        <v>55</v>
      </c>
      <c r="H27" s="56">
        <v>3</v>
      </c>
      <c r="I27" s="56">
        <v>76</v>
      </c>
    </row>
    <row r="28" spans="1:9" x14ac:dyDescent="0.25">
      <c r="A28" s="56" t="s">
        <v>224</v>
      </c>
      <c r="B28" s="57">
        <v>0</v>
      </c>
      <c r="C28" s="57">
        <v>0</v>
      </c>
      <c r="D28" s="57">
        <v>0</v>
      </c>
      <c r="E28" s="57">
        <v>0</v>
      </c>
      <c r="F28" s="56">
        <v>0</v>
      </c>
      <c r="G28" s="56">
        <v>0</v>
      </c>
      <c r="H28" s="56">
        <v>0</v>
      </c>
      <c r="I28" s="56">
        <v>0</v>
      </c>
    </row>
    <row r="29" spans="1:9" x14ac:dyDescent="0.25">
      <c r="A29" s="56" t="s">
        <v>225</v>
      </c>
      <c r="B29" s="57">
        <v>896719</v>
      </c>
      <c r="C29" s="57">
        <v>719688</v>
      </c>
      <c r="D29" s="57">
        <v>0</v>
      </c>
      <c r="E29" s="57">
        <v>1616407</v>
      </c>
      <c r="F29" s="56">
        <v>9</v>
      </c>
      <c r="G29" s="56">
        <v>18</v>
      </c>
      <c r="H29" s="56">
        <v>0</v>
      </c>
      <c r="I29" s="56">
        <v>27</v>
      </c>
    </row>
    <row r="30" spans="1:9" x14ac:dyDescent="0.25">
      <c r="A30" s="56" t="s">
        <v>226</v>
      </c>
      <c r="B30" s="57">
        <v>0</v>
      </c>
      <c r="C30" s="57">
        <v>0</v>
      </c>
      <c r="D30" s="57">
        <v>0</v>
      </c>
      <c r="E30" s="57">
        <v>0</v>
      </c>
      <c r="F30" s="56">
        <v>0</v>
      </c>
      <c r="G30" s="56">
        <v>0</v>
      </c>
      <c r="H30" s="56">
        <v>0</v>
      </c>
      <c r="I30" s="56">
        <v>0</v>
      </c>
    </row>
    <row r="31" spans="1:9" x14ac:dyDescent="0.25">
      <c r="A31" s="56" t="s">
        <v>229</v>
      </c>
      <c r="B31" s="57">
        <v>0</v>
      </c>
      <c r="C31" s="57">
        <v>0</v>
      </c>
      <c r="D31" s="57">
        <v>0</v>
      </c>
      <c r="E31" s="57">
        <v>0</v>
      </c>
      <c r="F31" s="56">
        <v>0</v>
      </c>
      <c r="G31" s="56">
        <v>0</v>
      </c>
      <c r="H31" s="56">
        <v>0</v>
      </c>
      <c r="I31" s="56">
        <v>0</v>
      </c>
    </row>
    <row r="32" spans="1:9" x14ac:dyDescent="0.25">
      <c r="A32" s="56" t="s">
        <v>222</v>
      </c>
      <c r="B32" s="57">
        <v>0</v>
      </c>
      <c r="C32" s="57">
        <v>54071661</v>
      </c>
      <c r="D32" s="57">
        <v>19460377.399999999</v>
      </c>
      <c r="E32" s="57">
        <v>73532038.400000006</v>
      </c>
      <c r="F32" s="56">
        <v>0</v>
      </c>
      <c r="G32" s="56">
        <v>3</v>
      </c>
      <c r="H32" s="56">
        <v>1</v>
      </c>
      <c r="I32" s="56">
        <v>4</v>
      </c>
    </row>
    <row r="33" spans="1:11" x14ac:dyDescent="0.25">
      <c r="A33" s="93" t="s">
        <v>68</v>
      </c>
      <c r="B33" s="94">
        <v>101100075.31</v>
      </c>
      <c r="C33" s="94">
        <v>317600802.69000006</v>
      </c>
      <c r="D33" s="94">
        <v>54424568.240000002</v>
      </c>
      <c r="E33" s="94">
        <v>473125446.24000001</v>
      </c>
      <c r="F33" s="93">
        <v>1944</v>
      </c>
      <c r="G33" s="93">
        <v>5187</v>
      </c>
      <c r="H33" s="93">
        <v>305</v>
      </c>
      <c r="I33" s="93">
        <v>7436</v>
      </c>
    </row>
    <row r="35" spans="1:11" x14ac:dyDescent="0.25">
      <c r="A35" s="68"/>
      <c r="B35" s="119" t="s">
        <v>672</v>
      </c>
      <c r="C35" s="120"/>
      <c r="D35" s="120"/>
      <c r="E35" s="121"/>
      <c r="F35" s="119" t="s">
        <v>673</v>
      </c>
      <c r="G35" s="120"/>
      <c r="H35" s="120"/>
      <c r="I35" s="121"/>
      <c r="J35" s="56"/>
      <c r="K35" s="56"/>
    </row>
    <row r="36" spans="1:11" ht="30" x14ac:dyDescent="0.25">
      <c r="A36" s="68" t="s">
        <v>579</v>
      </c>
      <c r="B36" s="68" t="s">
        <v>305</v>
      </c>
      <c r="C36" s="68" t="s">
        <v>306</v>
      </c>
      <c r="D36" s="68" t="s">
        <v>307</v>
      </c>
      <c r="E36" s="68" t="s">
        <v>308</v>
      </c>
      <c r="F36" s="68" t="s">
        <v>305</v>
      </c>
      <c r="G36" s="68" t="s">
        <v>306</v>
      </c>
      <c r="H36" s="68" t="s">
        <v>307</v>
      </c>
      <c r="I36" s="68" t="s">
        <v>308</v>
      </c>
      <c r="J36" s="56"/>
      <c r="K36" s="56"/>
    </row>
    <row r="37" spans="1:11" x14ac:dyDescent="0.25">
      <c r="A37" s="56" t="s">
        <v>675</v>
      </c>
      <c r="B37" s="57">
        <v>8042286</v>
      </c>
      <c r="C37" s="57">
        <v>300000</v>
      </c>
      <c r="D37" s="57">
        <v>0</v>
      </c>
      <c r="E37" s="57">
        <v>8342286</v>
      </c>
      <c r="F37" s="56">
        <v>12</v>
      </c>
      <c r="G37" s="56">
        <v>1</v>
      </c>
      <c r="H37" s="56">
        <v>0</v>
      </c>
      <c r="I37" s="56">
        <v>13</v>
      </c>
      <c r="J37" s="56"/>
      <c r="K37" s="56"/>
    </row>
    <row r="38" spans="1:11" x14ac:dyDescent="0.25">
      <c r="A38" s="56" t="s">
        <v>676</v>
      </c>
      <c r="B38" s="57">
        <v>12559739.920000002</v>
      </c>
      <c r="C38" s="57">
        <v>64324184.800000027</v>
      </c>
      <c r="D38" s="57">
        <v>18700907.490000002</v>
      </c>
      <c r="E38" s="57">
        <v>95584832.210000038</v>
      </c>
      <c r="F38" s="56">
        <v>1364</v>
      </c>
      <c r="G38" s="56">
        <v>4133</v>
      </c>
      <c r="H38" s="56">
        <v>204</v>
      </c>
      <c r="I38" s="56">
        <v>5701</v>
      </c>
      <c r="J38" s="56"/>
      <c r="K38" s="56"/>
    </row>
    <row r="39" spans="1:11" x14ac:dyDescent="0.25">
      <c r="A39" s="56" t="s">
        <v>677</v>
      </c>
      <c r="B39" s="57">
        <v>23796812.359999999</v>
      </c>
      <c r="C39" s="57">
        <v>36938742.230000004</v>
      </c>
      <c r="D39" s="57">
        <v>2310689</v>
      </c>
      <c r="E39" s="57">
        <v>63046243.590000004</v>
      </c>
      <c r="F39" s="56">
        <v>143</v>
      </c>
      <c r="G39" s="56">
        <v>221</v>
      </c>
      <c r="H39" s="56">
        <v>16</v>
      </c>
      <c r="I39" s="56">
        <v>380</v>
      </c>
      <c r="J39" s="56"/>
      <c r="K39" s="56"/>
    </row>
    <row r="40" spans="1:11" x14ac:dyDescent="0.25">
      <c r="A40" s="56" t="s">
        <v>678</v>
      </c>
      <c r="B40" s="57">
        <v>74339</v>
      </c>
      <c r="C40" s="57">
        <v>56801</v>
      </c>
      <c r="D40" s="57">
        <v>0</v>
      </c>
      <c r="E40" s="57">
        <v>131140</v>
      </c>
      <c r="F40" s="56">
        <v>3</v>
      </c>
      <c r="G40" s="56">
        <v>2</v>
      </c>
      <c r="H40" s="56">
        <v>0</v>
      </c>
      <c r="I40" s="56">
        <v>5</v>
      </c>
      <c r="J40" s="56"/>
      <c r="K40" s="56"/>
    </row>
    <row r="41" spans="1:11" x14ac:dyDescent="0.25">
      <c r="A41" s="56" t="s">
        <v>679</v>
      </c>
      <c r="B41" s="57">
        <v>46395991.030000001</v>
      </c>
      <c r="C41" s="57">
        <v>213618142.66</v>
      </c>
      <c r="D41" s="57">
        <v>28903738.75</v>
      </c>
      <c r="E41" s="57">
        <v>288917872.44</v>
      </c>
      <c r="F41" s="56">
        <v>413</v>
      </c>
      <c r="G41" s="56">
        <v>824</v>
      </c>
      <c r="H41" s="56">
        <v>75</v>
      </c>
      <c r="I41" s="56">
        <v>1312</v>
      </c>
      <c r="J41" s="56"/>
      <c r="K41" s="56"/>
    </row>
    <row r="42" spans="1:11" x14ac:dyDescent="0.25">
      <c r="A42" s="56" t="s">
        <v>680</v>
      </c>
      <c r="B42" s="57">
        <v>10225747</v>
      </c>
      <c r="C42" s="57">
        <v>2352020</v>
      </c>
      <c r="D42" s="57">
        <v>4509233</v>
      </c>
      <c r="E42" s="57">
        <v>17087000</v>
      </c>
      <c r="F42" s="56">
        <v>8</v>
      </c>
      <c r="G42" s="56">
        <v>5</v>
      </c>
      <c r="H42" s="56">
        <v>10</v>
      </c>
      <c r="I42" s="56">
        <v>23</v>
      </c>
      <c r="J42" s="56"/>
      <c r="K42" s="56"/>
    </row>
    <row r="43" spans="1:11" x14ac:dyDescent="0.25">
      <c r="A43" s="56" t="s">
        <v>681</v>
      </c>
      <c r="B43" s="57">
        <v>5160</v>
      </c>
      <c r="C43" s="57">
        <v>10912</v>
      </c>
      <c r="D43" s="57">
        <v>0</v>
      </c>
      <c r="E43" s="57">
        <v>16072</v>
      </c>
      <c r="F43" s="56">
        <v>1</v>
      </c>
      <c r="G43" s="56">
        <v>1</v>
      </c>
      <c r="H43" s="56">
        <v>0</v>
      </c>
      <c r="I43" s="56">
        <v>2</v>
      </c>
      <c r="J43" s="56"/>
      <c r="K43" s="56"/>
    </row>
    <row r="44" spans="1:11" x14ac:dyDescent="0.25">
      <c r="A44" s="68" t="s">
        <v>68</v>
      </c>
      <c r="B44" s="69">
        <v>101100075.31</v>
      </c>
      <c r="C44" s="69">
        <v>317600802.69000006</v>
      </c>
      <c r="D44" s="69">
        <v>54424568.240000002</v>
      </c>
      <c r="E44" s="69">
        <v>473125446.24000001</v>
      </c>
      <c r="F44" s="68">
        <v>1944</v>
      </c>
      <c r="G44" s="68">
        <v>5187</v>
      </c>
      <c r="H44" s="68">
        <v>305</v>
      </c>
      <c r="I44" s="68">
        <v>7436</v>
      </c>
      <c r="J44" s="56"/>
      <c r="K44" s="56"/>
    </row>
    <row r="45" spans="1:11" x14ac:dyDescent="0.2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</row>
    <row r="46" spans="1:11" x14ac:dyDescent="0.25">
      <c r="A46" s="56"/>
      <c r="B46" s="119" t="s">
        <v>672</v>
      </c>
      <c r="C46" s="120"/>
      <c r="D46" s="120"/>
      <c r="E46" s="121"/>
      <c r="F46" s="119" t="s">
        <v>673</v>
      </c>
      <c r="G46" s="120"/>
      <c r="H46" s="120"/>
      <c r="I46" s="120"/>
      <c r="J46" s="120"/>
      <c r="K46" s="121"/>
    </row>
    <row r="47" spans="1:11" ht="30" x14ac:dyDescent="0.25">
      <c r="A47" s="68" t="s">
        <v>579</v>
      </c>
      <c r="B47" s="68" t="s">
        <v>682</v>
      </c>
      <c r="C47" s="68" t="s">
        <v>683</v>
      </c>
      <c r="D47" s="68" t="s">
        <v>684</v>
      </c>
      <c r="E47" s="68" t="s">
        <v>685</v>
      </c>
      <c r="F47" s="68" t="s">
        <v>686</v>
      </c>
      <c r="G47" s="68" t="s">
        <v>682</v>
      </c>
      <c r="H47" s="68" t="s">
        <v>683</v>
      </c>
      <c r="I47" s="68" t="s">
        <v>684</v>
      </c>
      <c r="J47" s="68" t="s">
        <v>685</v>
      </c>
      <c r="K47" s="68" t="s">
        <v>686</v>
      </c>
    </row>
    <row r="48" spans="1:11" x14ac:dyDescent="0.25">
      <c r="A48" s="56" t="s">
        <v>675</v>
      </c>
      <c r="B48" s="57">
        <v>2000000</v>
      </c>
      <c r="C48" s="57">
        <v>1349000</v>
      </c>
      <c r="D48" s="57">
        <v>2176919</v>
      </c>
      <c r="E48" s="57">
        <v>2816367</v>
      </c>
      <c r="F48" s="57">
        <v>8342286</v>
      </c>
      <c r="G48" s="56">
        <v>1</v>
      </c>
      <c r="H48" s="56">
        <v>4</v>
      </c>
      <c r="I48" s="56">
        <v>5</v>
      </c>
      <c r="J48" s="56">
        <v>3</v>
      </c>
      <c r="K48" s="56">
        <v>13</v>
      </c>
    </row>
    <row r="49" spans="1:11" x14ac:dyDescent="0.25">
      <c r="A49" s="56" t="s">
        <v>676</v>
      </c>
      <c r="B49" s="57">
        <v>17402668.550000004</v>
      </c>
      <c r="C49" s="57">
        <v>30842748.120000001</v>
      </c>
      <c r="D49" s="57">
        <v>26808746.09999999</v>
      </c>
      <c r="E49" s="57">
        <v>20530669.440000001</v>
      </c>
      <c r="F49" s="57">
        <v>95584832.209999993</v>
      </c>
      <c r="G49" s="56">
        <v>497</v>
      </c>
      <c r="H49" s="56">
        <v>1557</v>
      </c>
      <c r="I49" s="56">
        <v>1255</v>
      </c>
      <c r="J49" s="56">
        <v>2392</v>
      </c>
      <c r="K49" s="56">
        <v>5701</v>
      </c>
    </row>
    <row r="50" spans="1:11" x14ac:dyDescent="0.25">
      <c r="A50" s="56" t="s">
        <v>677</v>
      </c>
      <c r="B50" s="57">
        <v>28508433.019999996</v>
      </c>
      <c r="C50" s="57">
        <v>14737582.57</v>
      </c>
      <c r="D50" s="57">
        <v>10764398.5</v>
      </c>
      <c r="E50" s="57">
        <v>9035829.5</v>
      </c>
      <c r="F50" s="57">
        <v>63046243.589999996</v>
      </c>
      <c r="G50" s="56">
        <v>141</v>
      </c>
      <c r="H50" s="56">
        <v>92</v>
      </c>
      <c r="I50" s="56">
        <v>85</v>
      </c>
      <c r="J50" s="56">
        <v>62</v>
      </c>
      <c r="K50" s="56">
        <v>380</v>
      </c>
    </row>
    <row r="51" spans="1:11" x14ac:dyDescent="0.25">
      <c r="A51" s="56" t="s">
        <v>678</v>
      </c>
      <c r="B51" s="57">
        <v>131140</v>
      </c>
      <c r="C51" s="57">
        <v>0</v>
      </c>
      <c r="D51" s="57">
        <v>0</v>
      </c>
      <c r="E51" s="57">
        <v>0</v>
      </c>
      <c r="F51" s="57">
        <v>131140</v>
      </c>
      <c r="G51" s="56">
        <v>5</v>
      </c>
      <c r="H51" s="56">
        <v>0</v>
      </c>
      <c r="I51" s="56">
        <v>0</v>
      </c>
      <c r="J51" s="56">
        <v>0</v>
      </c>
      <c r="K51" s="56">
        <v>5</v>
      </c>
    </row>
    <row r="52" spans="1:11" x14ac:dyDescent="0.25">
      <c r="A52" s="56" t="s">
        <v>679</v>
      </c>
      <c r="B52" s="57">
        <v>152000414.15000001</v>
      </c>
      <c r="C52" s="57">
        <v>40128124.240000002</v>
      </c>
      <c r="D52" s="57">
        <v>53470357.049999997</v>
      </c>
      <c r="E52" s="57">
        <v>43318977</v>
      </c>
      <c r="F52" s="57">
        <v>288917872.44</v>
      </c>
      <c r="G52" s="56">
        <v>432</v>
      </c>
      <c r="H52" s="56">
        <v>308</v>
      </c>
      <c r="I52" s="56">
        <v>290</v>
      </c>
      <c r="J52" s="56">
        <v>282</v>
      </c>
      <c r="K52" s="56">
        <v>1312</v>
      </c>
    </row>
    <row r="53" spans="1:11" x14ac:dyDescent="0.25">
      <c r="A53" s="56" t="s">
        <v>680</v>
      </c>
      <c r="B53" s="57">
        <v>10000000</v>
      </c>
      <c r="C53" s="57">
        <v>1500000</v>
      </c>
      <c r="D53" s="57">
        <v>2100000</v>
      </c>
      <c r="E53" s="57">
        <v>3487000</v>
      </c>
      <c r="F53" s="57">
        <v>17087000</v>
      </c>
      <c r="G53" s="56">
        <v>14</v>
      </c>
      <c r="H53" s="56">
        <v>4</v>
      </c>
      <c r="I53" s="56">
        <v>2</v>
      </c>
      <c r="J53" s="56">
        <v>3</v>
      </c>
      <c r="K53" s="56">
        <v>23</v>
      </c>
    </row>
    <row r="54" spans="1:11" x14ac:dyDescent="0.25">
      <c r="A54" s="56" t="s">
        <v>681</v>
      </c>
      <c r="B54" s="57">
        <v>5160</v>
      </c>
      <c r="C54" s="57">
        <v>0</v>
      </c>
      <c r="D54" s="57">
        <v>0</v>
      </c>
      <c r="E54" s="57">
        <v>10912</v>
      </c>
      <c r="F54" s="57">
        <v>16072</v>
      </c>
      <c r="G54" s="56">
        <v>1</v>
      </c>
      <c r="H54" s="56">
        <v>0</v>
      </c>
      <c r="I54" s="56">
        <v>0</v>
      </c>
      <c r="J54" s="56">
        <v>1</v>
      </c>
      <c r="K54" s="56">
        <v>2</v>
      </c>
    </row>
    <row r="55" spans="1:11" x14ac:dyDescent="0.25">
      <c r="A55" s="68" t="s">
        <v>68</v>
      </c>
      <c r="B55" s="69">
        <v>210047815.72</v>
      </c>
      <c r="C55" s="69">
        <v>88557454.930000007</v>
      </c>
      <c r="D55" s="69">
        <v>95320420.649999991</v>
      </c>
      <c r="E55" s="69">
        <v>79199754.939999998</v>
      </c>
      <c r="F55" s="69">
        <v>473125446.24000001</v>
      </c>
      <c r="G55" s="68">
        <v>1091</v>
      </c>
      <c r="H55" s="68">
        <v>1965</v>
      </c>
      <c r="I55" s="68">
        <v>1637</v>
      </c>
      <c r="J55" s="68">
        <v>2743</v>
      </c>
      <c r="K55" s="68">
        <v>7436</v>
      </c>
    </row>
    <row r="57" spans="1:11" x14ac:dyDescent="0.25">
      <c r="A57" s="68" t="s">
        <v>1</v>
      </c>
      <c r="B57" s="68" t="s">
        <v>651</v>
      </c>
      <c r="C57" s="68" t="s">
        <v>155</v>
      </c>
      <c r="D57" s="68" t="s">
        <v>652</v>
      </c>
      <c r="E57" s="68" t="s">
        <v>653</v>
      </c>
    </row>
    <row r="58" spans="1:11" x14ac:dyDescent="0.25">
      <c r="A58" s="1" t="s">
        <v>654</v>
      </c>
      <c r="B58" s="2">
        <v>15235966.839999998</v>
      </c>
      <c r="C58" s="2">
        <v>133208459.03999999</v>
      </c>
      <c r="D58" s="2">
        <v>3317439.5399999996</v>
      </c>
      <c r="E58" s="2">
        <v>151761865.41999999</v>
      </c>
    </row>
    <row r="59" spans="1:11" x14ac:dyDescent="0.25">
      <c r="A59" s="1" t="s">
        <v>26</v>
      </c>
      <c r="B59" s="2">
        <v>10386607.140000001</v>
      </c>
      <c r="C59" s="2">
        <v>104454763.3</v>
      </c>
      <c r="D59" s="2">
        <v>1879046.31</v>
      </c>
      <c r="E59" s="2">
        <v>116720416.75</v>
      </c>
    </row>
    <row r="60" spans="1:11" x14ac:dyDescent="0.25">
      <c r="A60" s="1" t="s">
        <v>17</v>
      </c>
      <c r="B60" s="2">
        <v>5719306.3899999997</v>
      </c>
      <c r="C60" s="2">
        <v>20514483.649999999</v>
      </c>
      <c r="D60" s="2">
        <v>822018.83000000019</v>
      </c>
      <c r="E60" s="2">
        <v>27055808.870000001</v>
      </c>
    </row>
    <row r="61" spans="1:11" x14ac:dyDescent="0.25">
      <c r="A61" s="1" t="s">
        <v>9</v>
      </c>
      <c r="B61" s="2">
        <v>4046742.1400000006</v>
      </c>
      <c r="C61" s="2">
        <v>12442255.629999993</v>
      </c>
      <c r="D61" s="2">
        <v>560744.23</v>
      </c>
      <c r="E61" s="2">
        <v>17049741.999999993</v>
      </c>
    </row>
    <row r="62" spans="1:11" x14ac:dyDescent="0.25">
      <c r="A62" s="1" t="s">
        <v>34</v>
      </c>
      <c r="B62" s="2">
        <v>10668274.500000002</v>
      </c>
      <c r="C62" s="2">
        <v>43197426.029999979</v>
      </c>
      <c r="D62" s="2">
        <v>1377397.5999999999</v>
      </c>
      <c r="E62" s="2">
        <v>55243098.12999998</v>
      </c>
    </row>
    <row r="63" spans="1:11" x14ac:dyDescent="0.25">
      <c r="A63" s="1" t="s">
        <v>20</v>
      </c>
      <c r="B63" s="2">
        <v>5573591.2300000023</v>
      </c>
      <c r="C63" s="2">
        <v>26772833.469999999</v>
      </c>
      <c r="D63" s="2">
        <v>6009060.2599999998</v>
      </c>
      <c r="E63" s="2">
        <v>38355484.960000001</v>
      </c>
    </row>
    <row r="64" spans="1:11" x14ac:dyDescent="0.25">
      <c r="A64" s="1" t="s">
        <v>30</v>
      </c>
      <c r="B64" s="2">
        <v>6321325.1800000016</v>
      </c>
      <c r="C64" s="2">
        <v>18602384.830000006</v>
      </c>
      <c r="D64" s="2">
        <v>1119194.9400000006</v>
      </c>
      <c r="E64" s="2">
        <v>26042904.950000007</v>
      </c>
    </row>
    <row r="65" spans="1:9" x14ac:dyDescent="0.25">
      <c r="A65" s="1" t="s">
        <v>13</v>
      </c>
      <c r="B65" s="2">
        <v>5321452.1100000003</v>
      </c>
      <c r="C65" s="2">
        <v>12968100.370000001</v>
      </c>
      <c r="D65" s="2">
        <v>343155.13000000012</v>
      </c>
      <c r="E65" s="2">
        <v>18632707.609999999</v>
      </c>
    </row>
    <row r="66" spans="1:9" x14ac:dyDescent="0.25">
      <c r="A66" s="1" t="s">
        <v>24</v>
      </c>
      <c r="B66" s="2">
        <v>3003293.3800000004</v>
      </c>
      <c r="C66" s="2">
        <v>4474847.3600000013</v>
      </c>
      <c r="D66" s="2">
        <v>170742.98999999993</v>
      </c>
      <c r="E66" s="2">
        <v>7648883.7300000023</v>
      </c>
    </row>
    <row r="67" spans="1:9" x14ac:dyDescent="0.25">
      <c r="A67" s="1" t="s">
        <v>12</v>
      </c>
      <c r="B67" s="2">
        <v>2272618.73</v>
      </c>
      <c r="C67" s="2">
        <v>4899982.01</v>
      </c>
      <c r="D67" s="2">
        <v>42995.73</v>
      </c>
      <c r="E67" s="2">
        <v>7215596.4700000007</v>
      </c>
    </row>
    <row r="68" spans="1:9" x14ac:dyDescent="0.25">
      <c r="A68" s="1" t="s">
        <v>37</v>
      </c>
      <c r="B68" s="2">
        <v>923846.46</v>
      </c>
      <c r="C68" s="2">
        <v>2412803.2099999995</v>
      </c>
      <c r="D68" s="2">
        <v>108073.12999999998</v>
      </c>
      <c r="E68" s="2">
        <v>3444722.7999999993</v>
      </c>
    </row>
    <row r="69" spans="1:9" x14ac:dyDescent="0.25">
      <c r="A69" s="1" t="s">
        <v>488</v>
      </c>
      <c r="B69" s="2">
        <v>673516.3</v>
      </c>
      <c r="C69" s="2">
        <v>842126.14</v>
      </c>
      <c r="D69" s="2">
        <v>7611.5600000000013</v>
      </c>
      <c r="E69" s="2">
        <v>1523254</v>
      </c>
    </row>
    <row r="70" spans="1:9" x14ac:dyDescent="0.25">
      <c r="A70" s="1" t="s">
        <v>19</v>
      </c>
      <c r="B70" s="2">
        <v>1496073</v>
      </c>
      <c r="C70" s="2">
        <v>901688.67</v>
      </c>
      <c r="D70" s="2">
        <v>33198.880000000005</v>
      </c>
      <c r="E70" s="2">
        <v>2430960.5499999998</v>
      </c>
    </row>
    <row r="71" spans="1:9" x14ac:dyDescent="0.25">
      <c r="A71" s="68" t="s">
        <v>68</v>
      </c>
      <c r="B71" s="69">
        <v>71642613.399999991</v>
      </c>
      <c r="C71" s="69">
        <v>385692153.70999986</v>
      </c>
      <c r="D71" s="69">
        <v>15790679.130000005</v>
      </c>
      <c r="E71" s="69">
        <v>473125446.24000001</v>
      </c>
    </row>
    <row r="73" spans="1:9" x14ac:dyDescent="0.25">
      <c r="A73" s="89"/>
      <c r="B73" s="113" t="s">
        <v>211</v>
      </c>
      <c r="C73" s="114"/>
      <c r="D73" s="114"/>
      <c r="E73" s="114"/>
      <c r="F73" s="115"/>
      <c r="G73" s="113" t="s">
        <v>214</v>
      </c>
      <c r="H73" s="114"/>
      <c r="I73" s="115"/>
    </row>
    <row r="74" spans="1:9" ht="30" x14ac:dyDescent="0.25">
      <c r="A74" s="71" t="s">
        <v>1</v>
      </c>
      <c r="B74" s="72" t="s">
        <v>687</v>
      </c>
      <c r="C74" s="72" t="s">
        <v>688</v>
      </c>
      <c r="D74" s="72" t="s">
        <v>212</v>
      </c>
      <c r="E74" s="72" t="s">
        <v>554</v>
      </c>
      <c r="F74" s="100" t="s">
        <v>689</v>
      </c>
      <c r="G74" s="72" t="s">
        <v>687</v>
      </c>
      <c r="H74" s="72" t="s">
        <v>688</v>
      </c>
      <c r="I74" s="73" t="s">
        <v>212</v>
      </c>
    </row>
    <row r="75" spans="1:9" x14ac:dyDescent="0.25">
      <c r="A75" s="74" t="s">
        <v>34</v>
      </c>
      <c r="B75" s="75">
        <v>633807796.57999945</v>
      </c>
      <c r="C75" s="75">
        <v>637644710.28000021</v>
      </c>
      <c r="D75" s="76">
        <v>3836913.7000007629</v>
      </c>
      <c r="E75" s="76">
        <v>16227768.17</v>
      </c>
      <c r="F75" s="101">
        <v>33</v>
      </c>
      <c r="G75" s="75">
        <v>680021990.17999971</v>
      </c>
      <c r="H75" s="75">
        <v>719375782.06999934</v>
      </c>
      <c r="I75" s="75">
        <v>39353791.889999628</v>
      </c>
    </row>
    <row r="76" spans="1:9" x14ac:dyDescent="0.25">
      <c r="A76" s="74" t="s">
        <v>4</v>
      </c>
      <c r="B76" s="75">
        <v>885826033.48000002</v>
      </c>
      <c r="C76" s="75">
        <v>802712914.48999929</v>
      </c>
      <c r="D76" s="76">
        <v>-83113118.990000725</v>
      </c>
      <c r="E76" s="76">
        <v>5635321.3599999994</v>
      </c>
      <c r="F76" s="101">
        <v>26</v>
      </c>
      <c r="G76" s="75">
        <v>773921591.92000031</v>
      </c>
      <c r="H76" s="75">
        <v>808315061.45000029</v>
      </c>
      <c r="I76" s="75">
        <v>34393469.529999971</v>
      </c>
    </row>
    <row r="77" spans="1:9" x14ac:dyDescent="0.25">
      <c r="A77" s="74" t="s">
        <v>26</v>
      </c>
      <c r="B77" s="75">
        <v>268132229.95533323</v>
      </c>
      <c r="C77" s="75">
        <v>271323724.39314276</v>
      </c>
      <c r="D77" s="76">
        <v>3191494.4378095269</v>
      </c>
      <c r="E77" s="76">
        <v>9053144.8400000017</v>
      </c>
      <c r="F77" s="101">
        <v>70</v>
      </c>
      <c r="G77" s="75">
        <v>550606574.20000052</v>
      </c>
      <c r="H77" s="75">
        <v>575261700.21999991</v>
      </c>
      <c r="I77" s="75">
        <v>24655126.019999385</v>
      </c>
    </row>
    <row r="78" spans="1:9" x14ac:dyDescent="0.25">
      <c r="A78" s="74" t="s">
        <v>9</v>
      </c>
      <c r="B78" s="75">
        <v>171865521.69257131</v>
      </c>
      <c r="C78" s="75">
        <v>171670135.87257129</v>
      </c>
      <c r="D78" s="76">
        <v>-195385.82000002265</v>
      </c>
      <c r="E78" s="76">
        <v>855230.98</v>
      </c>
      <c r="F78" s="101">
        <v>18</v>
      </c>
      <c r="G78" s="75">
        <v>267058289.15000007</v>
      </c>
      <c r="H78" s="75">
        <v>281870163.41000003</v>
      </c>
      <c r="I78" s="75">
        <v>14811874.259999961</v>
      </c>
    </row>
    <row r="79" spans="1:9" x14ac:dyDescent="0.25">
      <c r="A79" s="74" t="s">
        <v>20</v>
      </c>
      <c r="B79" s="75">
        <v>209135088.4619047</v>
      </c>
      <c r="C79" s="75">
        <v>212743545.42285722</v>
      </c>
      <c r="D79" s="76">
        <v>3608456.9609525204</v>
      </c>
      <c r="E79" s="76">
        <v>1617016.88</v>
      </c>
      <c r="F79" s="101">
        <v>25</v>
      </c>
      <c r="G79" s="75">
        <v>298149081.27000004</v>
      </c>
      <c r="H79" s="75">
        <v>301091332.37999994</v>
      </c>
      <c r="I79" s="75">
        <v>2942251.1099998951</v>
      </c>
    </row>
    <row r="80" spans="1:9" x14ac:dyDescent="0.25">
      <c r="A80" s="74" t="s">
        <v>13</v>
      </c>
      <c r="B80" s="75">
        <v>97983733.841999963</v>
      </c>
      <c r="C80" s="75">
        <v>98866201.07600008</v>
      </c>
      <c r="D80" s="76">
        <v>882467.23400011659</v>
      </c>
      <c r="E80" s="76">
        <v>489703.29000000004</v>
      </c>
      <c r="F80" s="101">
        <v>39</v>
      </c>
      <c r="G80" s="75">
        <v>305059178.48000014</v>
      </c>
      <c r="H80" s="75">
        <v>315309975.27000022</v>
      </c>
      <c r="I80" s="75">
        <v>10250796.790000081</v>
      </c>
    </row>
    <row r="81" spans="1:9" x14ac:dyDescent="0.25">
      <c r="A81" s="74" t="s">
        <v>30</v>
      </c>
      <c r="B81" s="75">
        <v>68381420.217276171</v>
      </c>
      <c r="C81" s="75">
        <v>73377521.070514292</v>
      </c>
      <c r="D81" s="76">
        <v>4996100.8532381207</v>
      </c>
      <c r="E81" s="76">
        <v>3518079.1300000004</v>
      </c>
      <c r="F81" s="101">
        <v>41</v>
      </c>
      <c r="G81" s="75">
        <v>275398529.70000005</v>
      </c>
      <c r="H81" s="75">
        <v>283811843.46999985</v>
      </c>
      <c r="I81" s="75">
        <v>8413313.7699998021</v>
      </c>
    </row>
    <row r="82" spans="1:9" x14ac:dyDescent="0.25">
      <c r="A82" s="74" t="s">
        <v>37</v>
      </c>
      <c r="B82" s="75">
        <v>8571202.2933333311</v>
      </c>
      <c r="C82" s="75">
        <v>9404587.8600000013</v>
      </c>
      <c r="D82" s="76">
        <v>833385.56666667014</v>
      </c>
      <c r="E82" s="76">
        <v>114024.35</v>
      </c>
      <c r="F82" s="101">
        <v>5</v>
      </c>
      <c r="G82" s="75">
        <v>48976497.990000002</v>
      </c>
      <c r="H82" s="75">
        <v>54265109.519999996</v>
      </c>
      <c r="I82" s="75">
        <v>5288611.5299999937</v>
      </c>
    </row>
    <row r="83" spans="1:9" x14ac:dyDescent="0.25">
      <c r="A83" s="74" t="s">
        <v>17</v>
      </c>
      <c r="B83" s="75">
        <v>119735441.92000003</v>
      </c>
      <c r="C83" s="75">
        <v>124579674.27000003</v>
      </c>
      <c r="D83" s="76">
        <v>4844232.349999994</v>
      </c>
      <c r="E83" s="76">
        <v>2317986.9800000004</v>
      </c>
      <c r="F83" s="101">
        <v>28</v>
      </c>
      <c r="G83" s="75">
        <v>269079704.47999996</v>
      </c>
      <c r="H83" s="75">
        <v>266290090.97000003</v>
      </c>
      <c r="I83" s="75">
        <v>-2789613.5099999309</v>
      </c>
    </row>
    <row r="84" spans="1:9" x14ac:dyDescent="0.25">
      <c r="A84" s="74" t="s">
        <v>12</v>
      </c>
      <c r="B84" s="75">
        <v>14923102.447619058</v>
      </c>
      <c r="C84" s="75">
        <v>15122923.916428568</v>
      </c>
      <c r="D84" s="76">
        <v>199821.46880950965</v>
      </c>
      <c r="E84" s="76">
        <v>18606.05</v>
      </c>
      <c r="F84" s="101">
        <v>5</v>
      </c>
      <c r="G84" s="75">
        <v>113619703.46000001</v>
      </c>
      <c r="H84" s="75">
        <v>121222345.28</v>
      </c>
      <c r="I84" s="75">
        <v>7602641.8199999928</v>
      </c>
    </row>
    <row r="85" spans="1:9" x14ac:dyDescent="0.25">
      <c r="A85" s="74" t="s">
        <v>19</v>
      </c>
      <c r="B85" s="75">
        <v>1864814.2744973542</v>
      </c>
      <c r="C85" s="75">
        <v>2627031.5713174599</v>
      </c>
      <c r="D85" s="76">
        <v>762217.29682010575</v>
      </c>
      <c r="E85" s="76">
        <v>367735.1</v>
      </c>
      <c r="F85" s="101">
        <v>54</v>
      </c>
      <c r="G85" s="75">
        <v>96904399.859999999</v>
      </c>
      <c r="H85" s="75">
        <v>113121883.02</v>
      </c>
      <c r="I85" s="75">
        <v>16217483.159999996</v>
      </c>
    </row>
    <row r="86" spans="1:9" x14ac:dyDescent="0.25">
      <c r="A86" s="74" t="s">
        <v>488</v>
      </c>
      <c r="B86" s="75">
        <v>892895.59000000008</v>
      </c>
      <c r="C86" s="75">
        <v>1323718.69</v>
      </c>
      <c r="D86" s="76">
        <v>430823.09999999986</v>
      </c>
      <c r="E86" s="76">
        <v>65198</v>
      </c>
      <c r="F86" s="101">
        <v>8</v>
      </c>
      <c r="G86" s="75">
        <v>35484597.839999996</v>
      </c>
      <c r="H86" s="75">
        <v>53900910.449999996</v>
      </c>
      <c r="I86" s="75">
        <v>18416312.609999999</v>
      </c>
    </row>
    <row r="87" spans="1:9" x14ac:dyDescent="0.25">
      <c r="A87" s="74" t="s">
        <v>24</v>
      </c>
      <c r="B87" s="75">
        <v>17846603.605428573</v>
      </c>
      <c r="C87" s="75">
        <v>18258329.893142853</v>
      </c>
      <c r="D87" s="76">
        <v>411726.28771428019</v>
      </c>
      <c r="E87" s="76">
        <v>303505.57</v>
      </c>
      <c r="F87" s="101">
        <v>18</v>
      </c>
      <c r="G87" s="75">
        <v>149340903.47</v>
      </c>
      <c r="H87" s="75">
        <v>172026684.69000003</v>
      </c>
      <c r="I87" s="75">
        <v>22685781.220000029</v>
      </c>
    </row>
    <row r="88" spans="1:9" ht="30" x14ac:dyDescent="0.25">
      <c r="A88" s="77" t="s">
        <v>213</v>
      </c>
      <c r="B88" s="78">
        <v>2498965884.3599639</v>
      </c>
      <c r="C88" s="78">
        <v>2439655018.805974</v>
      </c>
      <c r="D88" s="79">
        <v>-59310865.553989142</v>
      </c>
      <c r="E88" s="79">
        <v>40583320.700000003</v>
      </c>
      <c r="F88" s="102">
        <v>370</v>
      </c>
      <c r="G88" s="78">
        <v>3863621042.0000005</v>
      </c>
      <c r="H88" s="78">
        <v>4065862882.1999993</v>
      </c>
      <c r="I88" s="78">
        <v>202241840.19999886</v>
      </c>
    </row>
    <row r="90" spans="1:9" x14ac:dyDescent="0.25">
      <c r="A90" s="71" t="s">
        <v>217</v>
      </c>
      <c r="B90" s="116" t="s">
        <v>211</v>
      </c>
      <c r="C90" s="117"/>
      <c r="D90" s="117"/>
      <c r="E90" s="117"/>
      <c r="F90" s="118"/>
      <c r="G90" s="113" t="s">
        <v>214</v>
      </c>
      <c r="H90" s="114"/>
      <c r="I90" s="115"/>
    </row>
    <row r="91" spans="1:9" ht="30" x14ac:dyDescent="0.25">
      <c r="A91" s="90"/>
      <c r="B91" s="72" t="s">
        <v>687</v>
      </c>
      <c r="C91" s="72" t="s">
        <v>688</v>
      </c>
      <c r="D91" s="72" t="s">
        <v>212</v>
      </c>
      <c r="E91" s="72" t="s">
        <v>554</v>
      </c>
      <c r="F91" s="100" t="s">
        <v>689</v>
      </c>
      <c r="G91" s="72" t="s">
        <v>687</v>
      </c>
      <c r="H91" s="72" t="s">
        <v>688</v>
      </c>
      <c r="I91" s="73" t="s">
        <v>212</v>
      </c>
    </row>
    <row r="92" spans="1:9" x14ac:dyDescent="0.25">
      <c r="A92" s="56" t="s">
        <v>218</v>
      </c>
      <c r="B92" s="57">
        <v>66881727.530000009</v>
      </c>
      <c r="C92" s="57">
        <v>72243038.140000001</v>
      </c>
      <c r="D92" s="57">
        <v>5361310.609999992</v>
      </c>
      <c r="E92" s="57">
        <v>9155551.1600000001</v>
      </c>
      <c r="F92" s="103">
        <v>24</v>
      </c>
      <c r="G92" s="57">
        <v>74343269.489999995</v>
      </c>
      <c r="H92" s="57">
        <v>70640303.75</v>
      </c>
      <c r="I92" s="57">
        <v>-3702965.7399999946</v>
      </c>
    </row>
    <row r="93" spans="1:9" x14ac:dyDescent="0.25">
      <c r="A93" s="56" t="s">
        <v>219</v>
      </c>
      <c r="B93" s="57">
        <v>134746500.24000001</v>
      </c>
      <c r="C93" s="57">
        <v>109066043.3</v>
      </c>
      <c r="D93" s="57">
        <v>-25680456.940000013</v>
      </c>
      <c r="E93" s="57">
        <v>138508.29</v>
      </c>
      <c r="F93" s="103">
        <v>4</v>
      </c>
      <c r="G93" s="57">
        <v>247115242.66999999</v>
      </c>
      <c r="H93" s="57">
        <v>252036747.88</v>
      </c>
      <c r="I93" s="57">
        <v>4921505.2100000083</v>
      </c>
    </row>
    <row r="94" spans="1:9" x14ac:dyDescent="0.25">
      <c r="A94" s="56" t="s">
        <v>220</v>
      </c>
      <c r="B94" s="57">
        <v>1030104349.3599998</v>
      </c>
      <c r="C94" s="57">
        <v>977478718.7899996</v>
      </c>
      <c r="D94" s="57">
        <v>-52625630.570000172</v>
      </c>
      <c r="E94" s="57">
        <v>15624963.980000002</v>
      </c>
      <c r="F94" s="103">
        <v>9</v>
      </c>
      <c r="G94" s="57">
        <v>807143851.33999979</v>
      </c>
      <c r="H94" s="57">
        <v>815319183.21999967</v>
      </c>
      <c r="I94" s="57">
        <v>8175331.879999876</v>
      </c>
    </row>
    <row r="95" spans="1:9" x14ac:dyDescent="0.25">
      <c r="A95" s="56" t="s">
        <v>221</v>
      </c>
      <c r="B95" s="57">
        <v>152216257.86583072</v>
      </c>
      <c r="C95" s="57">
        <v>157387799.39517438</v>
      </c>
      <c r="D95" s="57">
        <v>5171541.5293436646</v>
      </c>
      <c r="E95" s="57">
        <v>1395415.01</v>
      </c>
      <c r="F95" s="103">
        <v>179</v>
      </c>
      <c r="G95" s="57">
        <v>1771403767.4999993</v>
      </c>
      <c r="H95" s="57">
        <v>1890669770.1099999</v>
      </c>
      <c r="I95" s="57">
        <v>119266002.61000061</v>
      </c>
    </row>
    <row r="96" spans="1:9" x14ac:dyDescent="0.25">
      <c r="A96" s="56" t="s">
        <v>222</v>
      </c>
      <c r="B96" s="57">
        <v>0</v>
      </c>
      <c r="C96" s="57">
        <v>6814304.4400000004</v>
      </c>
      <c r="D96" s="57">
        <v>6814304.4400000004</v>
      </c>
      <c r="E96" s="57">
        <v>6814304.4400000004</v>
      </c>
      <c r="F96" s="103">
        <v>1</v>
      </c>
      <c r="G96" s="57">
        <v>74864798.299999997</v>
      </c>
      <c r="H96" s="57">
        <v>157689683.40000001</v>
      </c>
      <c r="I96" s="57">
        <v>82824885.100000009</v>
      </c>
    </row>
    <row r="97" spans="1:9" x14ac:dyDescent="0.25">
      <c r="A97" s="56" t="s">
        <v>223</v>
      </c>
      <c r="B97" s="57">
        <v>1088181049.4141343</v>
      </c>
      <c r="C97" s="57">
        <v>1089042839.5008013</v>
      </c>
      <c r="D97" s="57">
        <v>861790.08666706085</v>
      </c>
      <c r="E97" s="57">
        <v>7223717.3799999999</v>
      </c>
      <c r="F97" s="103">
        <v>134</v>
      </c>
      <c r="G97" s="57">
        <v>856749179.73999918</v>
      </c>
      <c r="H97" s="57">
        <v>848607695.73999894</v>
      </c>
      <c r="I97" s="57">
        <v>-8141484.0000002384</v>
      </c>
    </row>
    <row r="98" spans="1:9" x14ac:dyDescent="0.25">
      <c r="A98" s="56" t="s">
        <v>224</v>
      </c>
      <c r="B98" s="57">
        <v>0</v>
      </c>
      <c r="C98" s="57">
        <v>0</v>
      </c>
      <c r="D98" s="57">
        <v>0</v>
      </c>
      <c r="E98" s="57">
        <v>0</v>
      </c>
      <c r="F98" s="103">
        <v>0</v>
      </c>
      <c r="G98" s="57">
        <v>0</v>
      </c>
      <c r="H98" s="57">
        <v>0</v>
      </c>
      <c r="I98" s="57">
        <v>0</v>
      </c>
    </row>
    <row r="99" spans="1:9" x14ac:dyDescent="0.25">
      <c r="A99" s="56" t="s">
        <v>225</v>
      </c>
      <c r="B99" s="57">
        <v>4148503.7800000003</v>
      </c>
      <c r="C99" s="57">
        <v>4574712.68</v>
      </c>
      <c r="D99" s="57">
        <v>426208.89999999944</v>
      </c>
      <c r="E99" s="57">
        <v>130460.78</v>
      </c>
      <c r="F99" s="103">
        <v>3</v>
      </c>
      <c r="G99" s="57">
        <v>15191174.83</v>
      </c>
      <c r="H99" s="57">
        <v>14546538.680000003</v>
      </c>
      <c r="I99" s="57">
        <v>-644636.14999999665</v>
      </c>
    </row>
    <row r="100" spans="1:9" x14ac:dyDescent="0.25">
      <c r="A100" s="56" t="s">
        <v>226</v>
      </c>
      <c r="B100" s="57">
        <v>4737742.5599999996</v>
      </c>
      <c r="C100" s="57">
        <v>5113454.9399999995</v>
      </c>
      <c r="D100" s="57">
        <v>375712.37999999989</v>
      </c>
      <c r="E100" s="57">
        <v>0</v>
      </c>
      <c r="F100" s="103">
        <v>0</v>
      </c>
      <c r="G100" s="57">
        <v>-1889552</v>
      </c>
      <c r="H100" s="57">
        <v>-1889552</v>
      </c>
      <c r="I100" s="57">
        <v>0</v>
      </c>
    </row>
    <row r="101" spans="1:9" x14ac:dyDescent="0.25">
      <c r="A101" s="56" t="s">
        <v>227</v>
      </c>
      <c r="B101" s="57">
        <v>2469657.31</v>
      </c>
      <c r="C101" s="57">
        <v>2421139.61</v>
      </c>
      <c r="D101" s="57">
        <v>-48517.700000000186</v>
      </c>
      <c r="E101" s="57">
        <v>0</v>
      </c>
      <c r="F101" s="103">
        <v>0</v>
      </c>
      <c r="G101" s="57">
        <v>2815331.46</v>
      </c>
      <c r="H101" s="57">
        <v>3480728.96</v>
      </c>
      <c r="I101" s="57">
        <v>665397.5</v>
      </c>
    </row>
    <row r="102" spans="1:9" x14ac:dyDescent="0.25">
      <c r="A102" s="56" t="s">
        <v>228</v>
      </c>
      <c r="B102" s="57">
        <v>10955248.139999999</v>
      </c>
      <c r="C102" s="57">
        <v>10927943.049999995</v>
      </c>
      <c r="D102" s="57">
        <v>-27305.090000003576</v>
      </c>
      <c r="E102" s="57">
        <v>0</v>
      </c>
      <c r="F102" s="103">
        <v>0</v>
      </c>
      <c r="G102" s="57">
        <v>7318057.6499999994</v>
      </c>
      <c r="H102" s="57">
        <v>6283843.7400000002</v>
      </c>
      <c r="I102" s="57">
        <v>-1034213.9099999992</v>
      </c>
    </row>
    <row r="103" spans="1:9" x14ac:dyDescent="0.25">
      <c r="A103" s="56" t="s">
        <v>229</v>
      </c>
      <c r="B103" s="57">
        <v>2951625.19</v>
      </c>
      <c r="C103" s="57">
        <v>2954538.49</v>
      </c>
      <c r="D103" s="57">
        <v>2913.3000000002794</v>
      </c>
      <c r="E103" s="57">
        <v>0</v>
      </c>
      <c r="F103" s="103">
        <v>0</v>
      </c>
      <c r="G103" s="57">
        <v>3761255.58</v>
      </c>
      <c r="H103" s="57">
        <v>3761255.58</v>
      </c>
      <c r="I103" s="57">
        <v>0</v>
      </c>
    </row>
    <row r="104" spans="1:9" x14ac:dyDescent="0.25">
      <c r="A104" s="56" t="s">
        <v>230</v>
      </c>
      <c r="B104" s="57">
        <v>1573222.9699999995</v>
      </c>
      <c r="C104" s="57">
        <v>1630486.4699999995</v>
      </c>
      <c r="D104" s="57">
        <v>57263.5</v>
      </c>
      <c r="E104" s="57">
        <v>100399.66</v>
      </c>
      <c r="F104" s="103">
        <v>16</v>
      </c>
      <c r="G104" s="57">
        <v>4804665.4400000013</v>
      </c>
      <c r="H104" s="57">
        <v>4716683.1399999987</v>
      </c>
      <c r="I104" s="57">
        <v>-87982.300000002608</v>
      </c>
    </row>
    <row r="105" spans="1:9" ht="30" x14ac:dyDescent="0.25">
      <c r="A105" s="91" t="s">
        <v>213</v>
      </c>
      <c r="B105" s="92">
        <v>2498965884.3599644</v>
      </c>
      <c r="C105" s="92">
        <v>2439655018.805975</v>
      </c>
      <c r="D105" s="92">
        <v>-59310865.55398941</v>
      </c>
      <c r="E105" s="92">
        <v>40583320.700000003</v>
      </c>
      <c r="F105" s="104">
        <v>370</v>
      </c>
      <c r="G105" s="92">
        <v>3863621041.9999986</v>
      </c>
      <c r="H105" s="92">
        <v>4065862882.1999979</v>
      </c>
      <c r="I105" s="92">
        <v>202241840.19999933</v>
      </c>
    </row>
  </sheetData>
  <mergeCells count="12">
    <mergeCell ref="B90:F90"/>
    <mergeCell ref="G90:I90"/>
    <mergeCell ref="B35:E35"/>
    <mergeCell ref="F35:I35"/>
    <mergeCell ref="B46:E46"/>
    <mergeCell ref="F46:K46"/>
    <mergeCell ref="B1:E1"/>
    <mergeCell ref="F1:I1"/>
    <mergeCell ref="B18:E18"/>
    <mergeCell ref="F18:I18"/>
    <mergeCell ref="B73:F73"/>
    <mergeCell ref="G73:I73"/>
  </mergeCells>
  <conditionalFormatting sqref="A20:A32">
    <cfRule type="duplicateValues" dxfId="7" priority="2"/>
  </conditionalFormatting>
  <conditionalFormatting sqref="A20:A32">
    <cfRule type="duplicateValues" dxfId="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09BB-D543-40AC-B3D2-17ACC98B5436}">
  <sheetPr>
    <pageSetUpPr fitToPage="1"/>
  </sheetPr>
  <dimension ref="A1:O57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21.7109375" style="56" bestFit="1" customWidth="1"/>
    <col min="2" max="2" width="19.7109375" style="56" bestFit="1" customWidth="1"/>
    <col min="3" max="3" width="18" style="56" bestFit="1" customWidth="1"/>
    <col min="4" max="4" width="19.28515625" style="56" bestFit="1" customWidth="1"/>
    <col min="5" max="5" width="20.7109375" style="56" bestFit="1" customWidth="1"/>
    <col min="6" max="6" width="15.140625" style="56" bestFit="1" customWidth="1"/>
    <col min="7" max="7" width="32.5703125" style="56" bestFit="1" customWidth="1"/>
    <col min="8" max="8" width="15.7109375" style="56" bestFit="1" customWidth="1"/>
    <col min="9" max="9" width="16.7109375" style="56" bestFit="1" customWidth="1"/>
    <col min="10" max="10" width="17.42578125" style="56" bestFit="1" customWidth="1"/>
    <col min="11" max="11" width="21.140625" style="56" bestFit="1" customWidth="1"/>
    <col min="12" max="12" width="18.85546875" style="56" bestFit="1" customWidth="1"/>
    <col min="13" max="13" width="8.85546875" style="56"/>
    <col min="14" max="14" width="6.5703125" style="56" bestFit="1" customWidth="1"/>
    <col min="15" max="15" width="13.5703125" style="56" bestFit="1" customWidth="1"/>
    <col min="16" max="16384" width="8.85546875" style="56"/>
  </cols>
  <sheetData>
    <row r="1" spans="1:15" s="55" customFormat="1" ht="27.6" customHeight="1" x14ac:dyDescent="0.25">
      <c r="A1" s="54" t="s">
        <v>244</v>
      </c>
      <c r="B1" s="54" t="s">
        <v>555</v>
      </c>
      <c r="C1" s="54" t="s">
        <v>556</v>
      </c>
      <c r="D1" s="54" t="s">
        <v>557</v>
      </c>
      <c r="E1" s="54" t="s">
        <v>558</v>
      </c>
      <c r="F1" s="54" t="s">
        <v>183</v>
      </c>
      <c r="G1" s="54" t="s">
        <v>665</v>
      </c>
      <c r="H1" s="54" t="s">
        <v>559</v>
      </c>
      <c r="I1" s="54" t="s">
        <v>666</v>
      </c>
      <c r="J1" s="54" t="s">
        <v>667</v>
      </c>
      <c r="K1" s="54" t="s">
        <v>668</v>
      </c>
      <c r="L1" s="54" t="s">
        <v>669</v>
      </c>
    </row>
    <row r="2" spans="1:15" x14ac:dyDescent="0.25">
      <c r="A2" s="56" t="s">
        <v>564</v>
      </c>
      <c r="B2" s="56">
        <v>71</v>
      </c>
      <c r="C2" s="95">
        <v>40602881.07</v>
      </c>
      <c r="D2" s="95">
        <v>8889891.5</v>
      </c>
      <c r="E2" s="56">
        <v>91</v>
      </c>
      <c r="F2" s="95">
        <v>15000000</v>
      </c>
      <c r="G2" s="58">
        <v>0.59265943333333337</v>
      </c>
      <c r="H2" s="56" t="s">
        <v>562</v>
      </c>
      <c r="I2" s="56">
        <v>11</v>
      </c>
      <c r="J2" s="56">
        <v>0</v>
      </c>
      <c r="K2" s="56">
        <v>11</v>
      </c>
      <c r="L2" s="56">
        <v>22</v>
      </c>
      <c r="M2" s="64"/>
      <c r="N2" s="64"/>
      <c r="O2" s="64"/>
    </row>
    <row r="3" spans="1:15" x14ac:dyDescent="0.25">
      <c r="A3" s="56" t="s">
        <v>566</v>
      </c>
      <c r="B3" s="56">
        <v>60</v>
      </c>
      <c r="C3" s="95">
        <v>20046592.859999999</v>
      </c>
      <c r="D3" s="95">
        <v>10232088.370000001</v>
      </c>
      <c r="E3" s="56">
        <v>116</v>
      </c>
      <c r="F3" s="95">
        <v>15000000</v>
      </c>
      <c r="G3" s="58">
        <v>0.68213922466666677</v>
      </c>
      <c r="H3" s="56" t="s">
        <v>562</v>
      </c>
      <c r="I3" s="56">
        <v>0</v>
      </c>
      <c r="J3" s="56">
        <v>1</v>
      </c>
      <c r="K3" s="56">
        <v>4</v>
      </c>
      <c r="L3" s="56">
        <v>5</v>
      </c>
      <c r="M3" s="64"/>
      <c r="N3" s="64"/>
      <c r="O3" s="64"/>
    </row>
    <row r="4" spans="1:15" x14ac:dyDescent="0.25">
      <c r="A4" s="56" t="s">
        <v>568</v>
      </c>
      <c r="B4" s="56">
        <v>72</v>
      </c>
      <c r="C4" s="95">
        <v>60847960.469999999</v>
      </c>
      <c r="D4" s="95">
        <v>10020321.890000001</v>
      </c>
      <c r="E4" s="56">
        <v>53</v>
      </c>
      <c r="F4" s="95">
        <v>15000000</v>
      </c>
      <c r="G4" s="58">
        <v>0.66802145933333335</v>
      </c>
      <c r="H4" s="56" t="s">
        <v>562</v>
      </c>
      <c r="I4" s="56">
        <v>13</v>
      </c>
      <c r="J4" s="56">
        <v>2</v>
      </c>
      <c r="K4" s="56">
        <v>8</v>
      </c>
      <c r="L4" s="56">
        <v>23</v>
      </c>
      <c r="M4" s="64"/>
      <c r="N4" s="64"/>
      <c r="O4" s="64"/>
    </row>
    <row r="5" spans="1:15" x14ac:dyDescent="0.25">
      <c r="A5" s="56" t="s">
        <v>561</v>
      </c>
      <c r="B5" s="56">
        <v>80</v>
      </c>
      <c r="C5" s="95">
        <v>68304151.189999998</v>
      </c>
      <c r="D5" s="95">
        <v>4541286</v>
      </c>
      <c r="E5" s="56">
        <v>52</v>
      </c>
      <c r="F5" s="95">
        <v>15000000</v>
      </c>
      <c r="G5" s="58">
        <v>0.30275239999999998</v>
      </c>
      <c r="H5" s="56" t="s">
        <v>562</v>
      </c>
      <c r="I5" s="56">
        <v>5</v>
      </c>
      <c r="J5" s="56">
        <v>0</v>
      </c>
      <c r="K5" s="56">
        <v>1</v>
      </c>
      <c r="L5" s="56">
        <v>6</v>
      </c>
      <c r="M5" s="64"/>
      <c r="N5" s="64"/>
      <c r="O5" s="64"/>
    </row>
    <row r="6" spans="1:15" x14ac:dyDescent="0.25">
      <c r="A6" s="56" t="s">
        <v>567</v>
      </c>
      <c r="B6" s="56">
        <v>89</v>
      </c>
      <c r="C6" s="95">
        <v>642335486.29999995</v>
      </c>
      <c r="D6" s="95">
        <v>24946971</v>
      </c>
      <c r="E6" s="56">
        <v>17</v>
      </c>
      <c r="F6" s="95">
        <v>15000000</v>
      </c>
      <c r="G6" s="58">
        <v>1.6631313999999999</v>
      </c>
      <c r="H6" s="56" t="s">
        <v>562</v>
      </c>
      <c r="I6" s="56">
        <v>0</v>
      </c>
      <c r="J6" s="56">
        <v>0</v>
      </c>
      <c r="K6" s="56">
        <v>0</v>
      </c>
      <c r="L6" s="56">
        <v>0</v>
      </c>
      <c r="M6" s="64"/>
      <c r="N6" s="64"/>
      <c r="O6" s="64"/>
    </row>
    <row r="7" spans="1:15" x14ac:dyDescent="0.25">
      <c r="A7" s="56" t="s">
        <v>316</v>
      </c>
      <c r="B7" s="56">
        <v>26</v>
      </c>
      <c r="C7" s="95">
        <v>15261505.17</v>
      </c>
      <c r="D7" s="95">
        <v>2821451.83</v>
      </c>
      <c r="E7" s="56">
        <v>35</v>
      </c>
      <c r="F7" s="95">
        <v>15000000</v>
      </c>
      <c r="G7" s="58">
        <v>0.18809678866666668</v>
      </c>
      <c r="H7" s="56" t="s">
        <v>562</v>
      </c>
      <c r="I7" s="56">
        <v>2</v>
      </c>
      <c r="J7" s="56">
        <v>2</v>
      </c>
      <c r="K7" s="56">
        <v>1</v>
      </c>
      <c r="L7" s="56">
        <v>5</v>
      </c>
      <c r="M7" s="64"/>
      <c r="N7" s="64"/>
      <c r="O7" s="64"/>
    </row>
    <row r="8" spans="1:15" x14ac:dyDescent="0.25">
      <c r="A8" s="56" t="s">
        <v>565</v>
      </c>
      <c r="B8" s="56">
        <v>150</v>
      </c>
      <c r="C8" s="95">
        <v>103302771.3</v>
      </c>
      <c r="D8" s="95">
        <v>1594233</v>
      </c>
      <c r="E8" s="56">
        <v>16</v>
      </c>
      <c r="F8" s="95">
        <v>15000000</v>
      </c>
      <c r="G8" s="58">
        <v>0.10628219999999999</v>
      </c>
      <c r="H8" s="56" t="s">
        <v>562</v>
      </c>
      <c r="I8" s="56">
        <v>2</v>
      </c>
      <c r="J8" s="56">
        <v>0</v>
      </c>
      <c r="K8" s="56">
        <v>0</v>
      </c>
      <c r="L8" s="56">
        <v>2</v>
      </c>
      <c r="M8" s="64"/>
      <c r="N8" s="64"/>
      <c r="O8" s="64"/>
    </row>
    <row r="9" spans="1:15" x14ac:dyDescent="0.25">
      <c r="A9" s="60" t="s">
        <v>68</v>
      </c>
      <c r="B9" s="96">
        <v>548</v>
      </c>
      <c r="C9" s="97">
        <v>950701348.3599999</v>
      </c>
      <c r="D9" s="97">
        <v>63046243.590000004</v>
      </c>
      <c r="E9" s="96">
        <v>380</v>
      </c>
      <c r="F9" s="97">
        <v>105000000</v>
      </c>
      <c r="G9" s="62">
        <v>0.60044041514285718</v>
      </c>
      <c r="H9" s="61"/>
      <c r="I9" s="61">
        <v>33</v>
      </c>
      <c r="J9" s="61">
        <v>5</v>
      </c>
      <c r="K9" s="61">
        <v>25</v>
      </c>
      <c r="L9" s="61">
        <v>63</v>
      </c>
    </row>
    <row r="11" spans="1:15" ht="30" x14ac:dyDescent="0.25">
      <c r="A11" s="54" t="s">
        <v>559</v>
      </c>
      <c r="B11" s="54" t="s">
        <v>555</v>
      </c>
      <c r="C11" s="54" t="s">
        <v>556</v>
      </c>
      <c r="D11" s="54" t="s">
        <v>557</v>
      </c>
      <c r="E11" s="54" t="s">
        <v>558</v>
      </c>
      <c r="F11" s="54" t="s">
        <v>183</v>
      </c>
      <c r="G11" s="54" t="s">
        <v>164</v>
      </c>
      <c r="H11" s="54" t="s">
        <v>560</v>
      </c>
    </row>
    <row r="12" spans="1:15" x14ac:dyDescent="0.25">
      <c r="A12" s="56" t="s">
        <v>562</v>
      </c>
      <c r="B12" s="56">
        <v>548</v>
      </c>
      <c r="C12" s="95">
        <v>950701348.3599999</v>
      </c>
      <c r="D12" s="95">
        <v>63046243.590000004</v>
      </c>
      <c r="E12" s="56">
        <v>380</v>
      </c>
      <c r="F12" s="95">
        <v>105000000</v>
      </c>
      <c r="G12" s="58">
        <v>0.60044041514285718</v>
      </c>
      <c r="H12" s="63">
        <v>63</v>
      </c>
      <c r="I12" s="59"/>
      <c r="J12" s="59"/>
      <c r="K12" s="59"/>
    </row>
    <row r="13" spans="1:15" x14ac:dyDescent="0.25">
      <c r="A13" s="60" t="s">
        <v>68</v>
      </c>
      <c r="B13" s="60">
        <v>548</v>
      </c>
      <c r="C13" s="97">
        <v>950701348.3599999</v>
      </c>
      <c r="D13" s="97">
        <v>63046243.590000004</v>
      </c>
      <c r="E13" s="60">
        <v>380</v>
      </c>
      <c r="F13" s="97">
        <v>105000000</v>
      </c>
      <c r="G13" s="62">
        <v>0.60044041514285718</v>
      </c>
      <c r="H13" s="65">
        <v>63</v>
      </c>
    </row>
    <row r="14" spans="1:15" x14ac:dyDescent="0.25">
      <c r="F14" s="66"/>
    </row>
    <row r="16" spans="1:15" ht="30" x14ac:dyDescent="0.25">
      <c r="A16" s="54" t="s">
        <v>1</v>
      </c>
      <c r="B16" s="54" t="s">
        <v>569</v>
      </c>
      <c r="C16" s="54" t="s">
        <v>570</v>
      </c>
      <c r="D16" s="54" t="s">
        <v>571</v>
      </c>
      <c r="E16" s="55"/>
      <c r="F16" s="55"/>
      <c r="G16" s="55"/>
      <c r="H16" s="98"/>
      <c r="I16" s="70">
        <v>0</v>
      </c>
      <c r="J16" s="70"/>
      <c r="K16" s="70"/>
    </row>
    <row r="17" spans="1:11" s="55" customFormat="1" x14ac:dyDescent="0.25">
      <c r="A17" s="56" t="s">
        <v>26</v>
      </c>
      <c r="B17" s="56">
        <v>35</v>
      </c>
      <c r="C17" s="56">
        <v>0</v>
      </c>
      <c r="D17" s="56">
        <v>35</v>
      </c>
      <c r="E17" s="56"/>
      <c r="F17" s="56"/>
      <c r="G17" s="56"/>
      <c r="H17" s="56"/>
      <c r="I17" s="56"/>
      <c r="J17" s="56"/>
      <c r="K17" s="56"/>
    </row>
    <row r="18" spans="1:11" x14ac:dyDescent="0.25">
      <c r="A18" s="56" t="s">
        <v>30</v>
      </c>
      <c r="B18" s="56">
        <v>6</v>
      </c>
      <c r="C18" s="56">
        <v>0</v>
      </c>
      <c r="D18" s="56">
        <v>6</v>
      </c>
    </row>
    <row r="19" spans="1:11" x14ac:dyDescent="0.25">
      <c r="A19" s="56" t="s">
        <v>20</v>
      </c>
      <c r="B19" s="56">
        <v>5</v>
      </c>
      <c r="C19" s="56">
        <v>0</v>
      </c>
      <c r="D19" s="56">
        <v>5</v>
      </c>
    </row>
    <row r="20" spans="1:11" x14ac:dyDescent="0.25">
      <c r="A20" s="56" t="s">
        <v>17</v>
      </c>
      <c r="B20" s="56">
        <v>5</v>
      </c>
      <c r="C20" s="56">
        <v>0</v>
      </c>
      <c r="D20" s="56">
        <v>5</v>
      </c>
    </row>
    <row r="21" spans="1:11" x14ac:dyDescent="0.25">
      <c r="A21" s="56" t="s">
        <v>24</v>
      </c>
      <c r="B21" s="56">
        <v>0</v>
      </c>
      <c r="C21" s="56">
        <v>1</v>
      </c>
      <c r="D21" s="56">
        <v>1</v>
      </c>
      <c r="H21" s="95">
        <v>0</v>
      </c>
    </row>
    <row r="22" spans="1:11" x14ac:dyDescent="0.25">
      <c r="A22" s="56" t="s">
        <v>9</v>
      </c>
      <c r="B22" s="56">
        <v>3</v>
      </c>
      <c r="C22" s="56">
        <v>0</v>
      </c>
      <c r="D22" s="56">
        <v>3</v>
      </c>
    </row>
    <row r="23" spans="1:11" x14ac:dyDescent="0.25">
      <c r="A23" s="56" t="s">
        <v>34</v>
      </c>
      <c r="B23" s="56">
        <v>4</v>
      </c>
      <c r="C23" s="56">
        <v>0</v>
      </c>
      <c r="D23" s="56">
        <v>4</v>
      </c>
    </row>
    <row r="24" spans="1:11" x14ac:dyDescent="0.25">
      <c r="A24" s="56" t="s">
        <v>4</v>
      </c>
      <c r="B24" s="56">
        <v>7</v>
      </c>
      <c r="C24" s="56">
        <v>1</v>
      </c>
      <c r="D24" s="56">
        <v>8</v>
      </c>
    </row>
    <row r="25" spans="1:11" x14ac:dyDescent="0.25">
      <c r="A25" s="56" t="s">
        <v>12</v>
      </c>
      <c r="B25" s="56">
        <v>0</v>
      </c>
      <c r="C25" s="56">
        <v>0</v>
      </c>
      <c r="D25" s="56">
        <v>0</v>
      </c>
    </row>
    <row r="26" spans="1:11" x14ac:dyDescent="0.25">
      <c r="A26" s="56" t="s">
        <v>37</v>
      </c>
      <c r="B26" s="56">
        <v>1</v>
      </c>
      <c r="C26" s="56">
        <v>0</v>
      </c>
      <c r="D26" s="56">
        <v>1</v>
      </c>
    </row>
    <row r="27" spans="1:11" x14ac:dyDescent="0.25">
      <c r="A27" s="56" t="s">
        <v>13</v>
      </c>
      <c r="B27" s="56">
        <v>4</v>
      </c>
      <c r="C27" s="56">
        <v>0</v>
      </c>
      <c r="D27" s="56">
        <v>4</v>
      </c>
    </row>
    <row r="28" spans="1:11" x14ac:dyDescent="0.25">
      <c r="A28" s="56" t="s">
        <v>19</v>
      </c>
      <c r="B28" s="56">
        <v>0</v>
      </c>
      <c r="C28" s="56">
        <v>0</v>
      </c>
      <c r="D28" s="56">
        <v>0</v>
      </c>
    </row>
    <row r="29" spans="1:11" x14ac:dyDescent="0.25">
      <c r="A29" s="60" t="s">
        <v>68</v>
      </c>
      <c r="B29" s="60">
        <v>70</v>
      </c>
      <c r="C29" s="60">
        <v>2</v>
      </c>
      <c r="D29" s="60">
        <v>72</v>
      </c>
    </row>
    <row r="31" spans="1:11" ht="30" x14ac:dyDescent="0.25">
      <c r="A31" s="60" t="s">
        <v>572</v>
      </c>
      <c r="B31" s="54" t="s">
        <v>573</v>
      </c>
      <c r="C31" s="54" t="s">
        <v>574</v>
      </c>
      <c r="D31" s="60" t="s">
        <v>575</v>
      </c>
      <c r="E31" s="60" t="s">
        <v>164</v>
      </c>
    </row>
    <row r="32" spans="1:11" x14ac:dyDescent="0.25">
      <c r="A32" s="56" t="s">
        <v>267</v>
      </c>
      <c r="B32" s="56">
        <v>11</v>
      </c>
      <c r="C32" s="95">
        <v>14762747</v>
      </c>
      <c r="D32" s="59">
        <v>15000000</v>
      </c>
      <c r="E32" s="58">
        <v>0.98418313333333329</v>
      </c>
      <c r="F32" s="59"/>
      <c r="G32" s="95"/>
      <c r="H32" s="59"/>
    </row>
    <row r="33" spans="1:7" x14ac:dyDescent="0.25">
      <c r="A33" s="56" t="s">
        <v>670</v>
      </c>
      <c r="B33" s="56">
        <v>4</v>
      </c>
      <c r="C33" s="95">
        <v>2324253</v>
      </c>
      <c r="D33" s="59">
        <v>10000000</v>
      </c>
      <c r="E33" s="58">
        <v>0.2324253</v>
      </c>
      <c r="F33" s="59"/>
    </row>
    <row r="34" spans="1:7" x14ac:dyDescent="0.25">
      <c r="A34" s="60" t="s">
        <v>671</v>
      </c>
      <c r="B34" s="60">
        <v>15</v>
      </c>
      <c r="C34" s="97">
        <v>17087000</v>
      </c>
      <c r="D34" s="97">
        <v>22500000</v>
      </c>
      <c r="E34" s="62">
        <v>0.75942222222222222</v>
      </c>
      <c r="G34" s="95"/>
    </row>
    <row r="36" spans="1:7" ht="30" x14ac:dyDescent="0.25">
      <c r="A36" s="54" t="s">
        <v>1</v>
      </c>
      <c r="B36" s="54" t="s">
        <v>573</v>
      </c>
      <c r="C36" s="54" t="s">
        <v>574</v>
      </c>
    </row>
    <row r="37" spans="1:7" x14ac:dyDescent="0.25">
      <c r="A37" s="56" t="s">
        <v>26</v>
      </c>
      <c r="B37" s="56">
        <v>3</v>
      </c>
      <c r="C37" s="95">
        <v>2910000</v>
      </c>
    </row>
    <row r="38" spans="1:7" x14ac:dyDescent="0.25">
      <c r="A38" s="56" t="s">
        <v>30</v>
      </c>
      <c r="B38" s="56">
        <v>4</v>
      </c>
      <c r="C38" s="95">
        <v>1500000</v>
      </c>
    </row>
    <row r="39" spans="1:7" x14ac:dyDescent="0.25">
      <c r="A39" s="56" t="s">
        <v>20</v>
      </c>
      <c r="B39" s="56">
        <v>2</v>
      </c>
      <c r="C39" s="95">
        <v>4850000</v>
      </c>
    </row>
    <row r="40" spans="1:7" x14ac:dyDescent="0.25">
      <c r="A40" s="56" t="s">
        <v>17</v>
      </c>
      <c r="B40" s="56">
        <v>0</v>
      </c>
      <c r="C40" s="95">
        <v>0</v>
      </c>
    </row>
    <row r="41" spans="1:7" x14ac:dyDescent="0.25">
      <c r="A41" s="56" t="s">
        <v>24</v>
      </c>
      <c r="B41" s="56">
        <v>1</v>
      </c>
      <c r="C41" s="95">
        <v>700000</v>
      </c>
    </row>
    <row r="42" spans="1:7" x14ac:dyDescent="0.25">
      <c r="A42" s="56" t="s">
        <v>9</v>
      </c>
      <c r="B42" s="56">
        <v>0</v>
      </c>
      <c r="C42" s="95">
        <v>0</v>
      </c>
    </row>
    <row r="43" spans="1:7" x14ac:dyDescent="0.25">
      <c r="A43" s="56" t="s">
        <v>34</v>
      </c>
      <c r="B43" s="56">
        <v>2</v>
      </c>
      <c r="C43" s="95">
        <v>4750000</v>
      </c>
    </row>
    <row r="44" spans="1:7" x14ac:dyDescent="0.25">
      <c r="A44" s="56" t="s">
        <v>4</v>
      </c>
      <c r="B44" s="56">
        <v>1</v>
      </c>
      <c r="C44" s="95">
        <v>950000</v>
      </c>
    </row>
    <row r="45" spans="1:7" x14ac:dyDescent="0.25">
      <c r="A45" s="56" t="s">
        <v>12</v>
      </c>
      <c r="B45" s="56">
        <v>1</v>
      </c>
      <c r="C45" s="95">
        <v>777000</v>
      </c>
    </row>
    <row r="46" spans="1:7" x14ac:dyDescent="0.25">
      <c r="A46" s="56" t="s">
        <v>37</v>
      </c>
      <c r="B46" s="56">
        <v>0</v>
      </c>
      <c r="C46" s="95">
        <v>0</v>
      </c>
    </row>
    <row r="47" spans="1:7" x14ac:dyDescent="0.25">
      <c r="A47" s="56" t="s">
        <v>13</v>
      </c>
      <c r="B47" s="56">
        <v>1</v>
      </c>
      <c r="C47" s="95">
        <v>650000</v>
      </c>
    </row>
    <row r="48" spans="1:7" x14ac:dyDescent="0.25">
      <c r="A48" s="56" t="s">
        <v>19</v>
      </c>
      <c r="B48" s="56">
        <v>0</v>
      </c>
      <c r="C48" s="95">
        <v>0</v>
      </c>
    </row>
    <row r="49" spans="1:12" x14ac:dyDescent="0.25">
      <c r="A49" s="60" t="s">
        <v>68</v>
      </c>
      <c r="B49" s="60">
        <v>15</v>
      </c>
      <c r="C49" s="67">
        <v>17087000</v>
      </c>
    </row>
    <row r="51" spans="1:12" ht="30" x14ac:dyDescent="0.25">
      <c r="A51" s="54" t="s">
        <v>576</v>
      </c>
      <c r="B51" s="54" t="s">
        <v>1</v>
      </c>
      <c r="C51" s="54" t="s">
        <v>165</v>
      </c>
      <c r="D51" s="54" t="s">
        <v>558</v>
      </c>
      <c r="E51" s="54" t="s">
        <v>577</v>
      </c>
      <c r="F51" s="54" t="s">
        <v>164</v>
      </c>
      <c r="G51" s="55"/>
      <c r="H51" s="55"/>
    </row>
    <row r="52" spans="1:12" x14ac:dyDescent="0.25">
      <c r="A52" s="56" t="s">
        <v>313</v>
      </c>
      <c r="B52" s="56" t="s">
        <v>26</v>
      </c>
      <c r="C52" s="59">
        <v>15000000</v>
      </c>
      <c r="D52" s="56">
        <v>139</v>
      </c>
      <c r="E52" s="95">
        <v>10654572.629999999</v>
      </c>
      <c r="F52" s="58">
        <v>0.71030484199999988</v>
      </c>
      <c r="G52" s="59"/>
      <c r="H52" s="59"/>
      <c r="I52" s="59"/>
      <c r="J52" s="59"/>
      <c r="K52" s="59"/>
      <c r="L52" s="59"/>
    </row>
    <row r="53" spans="1:12" x14ac:dyDescent="0.25">
      <c r="A53" s="56" t="s">
        <v>315</v>
      </c>
      <c r="B53" s="56" t="s">
        <v>4</v>
      </c>
      <c r="C53" s="95">
        <v>15000000</v>
      </c>
      <c r="D53" s="56">
        <v>34</v>
      </c>
      <c r="E53" s="95">
        <v>9854460</v>
      </c>
      <c r="F53" s="58">
        <v>0.65696399999999999</v>
      </c>
      <c r="G53" s="59"/>
      <c r="H53" s="59"/>
      <c r="I53" s="59"/>
      <c r="J53" s="59"/>
      <c r="K53" s="59"/>
      <c r="L53" s="59"/>
    </row>
    <row r="54" spans="1:12" x14ac:dyDescent="0.25">
      <c r="A54" s="56" t="s">
        <v>578</v>
      </c>
      <c r="B54" s="56" t="s">
        <v>24</v>
      </c>
      <c r="C54" s="59">
        <v>3500000</v>
      </c>
      <c r="D54" s="56">
        <v>61</v>
      </c>
      <c r="E54" s="95">
        <v>2794436</v>
      </c>
      <c r="F54" s="58">
        <v>0.79841028571428574</v>
      </c>
      <c r="G54" s="59"/>
      <c r="H54" s="59"/>
      <c r="I54" s="59"/>
      <c r="J54" s="59"/>
      <c r="K54" s="59"/>
      <c r="L54" s="59"/>
    </row>
    <row r="55" spans="1:12" x14ac:dyDescent="0.25">
      <c r="A55" s="56" t="s">
        <v>563</v>
      </c>
      <c r="B55" s="56" t="s">
        <v>20</v>
      </c>
      <c r="C55" s="95">
        <v>15000000</v>
      </c>
      <c r="D55" s="56">
        <v>0</v>
      </c>
      <c r="E55" s="95">
        <v>0</v>
      </c>
      <c r="F55" s="58">
        <v>0</v>
      </c>
      <c r="G55" s="59"/>
      <c r="H55" s="59"/>
      <c r="I55" s="59"/>
      <c r="J55" s="59"/>
      <c r="K55" s="59"/>
      <c r="L55" s="59"/>
    </row>
    <row r="56" spans="1:12" x14ac:dyDescent="0.25">
      <c r="A56" s="56" t="s">
        <v>312</v>
      </c>
      <c r="B56" s="56" t="s">
        <v>30</v>
      </c>
      <c r="C56" s="95">
        <v>15000000</v>
      </c>
      <c r="D56" s="56">
        <v>125</v>
      </c>
      <c r="E56" s="95">
        <v>8344345.5499999998</v>
      </c>
      <c r="F56" s="58">
        <v>0.55628970333333327</v>
      </c>
      <c r="G56" s="59"/>
      <c r="H56" s="59"/>
      <c r="I56" s="59"/>
      <c r="J56" s="59"/>
      <c r="K56" s="59"/>
      <c r="L56" s="59"/>
    </row>
    <row r="57" spans="1:12" x14ac:dyDescent="0.25">
      <c r="A57" s="54" t="s">
        <v>68</v>
      </c>
      <c r="B57" s="54"/>
      <c r="C57" s="54"/>
      <c r="D57" s="54">
        <v>359</v>
      </c>
      <c r="E57" s="99">
        <v>31647814.18</v>
      </c>
      <c r="F57" s="99"/>
    </row>
  </sheetData>
  <conditionalFormatting sqref="A2:A8">
    <cfRule type="duplicateValues" dxfId="5" priority="4"/>
  </conditionalFormatting>
  <conditionalFormatting sqref="A2:A8">
    <cfRule type="duplicateValues" dxfId="4" priority="5"/>
  </conditionalFormatting>
  <conditionalFormatting sqref="A2:A8">
    <cfRule type="duplicateValues" dxfId="3" priority="6"/>
  </conditionalFormatting>
  <conditionalFormatting sqref="A2:A8 N2:N8">
    <cfRule type="duplicateValues" dxfId="2" priority="3"/>
  </conditionalFormatting>
  <conditionalFormatting sqref="A2:A8 O2:O11">
    <cfRule type="duplicateValues" dxfId="1" priority="2"/>
  </conditionalFormatting>
  <conditionalFormatting sqref="M3:M12 A2:A8">
    <cfRule type="duplicateValues" dxfId="0" priority="1"/>
  </conditionalFormatting>
  <pageMargins left="0.7" right="0.7" top="0.75" bottom="0.75" header="0.3" footer="0.3"/>
  <pageSetup scale="67" fitToHeight="0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6B9E-FF13-4E16-A70B-7CED94B3117F}">
  <dimension ref="A1:F8"/>
  <sheetViews>
    <sheetView workbookViewId="0">
      <selection activeCell="H7" sqref="H7"/>
    </sheetView>
  </sheetViews>
  <sheetFormatPr defaultColWidth="8.85546875" defaultRowHeight="15" x14ac:dyDescent="0.25"/>
  <cols>
    <col min="1" max="1" width="19.28515625" style="1" bestFit="1" customWidth="1"/>
    <col min="2" max="2" width="18.85546875" style="1" bestFit="1" customWidth="1"/>
    <col min="3" max="3" width="16.140625" style="1" bestFit="1" customWidth="1"/>
    <col min="4" max="4" width="12.7109375" style="1" bestFit="1" customWidth="1"/>
    <col min="5" max="5" width="14.42578125" style="1" bestFit="1" customWidth="1"/>
    <col min="6" max="6" width="11.42578125" style="1" bestFit="1" customWidth="1"/>
    <col min="7" max="16384" width="8.85546875" style="1"/>
  </cols>
  <sheetData>
    <row r="1" spans="1:6" x14ac:dyDescent="0.25">
      <c r="A1" s="19" t="s">
        <v>310</v>
      </c>
      <c r="B1" s="19" t="s">
        <v>318</v>
      </c>
      <c r="C1" s="19" t="s">
        <v>319</v>
      </c>
      <c r="D1" s="19" t="s">
        <v>304</v>
      </c>
      <c r="E1" s="19" t="s">
        <v>183</v>
      </c>
      <c r="F1" s="19" t="s">
        <v>320</v>
      </c>
    </row>
    <row r="2" spans="1:6" x14ac:dyDescent="0.25">
      <c r="A2" s="1" t="s">
        <v>311</v>
      </c>
      <c r="B2" s="2">
        <v>7626323</v>
      </c>
      <c r="C2" s="1">
        <v>216</v>
      </c>
      <c r="D2" s="2">
        <v>500000</v>
      </c>
      <c r="E2" s="2">
        <f>IFERROR(D2*((NETWORKDAYS.INTL(SUMMARRY!$B$1,SUMMARRY!$B$2,11))),"")</f>
        <v>13000000</v>
      </c>
      <c r="F2" s="6">
        <f>B2/E2</f>
        <v>0.58664023076923077</v>
      </c>
    </row>
    <row r="3" spans="1:6" x14ac:dyDescent="0.25">
      <c r="A3" s="1" t="s">
        <v>312</v>
      </c>
      <c r="B3" s="2">
        <v>8468963.5800000001</v>
      </c>
      <c r="C3" s="1">
        <v>255</v>
      </c>
      <c r="D3" s="2">
        <v>500000</v>
      </c>
      <c r="E3" s="2">
        <f>IFERROR(D3*((NETWORKDAYS.INTL(SUMMARRY!$B$1,SUMMARRY!$B$2,11))),"")</f>
        <v>13000000</v>
      </c>
      <c r="F3" s="6">
        <f t="shared" ref="F3:F8" si="0">B3/E3</f>
        <v>0.65145873692307688</v>
      </c>
    </row>
    <row r="4" spans="1:6" x14ac:dyDescent="0.25">
      <c r="A4" s="1" t="s">
        <v>313</v>
      </c>
      <c r="B4" s="2">
        <v>3721483</v>
      </c>
      <c r="C4" s="1">
        <v>131</v>
      </c>
      <c r="D4" s="2">
        <v>500000</v>
      </c>
      <c r="E4" s="2">
        <f>IFERROR(D4*((NETWORKDAYS.INTL(SUMMARRY!$B$1,SUMMARRY!$B$2,11))),"")</f>
        <v>13000000</v>
      </c>
      <c r="F4" s="6">
        <f t="shared" si="0"/>
        <v>0.28626792307692306</v>
      </c>
    </row>
    <row r="5" spans="1:6" x14ac:dyDescent="0.25">
      <c r="A5" s="1" t="s">
        <v>314</v>
      </c>
      <c r="B5" s="2">
        <v>2223872</v>
      </c>
      <c r="C5" s="1">
        <v>111</v>
      </c>
      <c r="D5" s="2">
        <v>500000</v>
      </c>
      <c r="E5" s="2">
        <f>IFERROR(D5*((NETWORKDAYS.INTL(SUMMARRY!$B$1,SUMMARRY!$B$2,11))),"")</f>
        <v>13000000</v>
      </c>
      <c r="F5" s="6">
        <f t="shared" si="0"/>
        <v>0.17106707692307693</v>
      </c>
    </row>
    <row r="6" spans="1:6" x14ac:dyDescent="0.25">
      <c r="A6" s="1" t="s">
        <v>315</v>
      </c>
      <c r="B6" s="2">
        <v>2141427</v>
      </c>
      <c r="C6" s="1">
        <v>11</v>
      </c>
      <c r="D6" s="2">
        <v>500000</v>
      </c>
      <c r="E6" s="2">
        <f>IFERROR(D6*((NETWORKDAYS.INTL(SUMMARRY!$B$1,SUMMARRY!$B$2,11))),"")</f>
        <v>13000000</v>
      </c>
      <c r="F6" s="6">
        <f t="shared" si="0"/>
        <v>0.16472515384615385</v>
      </c>
    </row>
    <row r="7" spans="1:6" x14ac:dyDescent="0.25">
      <c r="A7" s="1" t="s">
        <v>316</v>
      </c>
      <c r="B7" s="2">
        <v>4388561.91</v>
      </c>
      <c r="C7" s="1">
        <v>102</v>
      </c>
      <c r="D7" s="2">
        <v>500000</v>
      </c>
      <c r="E7" s="2">
        <f>IFERROR(D7*((NETWORKDAYS.INTL(SUMMARRY!$B$1,SUMMARRY!$B$2,11))),"")</f>
        <v>13000000</v>
      </c>
      <c r="F7" s="6">
        <f t="shared" si="0"/>
        <v>0.33758168538461542</v>
      </c>
    </row>
    <row r="8" spans="1:6" x14ac:dyDescent="0.25">
      <c r="A8" s="1" t="s">
        <v>317</v>
      </c>
      <c r="B8" s="2">
        <v>2198400</v>
      </c>
      <c r="C8" s="1">
        <v>98</v>
      </c>
      <c r="D8" s="2">
        <v>500000</v>
      </c>
      <c r="E8" s="2">
        <f>IFERROR(D8*((NETWORKDAYS.INTL(SUMMARRY!$B$1,SUMMARRY!$B$2,11))),"")</f>
        <v>13000000</v>
      </c>
      <c r="F8" s="6">
        <f t="shared" si="0"/>
        <v>0.16910769230769232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DD6B-D893-4225-A0A1-8165CE90F4C9}">
  <dimension ref="A1:H94"/>
  <sheetViews>
    <sheetView workbookViewId="0">
      <selection activeCell="G8" sqref="G8"/>
    </sheetView>
  </sheetViews>
  <sheetFormatPr defaultColWidth="8.85546875" defaultRowHeight="15" x14ac:dyDescent="0.25"/>
  <cols>
    <col min="1" max="1" width="37.140625" style="1" bestFit="1" customWidth="1"/>
    <col min="2" max="2" width="10.42578125" style="1" bestFit="1" customWidth="1"/>
    <col min="3" max="3" width="19.85546875" style="1" bestFit="1" customWidth="1"/>
    <col min="4" max="4" width="27.7109375" style="1" bestFit="1" customWidth="1"/>
    <col min="5" max="5" width="40.7109375" style="2" bestFit="1" customWidth="1"/>
    <col min="6" max="6" width="13.5703125" style="1" bestFit="1" customWidth="1"/>
    <col min="7" max="7" width="8.85546875" style="1"/>
    <col min="8" max="8" width="18.28515625" style="1" bestFit="1" customWidth="1"/>
    <col min="9" max="16384" width="8.85546875" style="1"/>
  </cols>
  <sheetData>
    <row r="1" spans="1:8" ht="15.75" x14ac:dyDescent="0.25">
      <c r="A1" s="16" t="s">
        <v>241</v>
      </c>
      <c r="E1" s="1"/>
      <c r="H1" s="3" t="s">
        <v>265</v>
      </c>
    </row>
    <row r="2" spans="1:8" x14ac:dyDescent="0.25">
      <c r="A2" s="3" t="s">
        <v>231</v>
      </c>
      <c r="B2" s="3" t="s">
        <v>242</v>
      </c>
      <c r="C2" s="3" t="s">
        <v>243</v>
      </c>
      <c r="D2" s="3" t="s">
        <v>244</v>
      </c>
      <c r="E2" s="3" t="s">
        <v>245</v>
      </c>
      <c r="F2" s="3" t="s">
        <v>1</v>
      </c>
      <c r="H2" s="1" t="s">
        <v>247</v>
      </c>
    </row>
    <row r="3" spans="1:8" x14ac:dyDescent="0.25">
      <c r="A3" s="13">
        <v>45350</v>
      </c>
      <c r="B3" s="1" t="s">
        <v>321</v>
      </c>
      <c r="C3" s="1" t="s">
        <v>246</v>
      </c>
      <c r="D3" s="1" t="s">
        <v>273</v>
      </c>
      <c r="E3" s="21">
        <v>900000</v>
      </c>
      <c r="F3" s="1" t="s">
        <v>30</v>
      </c>
      <c r="H3" s="1" t="s">
        <v>266</v>
      </c>
    </row>
    <row r="4" spans="1:8" ht="15.75" x14ac:dyDescent="0.25">
      <c r="A4" s="13">
        <v>45351</v>
      </c>
      <c r="B4" s="27" t="s">
        <v>248</v>
      </c>
      <c r="C4" s="1" t="s">
        <v>249</v>
      </c>
      <c r="D4" s="1" t="s">
        <v>250</v>
      </c>
      <c r="E4" s="21">
        <v>300000</v>
      </c>
      <c r="F4" s="1" t="s">
        <v>9</v>
      </c>
      <c r="H4" s="1" t="s">
        <v>267</v>
      </c>
    </row>
    <row r="5" spans="1:8" ht="15.75" x14ac:dyDescent="0.25">
      <c r="A5" s="13">
        <v>45354</v>
      </c>
      <c r="B5" s="27" t="s">
        <v>251</v>
      </c>
      <c r="C5" s="1" t="s">
        <v>252</v>
      </c>
      <c r="D5" s="1" t="s">
        <v>253</v>
      </c>
      <c r="E5" s="21">
        <v>320000</v>
      </c>
      <c r="F5" s="1" t="s">
        <v>37</v>
      </c>
    </row>
    <row r="6" spans="1:8" x14ac:dyDescent="0.25">
      <c r="A6" s="13">
        <v>45355</v>
      </c>
      <c r="B6" s="1" t="s">
        <v>254</v>
      </c>
      <c r="C6" s="1" t="s">
        <v>255</v>
      </c>
      <c r="D6" s="1" t="s">
        <v>322</v>
      </c>
      <c r="E6" s="21">
        <v>60000</v>
      </c>
      <c r="F6" s="1" t="s">
        <v>13</v>
      </c>
    </row>
    <row r="7" spans="1:8" x14ac:dyDescent="0.25">
      <c r="A7" s="13">
        <v>45355</v>
      </c>
      <c r="B7" s="1" t="s">
        <v>256</v>
      </c>
      <c r="C7" s="1" t="s">
        <v>257</v>
      </c>
      <c r="D7" s="1" t="s">
        <v>323</v>
      </c>
      <c r="E7" s="21">
        <v>850000</v>
      </c>
      <c r="F7" s="1" t="s">
        <v>17</v>
      </c>
    </row>
    <row r="8" spans="1:8" x14ac:dyDescent="0.25">
      <c r="A8" s="13">
        <v>45355</v>
      </c>
      <c r="B8" s="1" t="s">
        <v>258</v>
      </c>
      <c r="C8" s="1" t="s">
        <v>259</v>
      </c>
      <c r="D8" s="24" t="s">
        <v>260</v>
      </c>
      <c r="E8" s="21">
        <v>2500000</v>
      </c>
      <c r="F8" s="1" t="s">
        <v>17</v>
      </c>
    </row>
    <row r="9" spans="1:8" x14ac:dyDescent="0.25">
      <c r="A9" s="31" t="s">
        <v>261</v>
      </c>
      <c r="B9" s="31" t="s">
        <v>324</v>
      </c>
      <c r="C9" s="31" t="s">
        <v>325</v>
      </c>
      <c r="D9" s="32" t="s">
        <v>262</v>
      </c>
      <c r="E9" s="33">
        <v>500000</v>
      </c>
      <c r="F9" s="31" t="s">
        <v>326</v>
      </c>
    </row>
    <row r="10" spans="1:8" x14ac:dyDescent="0.25">
      <c r="A10" s="13">
        <v>45363</v>
      </c>
      <c r="B10" s="1" t="s">
        <v>263</v>
      </c>
      <c r="C10" s="1" t="s">
        <v>264</v>
      </c>
      <c r="D10" s="1" t="s">
        <v>327</v>
      </c>
      <c r="E10" s="21">
        <v>400000</v>
      </c>
      <c r="F10" s="1" t="s">
        <v>13</v>
      </c>
    </row>
    <row r="11" spans="1:8" x14ac:dyDescent="0.25">
      <c r="A11" s="13">
        <v>45366</v>
      </c>
      <c r="B11" s="1" t="s">
        <v>328</v>
      </c>
      <c r="C11" s="1" t="s">
        <v>329</v>
      </c>
      <c r="D11" s="36" t="s">
        <v>330</v>
      </c>
      <c r="E11" s="21">
        <v>850000</v>
      </c>
      <c r="F11" s="1" t="s">
        <v>26</v>
      </c>
    </row>
    <row r="12" spans="1:8" x14ac:dyDescent="0.25">
      <c r="A12" s="13">
        <v>45366</v>
      </c>
      <c r="B12" s="1" t="s">
        <v>331</v>
      </c>
      <c r="C12" s="1" t="s">
        <v>332</v>
      </c>
      <c r="D12" s="1" t="s">
        <v>333</v>
      </c>
      <c r="E12" s="21">
        <v>1200000</v>
      </c>
      <c r="F12" s="1" t="s">
        <v>26</v>
      </c>
    </row>
    <row r="13" spans="1:8" x14ac:dyDescent="0.25">
      <c r="A13" s="13">
        <v>45366</v>
      </c>
      <c r="B13" s="1" t="s">
        <v>334</v>
      </c>
      <c r="C13" s="1" t="s">
        <v>335</v>
      </c>
      <c r="D13" s="1" t="s">
        <v>336</v>
      </c>
      <c r="E13" s="21">
        <v>350000</v>
      </c>
      <c r="F13" s="1" t="s">
        <v>13</v>
      </c>
    </row>
    <row r="14" spans="1:8" x14ac:dyDescent="0.25">
      <c r="A14" s="13">
        <v>45369</v>
      </c>
      <c r="B14" s="1" t="s">
        <v>337</v>
      </c>
      <c r="C14" s="1" t="s">
        <v>338</v>
      </c>
      <c r="D14" s="1" t="s">
        <v>339</v>
      </c>
      <c r="E14" s="21">
        <v>500000</v>
      </c>
      <c r="F14" s="1" t="s">
        <v>17</v>
      </c>
    </row>
    <row r="15" spans="1:8" x14ac:dyDescent="0.25">
      <c r="A15" s="13">
        <v>45370</v>
      </c>
      <c r="B15" s="1" t="s">
        <v>340</v>
      </c>
      <c r="C15" s="1" t="s">
        <v>341</v>
      </c>
      <c r="D15" s="1" t="s">
        <v>342</v>
      </c>
      <c r="E15" s="21">
        <v>300000</v>
      </c>
      <c r="F15" s="1" t="s">
        <v>26</v>
      </c>
    </row>
    <row r="16" spans="1:8" x14ac:dyDescent="0.25">
      <c r="A16" s="13">
        <v>45370</v>
      </c>
      <c r="B16" s="1" t="s">
        <v>343</v>
      </c>
      <c r="C16" s="24" t="s">
        <v>344</v>
      </c>
      <c r="D16" s="1" t="s">
        <v>345</v>
      </c>
      <c r="E16" s="21">
        <v>600000</v>
      </c>
      <c r="F16" s="1" t="s">
        <v>17</v>
      </c>
    </row>
    <row r="17" spans="1:6" x14ac:dyDescent="0.25">
      <c r="A17" s="13"/>
      <c r="E17" s="21"/>
    </row>
    <row r="18" spans="1:6" x14ac:dyDescent="0.25">
      <c r="A18" s="39"/>
      <c r="B18" s="40"/>
      <c r="C18" s="40"/>
      <c r="D18" s="40"/>
      <c r="E18" s="41">
        <v>9630000</v>
      </c>
      <c r="F18" s="40"/>
    </row>
    <row r="19" spans="1:6" x14ac:dyDescent="0.25">
      <c r="A19" s="42" t="s">
        <v>346</v>
      </c>
      <c r="E19" s="21"/>
    </row>
    <row r="20" spans="1:6" x14ac:dyDescent="0.25">
      <c r="A20" s="3" t="s">
        <v>231</v>
      </c>
      <c r="B20" s="3" t="s">
        <v>242</v>
      </c>
      <c r="C20" s="3" t="s">
        <v>243</v>
      </c>
      <c r="D20" s="3" t="s">
        <v>244</v>
      </c>
      <c r="E20" s="3" t="s">
        <v>245</v>
      </c>
      <c r="F20" s="3" t="s">
        <v>1</v>
      </c>
    </row>
    <row r="21" spans="1:6" x14ac:dyDescent="0.25">
      <c r="A21" s="13">
        <v>45364</v>
      </c>
      <c r="B21" s="1" t="s">
        <v>347</v>
      </c>
      <c r="C21" s="1" t="s">
        <v>348</v>
      </c>
      <c r="D21" s="1" t="s">
        <v>349</v>
      </c>
      <c r="E21" s="21">
        <v>3000000</v>
      </c>
      <c r="F21" s="1" t="s">
        <v>20</v>
      </c>
    </row>
    <row r="22" spans="1:6" x14ac:dyDescent="0.25">
      <c r="A22" s="13">
        <v>45364</v>
      </c>
      <c r="B22" s="1" t="s">
        <v>350</v>
      </c>
      <c r="C22" s="1" t="s">
        <v>351</v>
      </c>
      <c r="D22" s="1" t="s">
        <v>352</v>
      </c>
      <c r="E22" s="21">
        <v>1500000</v>
      </c>
      <c r="F22" s="1" t="s">
        <v>17</v>
      </c>
    </row>
    <row r="23" spans="1:6" x14ac:dyDescent="0.25">
      <c r="A23" s="13">
        <v>45364</v>
      </c>
      <c r="B23" s="1" t="s">
        <v>353</v>
      </c>
      <c r="C23" s="1" t="s">
        <v>354</v>
      </c>
      <c r="D23" s="1" t="s">
        <v>355</v>
      </c>
      <c r="E23" s="21">
        <v>2000000</v>
      </c>
      <c r="F23" s="1" t="s">
        <v>26</v>
      </c>
    </row>
    <row r="24" spans="1:6" x14ac:dyDescent="0.25">
      <c r="A24" s="13">
        <v>45364</v>
      </c>
      <c r="B24" s="1" t="s">
        <v>356</v>
      </c>
      <c r="C24" s="1" t="s">
        <v>357</v>
      </c>
      <c r="D24" s="1" t="s">
        <v>358</v>
      </c>
      <c r="E24" s="21">
        <v>5500000</v>
      </c>
      <c r="F24" s="1" t="s">
        <v>26</v>
      </c>
    </row>
    <row r="25" spans="1:6" x14ac:dyDescent="0.25">
      <c r="E25" s="1"/>
    </row>
    <row r="26" spans="1:6" ht="15.75" x14ac:dyDescent="0.25">
      <c r="A26" s="11"/>
      <c r="B26" s="11"/>
      <c r="C26" s="11"/>
      <c r="D26" s="25" t="s">
        <v>68</v>
      </c>
      <c r="E26" s="26">
        <v>12000000</v>
      </c>
      <c r="F26" s="11"/>
    </row>
    <row r="27" spans="1:6" x14ac:dyDescent="0.25">
      <c r="D27" s="3"/>
      <c r="E27" s="4"/>
    </row>
    <row r="28" spans="1:6" ht="15.75" x14ac:dyDescent="0.25">
      <c r="A28" s="16" t="s">
        <v>268</v>
      </c>
      <c r="E28" s="1"/>
    </row>
    <row r="29" spans="1:6" x14ac:dyDescent="0.25">
      <c r="A29" s="3" t="s">
        <v>231</v>
      </c>
      <c r="B29" s="3" t="s">
        <v>242</v>
      </c>
      <c r="C29" s="3" t="s">
        <v>243</v>
      </c>
      <c r="D29" s="3" t="s">
        <v>244</v>
      </c>
      <c r="E29" s="3" t="s">
        <v>269</v>
      </c>
      <c r="F29" s="3" t="s">
        <v>1</v>
      </c>
    </row>
    <row r="30" spans="1:6" x14ac:dyDescent="0.25">
      <c r="A30" s="13">
        <v>45349</v>
      </c>
      <c r="B30" s="1" t="s">
        <v>270</v>
      </c>
      <c r="C30" s="1" t="s">
        <v>271</v>
      </c>
      <c r="D30" s="21" t="s">
        <v>272</v>
      </c>
      <c r="E30" s="21">
        <v>94304</v>
      </c>
      <c r="F30" s="1" t="s">
        <v>24</v>
      </c>
    </row>
    <row r="31" spans="1:6" x14ac:dyDescent="0.25">
      <c r="A31" s="13">
        <v>45350</v>
      </c>
      <c r="B31" s="1" t="s">
        <v>274</v>
      </c>
      <c r="C31" s="1" t="s">
        <v>275</v>
      </c>
      <c r="D31" s="21" t="s">
        <v>276</v>
      </c>
      <c r="E31" s="28">
        <v>123472.8</v>
      </c>
      <c r="F31" s="1" t="s">
        <v>34</v>
      </c>
    </row>
    <row r="32" spans="1:6" x14ac:dyDescent="0.25">
      <c r="A32" s="13">
        <v>45352</v>
      </c>
      <c r="B32" s="1" t="s">
        <v>277</v>
      </c>
      <c r="C32" s="1" t="s">
        <v>278</v>
      </c>
      <c r="D32" s="21" t="s">
        <v>279</v>
      </c>
      <c r="E32" s="28">
        <v>250000</v>
      </c>
      <c r="F32" s="34" t="s">
        <v>280</v>
      </c>
    </row>
    <row r="33" spans="1:6" x14ac:dyDescent="0.25">
      <c r="A33" s="13">
        <v>45352</v>
      </c>
      <c r="B33" s="1" t="s">
        <v>281</v>
      </c>
      <c r="C33" s="1" t="s">
        <v>282</v>
      </c>
      <c r="D33" s="1" t="s">
        <v>283</v>
      </c>
      <c r="E33" s="21">
        <v>2400000</v>
      </c>
      <c r="F33" s="1" t="s">
        <v>34</v>
      </c>
    </row>
    <row r="34" spans="1:6" x14ac:dyDescent="0.25">
      <c r="A34" s="13">
        <v>45353</v>
      </c>
      <c r="B34" s="1" t="s">
        <v>284</v>
      </c>
      <c r="C34" s="1" t="s">
        <v>285</v>
      </c>
      <c r="D34" s="14" t="s">
        <v>286</v>
      </c>
      <c r="E34" s="21">
        <v>662000</v>
      </c>
      <c r="F34" s="1" t="s">
        <v>13</v>
      </c>
    </row>
    <row r="35" spans="1:6" x14ac:dyDescent="0.25">
      <c r="A35" s="13">
        <v>45357</v>
      </c>
      <c r="B35" s="1" t="s">
        <v>287</v>
      </c>
      <c r="C35" s="1" t="s">
        <v>288</v>
      </c>
      <c r="D35" s="21" t="s">
        <v>289</v>
      </c>
      <c r="E35" s="21">
        <v>600000</v>
      </c>
      <c r="F35" s="1" t="s">
        <v>26</v>
      </c>
    </row>
    <row r="36" spans="1:6" x14ac:dyDescent="0.25">
      <c r="A36" s="13">
        <v>45447</v>
      </c>
      <c r="B36" s="1" t="s">
        <v>290</v>
      </c>
      <c r="C36" s="1" t="s">
        <v>291</v>
      </c>
      <c r="D36" s="21" t="s">
        <v>292</v>
      </c>
      <c r="E36" s="28">
        <v>1400000</v>
      </c>
      <c r="F36" s="1" t="s">
        <v>17</v>
      </c>
    </row>
    <row r="37" spans="1:6" ht="30" x14ac:dyDescent="0.25">
      <c r="A37" s="13">
        <v>45507</v>
      </c>
      <c r="B37" s="1" t="s">
        <v>359</v>
      </c>
      <c r="C37" s="1" t="s">
        <v>294</v>
      </c>
      <c r="D37" s="30" t="s">
        <v>295</v>
      </c>
      <c r="E37" s="23">
        <v>937015</v>
      </c>
      <c r="F37" s="22" t="s">
        <v>34</v>
      </c>
    </row>
    <row r="38" spans="1:6" x14ac:dyDescent="0.25">
      <c r="A38" s="13">
        <v>45538</v>
      </c>
      <c r="B38" s="1" t="s">
        <v>296</v>
      </c>
      <c r="C38" s="1" t="s">
        <v>297</v>
      </c>
      <c r="D38" s="24" t="s">
        <v>298</v>
      </c>
      <c r="E38" s="1">
        <v>212000</v>
      </c>
      <c r="F38" s="1" t="s">
        <v>30</v>
      </c>
    </row>
    <row r="39" spans="1:6" x14ac:dyDescent="0.25">
      <c r="A39" s="13"/>
      <c r="B39" s="1" t="s">
        <v>299</v>
      </c>
      <c r="C39" s="30" t="s">
        <v>300</v>
      </c>
      <c r="D39" s="30" t="s">
        <v>301</v>
      </c>
      <c r="E39" s="21">
        <v>81500</v>
      </c>
      <c r="F39" s="22" t="s">
        <v>30</v>
      </c>
    </row>
    <row r="40" spans="1:6" x14ac:dyDescent="0.25">
      <c r="A40" s="13">
        <v>45364</v>
      </c>
      <c r="B40" s="1" t="s">
        <v>360</v>
      </c>
      <c r="C40" s="30" t="s">
        <v>361</v>
      </c>
      <c r="D40" s="30" t="s">
        <v>362</v>
      </c>
      <c r="E40" s="21">
        <v>200000</v>
      </c>
      <c r="F40" s="22" t="s">
        <v>17</v>
      </c>
    </row>
    <row r="41" spans="1:6" x14ac:dyDescent="0.25">
      <c r="A41" s="13">
        <v>45364</v>
      </c>
      <c r="B41" s="1" t="s">
        <v>363</v>
      </c>
      <c r="C41" s="30" t="s">
        <v>364</v>
      </c>
      <c r="D41" s="30" t="s">
        <v>365</v>
      </c>
      <c r="E41" s="21"/>
      <c r="F41" s="22" t="s">
        <v>26</v>
      </c>
    </row>
    <row r="42" spans="1:6" x14ac:dyDescent="0.25">
      <c r="A42" s="13">
        <v>45365</v>
      </c>
      <c r="B42" s="1" t="s">
        <v>366</v>
      </c>
      <c r="C42" s="30" t="s">
        <v>367</v>
      </c>
      <c r="D42" s="30" t="s">
        <v>368</v>
      </c>
      <c r="E42" s="21">
        <v>167300</v>
      </c>
      <c r="F42" s="22" t="s">
        <v>26</v>
      </c>
    </row>
    <row r="43" spans="1:6" x14ac:dyDescent="0.25">
      <c r="A43" s="13">
        <v>45366</v>
      </c>
      <c r="B43" s="1" t="s">
        <v>369</v>
      </c>
      <c r="C43" s="30" t="s">
        <v>255</v>
      </c>
      <c r="D43" s="30" t="s">
        <v>370</v>
      </c>
      <c r="E43" s="21">
        <v>510000</v>
      </c>
      <c r="F43" s="22" t="s">
        <v>13</v>
      </c>
    </row>
    <row r="44" spans="1:6" x14ac:dyDescent="0.25">
      <c r="A44" s="13">
        <v>45370</v>
      </c>
      <c r="B44" s="1" t="s">
        <v>371</v>
      </c>
      <c r="C44" s="30" t="s">
        <v>372</v>
      </c>
      <c r="D44" s="30" t="s">
        <v>373</v>
      </c>
      <c r="E44" s="21">
        <v>518706</v>
      </c>
      <c r="F44" s="22" t="s">
        <v>30</v>
      </c>
    </row>
    <row r="45" spans="1:6" x14ac:dyDescent="0.25">
      <c r="A45" s="13">
        <v>45370</v>
      </c>
      <c r="B45" s="1" t="s">
        <v>374</v>
      </c>
      <c r="C45" s="30" t="s">
        <v>375</v>
      </c>
      <c r="D45" s="30" t="s">
        <v>376</v>
      </c>
      <c r="E45" s="21">
        <v>256370</v>
      </c>
      <c r="F45" s="22" t="s">
        <v>4</v>
      </c>
    </row>
    <row r="46" spans="1:6" x14ac:dyDescent="0.25">
      <c r="E46" s="1"/>
    </row>
    <row r="47" spans="1:6" ht="15.75" x14ac:dyDescent="0.25">
      <c r="A47" s="11"/>
      <c r="B47" s="11"/>
      <c r="C47" s="25" t="s">
        <v>68</v>
      </c>
      <c r="D47" s="26"/>
      <c r="E47" s="35">
        <v>8412667.8000000007</v>
      </c>
      <c r="F47" s="11"/>
    </row>
    <row r="48" spans="1:6" ht="15.75" x14ac:dyDescent="0.25">
      <c r="C48" s="16"/>
      <c r="D48" s="43"/>
      <c r="E48" s="1"/>
    </row>
    <row r="49" spans="1:6" x14ac:dyDescent="0.25">
      <c r="A49" s="3" t="s">
        <v>377</v>
      </c>
      <c r="B49" s="3" t="s">
        <v>378</v>
      </c>
      <c r="C49" s="3" t="s">
        <v>379</v>
      </c>
      <c r="E49" s="1"/>
    </row>
    <row r="50" spans="1:6" x14ac:dyDescent="0.25">
      <c r="A50" s="1" t="s">
        <v>380</v>
      </c>
      <c r="B50" s="1">
        <v>142</v>
      </c>
      <c r="C50" s="1">
        <v>153</v>
      </c>
      <c r="E50" s="1"/>
    </row>
    <row r="51" spans="1:6" x14ac:dyDescent="0.25">
      <c r="A51" s="1" t="s">
        <v>381</v>
      </c>
      <c r="B51" s="1">
        <v>35</v>
      </c>
      <c r="C51" s="1">
        <v>37</v>
      </c>
      <c r="E51" s="1"/>
    </row>
    <row r="52" spans="1:6" x14ac:dyDescent="0.25">
      <c r="A52" s="1" t="s">
        <v>382</v>
      </c>
      <c r="B52" s="1">
        <v>6</v>
      </c>
      <c r="C52" s="1">
        <v>6</v>
      </c>
      <c r="E52" s="1"/>
    </row>
    <row r="53" spans="1:6" x14ac:dyDescent="0.25">
      <c r="A53" s="1" t="s">
        <v>383</v>
      </c>
      <c r="B53" s="1">
        <v>95</v>
      </c>
      <c r="C53" s="1">
        <v>94</v>
      </c>
      <c r="E53" s="1"/>
    </row>
    <row r="54" spans="1:6" x14ac:dyDescent="0.25">
      <c r="A54" s="1" t="s">
        <v>384</v>
      </c>
      <c r="B54" s="1">
        <v>1</v>
      </c>
      <c r="C54" s="1">
        <v>1</v>
      </c>
      <c r="E54" s="1"/>
    </row>
    <row r="55" spans="1:6" x14ac:dyDescent="0.25">
      <c r="A55" s="1" t="s">
        <v>385</v>
      </c>
      <c r="B55" s="1">
        <v>11</v>
      </c>
      <c r="C55" s="1">
        <v>21</v>
      </c>
      <c r="E55" s="1"/>
    </row>
    <row r="56" spans="1:6" x14ac:dyDescent="0.25">
      <c r="E56" s="1"/>
    </row>
    <row r="58" spans="1:6" x14ac:dyDescent="0.25">
      <c r="A58" s="15" t="s">
        <v>386</v>
      </c>
      <c r="E58" s="1"/>
    </row>
    <row r="59" spans="1:6" x14ac:dyDescent="0.25">
      <c r="A59" s="29" t="s">
        <v>387</v>
      </c>
      <c r="B59" s="29" t="s">
        <v>388</v>
      </c>
      <c r="C59" s="29" t="s">
        <v>389</v>
      </c>
      <c r="D59" s="29" t="s">
        <v>390</v>
      </c>
      <c r="E59" s="29" t="s">
        <v>391</v>
      </c>
      <c r="F59" s="29" t="s">
        <v>392</v>
      </c>
    </row>
    <row r="60" spans="1:6" x14ac:dyDescent="0.25">
      <c r="A60" s="1" t="s">
        <v>393</v>
      </c>
      <c r="B60" s="1" t="s">
        <v>394</v>
      </c>
      <c r="C60" s="37" t="s">
        <v>395</v>
      </c>
      <c r="D60" s="1" t="s">
        <v>396</v>
      </c>
      <c r="E60" s="1" t="s">
        <v>397</v>
      </c>
      <c r="F60" s="1" t="s">
        <v>398</v>
      </c>
    </row>
    <row r="61" spans="1:6" x14ac:dyDescent="0.25">
      <c r="A61" s="1" t="s">
        <v>393</v>
      </c>
      <c r="B61" s="1" t="s">
        <v>360</v>
      </c>
      <c r="C61" s="38">
        <v>45415</v>
      </c>
      <c r="D61" s="1" t="s">
        <v>399</v>
      </c>
      <c r="E61" s="1" t="s">
        <v>362</v>
      </c>
      <c r="F61" s="1" t="s">
        <v>400</v>
      </c>
    </row>
    <row r="62" spans="1:6" x14ac:dyDescent="0.25">
      <c r="A62" s="1" t="s">
        <v>393</v>
      </c>
      <c r="B62" s="1" t="s">
        <v>401</v>
      </c>
      <c r="C62" s="37" t="s">
        <v>402</v>
      </c>
      <c r="D62" s="1" t="s">
        <v>399</v>
      </c>
      <c r="E62" s="1" t="s">
        <v>403</v>
      </c>
      <c r="F62" s="1" t="s">
        <v>404</v>
      </c>
    </row>
    <row r="63" spans="1:6" x14ac:dyDescent="0.25">
      <c r="A63" s="1" t="s">
        <v>393</v>
      </c>
      <c r="B63" s="1" t="s">
        <v>405</v>
      </c>
      <c r="C63" s="38">
        <v>45446</v>
      </c>
      <c r="D63" s="1" t="s">
        <v>399</v>
      </c>
      <c r="E63" s="1" t="s">
        <v>406</v>
      </c>
      <c r="F63" s="1" t="s">
        <v>407</v>
      </c>
    </row>
    <row r="64" spans="1:6" x14ac:dyDescent="0.25">
      <c r="A64" s="1" t="s">
        <v>393</v>
      </c>
      <c r="B64" s="1" t="s">
        <v>408</v>
      </c>
      <c r="C64" s="38">
        <v>45476</v>
      </c>
      <c r="D64" s="1" t="s">
        <v>399</v>
      </c>
      <c r="E64" s="1" t="s">
        <v>406</v>
      </c>
      <c r="F64" s="1" t="s">
        <v>409</v>
      </c>
    </row>
    <row r="65" spans="1:6" x14ac:dyDescent="0.25">
      <c r="A65" s="1" t="s">
        <v>393</v>
      </c>
      <c r="B65" s="1" t="s">
        <v>410</v>
      </c>
      <c r="C65" s="38">
        <v>45414</v>
      </c>
      <c r="D65" s="1" t="s">
        <v>411</v>
      </c>
      <c r="E65" s="1" t="s">
        <v>412</v>
      </c>
      <c r="F65" s="1" t="s">
        <v>413</v>
      </c>
    </row>
    <row r="66" spans="1:6" x14ac:dyDescent="0.25">
      <c r="A66" s="1" t="s">
        <v>414</v>
      </c>
      <c r="B66" s="1" t="s">
        <v>366</v>
      </c>
      <c r="C66" s="38">
        <v>45415</v>
      </c>
      <c r="D66" s="1" t="s">
        <v>399</v>
      </c>
      <c r="E66" s="1" t="s">
        <v>415</v>
      </c>
      <c r="F66" s="1" t="s">
        <v>416</v>
      </c>
    </row>
    <row r="67" spans="1:6" x14ac:dyDescent="0.25">
      <c r="A67" s="1" t="s">
        <v>417</v>
      </c>
      <c r="B67" s="1" t="s">
        <v>293</v>
      </c>
      <c r="C67" s="38">
        <v>45294</v>
      </c>
      <c r="D67" s="1" t="s">
        <v>399</v>
      </c>
      <c r="E67" s="1" t="s">
        <v>418</v>
      </c>
      <c r="F67" s="1" t="s">
        <v>419</v>
      </c>
    </row>
    <row r="68" spans="1:6" x14ac:dyDescent="0.25">
      <c r="A68" s="1" t="s">
        <v>417</v>
      </c>
      <c r="B68" s="1" t="s">
        <v>420</v>
      </c>
      <c r="C68" s="37" t="s">
        <v>395</v>
      </c>
      <c r="D68" s="1" t="s">
        <v>421</v>
      </c>
      <c r="E68" s="1" t="s">
        <v>422</v>
      </c>
      <c r="F68" s="1" t="s">
        <v>423</v>
      </c>
    </row>
    <row r="69" spans="1:6" x14ac:dyDescent="0.25">
      <c r="A69" s="1" t="s">
        <v>417</v>
      </c>
      <c r="B69" s="1" t="s">
        <v>369</v>
      </c>
      <c r="C69" s="13">
        <v>45328</v>
      </c>
      <c r="D69" s="1" t="s">
        <v>421</v>
      </c>
      <c r="E69" s="1" t="s">
        <v>424</v>
      </c>
      <c r="F69" s="1" t="s">
        <v>425</v>
      </c>
    </row>
    <row r="70" spans="1:6" x14ac:dyDescent="0.25">
      <c r="A70" s="1" t="s">
        <v>417</v>
      </c>
      <c r="B70" s="1" t="s">
        <v>426</v>
      </c>
      <c r="C70" s="13">
        <v>45335</v>
      </c>
      <c r="D70" s="1" t="s">
        <v>421</v>
      </c>
      <c r="E70" s="1" t="s">
        <v>427</v>
      </c>
      <c r="F70" s="1" t="s">
        <v>428</v>
      </c>
    </row>
    <row r="71" spans="1:6" x14ac:dyDescent="0.25">
      <c r="A71" s="1" t="s">
        <v>417</v>
      </c>
      <c r="B71" s="1" t="s">
        <v>429</v>
      </c>
      <c r="C71" s="13">
        <v>45336</v>
      </c>
      <c r="D71" s="1" t="s">
        <v>399</v>
      </c>
      <c r="E71" s="1" t="s">
        <v>430</v>
      </c>
      <c r="F71" s="1" t="s">
        <v>431</v>
      </c>
    </row>
    <row r="72" spans="1:6" x14ac:dyDescent="0.25">
      <c r="A72" s="1" t="s">
        <v>417</v>
      </c>
      <c r="B72" s="1" t="s">
        <v>432</v>
      </c>
      <c r="C72" s="13">
        <v>45343</v>
      </c>
      <c r="D72" s="1" t="s">
        <v>399</v>
      </c>
      <c r="E72" s="1" t="s">
        <v>433</v>
      </c>
      <c r="F72" s="1" t="s">
        <v>434</v>
      </c>
    </row>
    <row r="73" spans="1:6" x14ac:dyDescent="0.25">
      <c r="A73" s="1" t="s">
        <v>435</v>
      </c>
      <c r="B73" s="1" t="s">
        <v>274</v>
      </c>
      <c r="C73" s="13">
        <v>45328</v>
      </c>
      <c r="D73" s="1" t="s">
        <v>399</v>
      </c>
      <c r="E73" s="1" t="s">
        <v>276</v>
      </c>
      <c r="F73" s="1" t="s">
        <v>436</v>
      </c>
    </row>
    <row r="74" spans="1:6" x14ac:dyDescent="0.25">
      <c r="A74" s="1" t="s">
        <v>435</v>
      </c>
      <c r="B74" s="1" t="s">
        <v>437</v>
      </c>
      <c r="C74" s="13">
        <v>45640</v>
      </c>
      <c r="D74" s="1" t="s">
        <v>399</v>
      </c>
      <c r="E74" s="1" t="s">
        <v>438</v>
      </c>
      <c r="F74" s="1" t="s">
        <v>439</v>
      </c>
    </row>
    <row r="75" spans="1:6" x14ac:dyDescent="0.25">
      <c r="A75" s="1" t="s">
        <v>440</v>
      </c>
      <c r="B75" s="1" t="s">
        <v>441</v>
      </c>
      <c r="C75" s="13">
        <v>45306</v>
      </c>
      <c r="D75" s="1" t="s">
        <v>442</v>
      </c>
      <c r="E75" s="1" t="s">
        <v>443</v>
      </c>
      <c r="F75" s="1" t="s">
        <v>444</v>
      </c>
    </row>
    <row r="76" spans="1:6" x14ac:dyDescent="0.25">
      <c r="A76" s="1" t="s">
        <v>445</v>
      </c>
      <c r="B76" s="1" t="s">
        <v>446</v>
      </c>
      <c r="C76" s="13">
        <v>45294</v>
      </c>
      <c r="D76" s="1" t="s">
        <v>399</v>
      </c>
      <c r="E76" s="1" t="s">
        <v>447</v>
      </c>
      <c r="F76" s="1" t="s">
        <v>448</v>
      </c>
    </row>
    <row r="78" spans="1:6" x14ac:dyDescent="0.25">
      <c r="A78" s="15" t="s">
        <v>449</v>
      </c>
      <c r="E78" s="1"/>
    </row>
    <row r="79" spans="1:6" x14ac:dyDescent="0.25">
      <c r="A79" s="29" t="s">
        <v>387</v>
      </c>
      <c r="B79" s="29" t="s">
        <v>388</v>
      </c>
      <c r="C79" s="29" t="s">
        <v>389</v>
      </c>
      <c r="D79" s="29" t="s">
        <v>390</v>
      </c>
      <c r="E79" s="29" t="s">
        <v>391</v>
      </c>
      <c r="F79" s="29" t="s">
        <v>392</v>
      </c>
    </row>
    <row r="80" spans="1:6" x14ac:dyDescent="0.25">
      <c r="A80" s="1" t="s">
        <v>450</v>
      </c>
      <c r="B80" s="1" t="s">
        <v>451</v>
      </c>
      <c r="C80" s="13">
        <v>45315</v>
      </c>
      <c r="D80" s="1" t="s">
        <v>399</v>
      </c>
      <c r="E80" s="1" t="s">
        <v>452</v>
      </c>
      <c r="F80" s="1" t="s">
        <v>453</v>
      </c>
    </row>
    <row r="81" spans="1:6" x14ac:dyDescent="0.25">
      <c r="A81" s="1" t="s">
        <v>450</v>
      </c>
      <c r="B81" s="1" t="s">
        <v>296</v>
      </c>
      <c r="C81" s="13">
        <v>45355</v>
      </c>
      <c r="D81" s="1" t="s">
        <v>399</v>
      </c>
      <c r="E81" s="1" t="s">
        <v>454</v>
      </c>
      <c r="F81" s="1" t="s">
        <v>455</v>
      </c>
    </row>
    <row r="82" spans="1:6" x14ac:dyDescent="0.25">
      <c r="A82" s="1" t="s">
        <v>417</v>
      </c>
      <c r="B82" s="1" t="s">
        <v>456</v>
      </c>
      <c r="C82" s="13">
        <v>45367</v>
      </c>
      <c r="D82" s="1" t="s">
        <v>399</v>
      </c>
      <c r="E82" s="1" t="s">
        <v>457</v>
      </c>
      <c r="F82" s="1" t="s">
        <v>458</v>
      </c>
    </row>
    <row r="83" spans="1:6" x14ac:dyDescent="0.25">
      <c r="A83" s="1" t="s">
        <v>393</v>
      </c>
      <c r="B83" s="1" t="s">
        <v>371</v>
      </c>
      <c r="C83" s="13">
        <v>45364</v>
      </c>
      <c r="D83" s="1" t="s">
        <v>399</v>
      </c>
      <c r="E83" s="1" t="s">
        <v>373</v>
      </c>
      <c r="F83" s="1" t="s">
        <v>459</v>
      </c>
    </row>
    <row r="84" spans="1:6" x14ac:dyDescent="0.25">
      <c r="A84" s="1" t="s">
        <v>393</v>
      </c>
      <c r="B84" s="1" t="s">
        <v>460</v>
      </c>
      <c r="C84" s="13">
        <v>45366</v>
      </c>
      <c r="D84" s="1" t="s">
        <v>396</v>
      </c>
      <c r="E84" s="1" t="s">
        <v>461</v>
      </c>
      <c r="F84" s="1" t="s">
        <v>462</v>
      </c>
    </row>
    <row r="85" spans="1:6" x14ac:dyDescent="0.25">
      <c r="A85" s="1" t="s">
        <v>393</v>
      </c>
      <c r="B85" s="1" t="s">
        <v>463</v>
      </c>
      <c r="C85" s="13">
        <v>45363</v>
      </c>
      <c r="D85" s="1" t="s">
        <v>399</v>
      </c>
      <c r="E85" s="1" t="s">
        <v>464</v>
      </c>
      <c r="F85" s="1" t="s">
        <v>465</v>
      </c>
    </row>
    <row r="87" spans="1:6" x14ac:dyDescent="0.25">
      <c r="A87" s="15" t="s">
        <v>466</v>
      </c>
      <c r="E87" s="1"/>
    </row>
    <row r="88" spans="1:6" x14ac:dyDescent="0.25">
      <c r="A88" s="29" t="s">
        <v>467</v>
      </c>
      <c r="B88" s="29" t="s">
        <v>244</v>
      </c>
      <c r="C88" s="29" t="s">
        <v>242</v>
      </c>
      <c r="E88" s="1"/>
    </row>
    <row r="89" spans="1:6" x14ac:dyDescent="0.25">
      <c r="A89" s="1" t="s">
        <v>468</v>
      </c>
      <c r="B89" s="1" t="s">
        <v>469</v>
      </c>
      <c r="C89" s="1" t="s">
        <v>470</v>
      </c>
      <c r="E89" s="1"/>
    </row>
    <row r="90" spans="1:6" x14ac:dyDescent="0.25">
      <c r="A90" s="1" t="s">
        <v>471</v>
      </c>
      <c r="B90" s="1" t="s">
        <v>472</v>
      </c>
      <c r="C90" s="1" t="s">
        <v>473</v>
      </c>
      <c r="E90" s="1"/>
    </row>
    <row r="91" spans="1:6" x14ac:dyDescent="0.25">
      <c r="A91" s="1" t="s">
        <v>474</v>
      </c>
      <c r="B91" s="1" t="s">
        <v>475</v>
      </c>
      <c r="C91" s="1" t="s">
        <v>476</v>
      </c>
      <c r="E91" s="1"/>
    </row>
    <row r="92" spans="1:6" x14ac:dyDescent="0.25">
      <c r="A92" s="1" t="s">
        <v>477</v>
      </c>
      <c r="B92" s="1" t="s">
        <v>478</v>
      </c>
      <c r="C92" s="1" t="s">
        <v>479</v>
      </c>
      <c r="E92" s="1"/>
    </row>
    <row r="93" spans="1:6" x14ac:dyDescent="0.25">
      <c r="A93" s="1" t="s">
        <v>480</v>
      </c>
      <c r="B93" s="1" t="s">
        <v>481</v>
      </c>
      <c r="C93" s="1" t="s">
        <v>482</v>
      </c>
      <c r="E93" s="1"/>
    </row>
    <row r="94" spans="1:6" x14ac:dyDescent="0.25">
      <c r="A94" s="1" t="s">
        <v>483</v>
      </c>
      <c r="B94" s="1" t="s">
        <v>484</v>
      </c>
      <c r="C94" s="1" t="s">
        <v>485</v>
      </c>
      <c r="E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SUMMARRY</vt:lpstr>
      <vt:lpstr>COCMFOSABMS</vt:lpstr>
      <vt:lpstr>LOGBOOK  TEAM LEADERS</vt:lpstr>
      <vt:lpstr>CHECKOFF TEAM LEADERS </vt:lpstr>
      <vt:lpstr>CALL CENTER</vt:lpstr>
      <vt:lpstr>BRANCHES </vt:lpstr>
      <vt:lpstr>ABMS</vt:lpstr>
      <vt:lpstr>RECOVERY POS AND CHECKOFF TEAM</vt:lpstr>
      <vt:lpstr>PORTFROLIO OFFICERS</vt:lpstr>
      <vt:lpstr>CAR SALES 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JENKINS</dc:creator>
  <cp:lastModifiedBy>MCL Eric B</cp:lastModifiedBy>
  <cp:lastPrinted>2024-05-21T07:56:57Z</cp:lastPrinted>
  <dcterms:created xsi:type="dcterms:W3CDTF">2024-01-23T12:05:51Z</dcterms:created>
  <dcterms:modified xsi:type="dcterms:W3CDTF">2024-09-25T06:44:30Z</dcterms:modified>
</cp:coreProperties>
</file>