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20" yWindow="150" windowWidth="9720" windowHeight="4950"/>
  </bookViews>
  <sheets>
    <sheet name="Block Load" sheetId="1" r:id="rId1"/>
    <sheet name="000000" sheetId="2" state="veryHidden" r:id="rId2"/>
    <sheet name="Instructions" sheetId="3" r:id="rId3"/>
  </sheets>
  <definedNames>
    <definedName name="_Order1" hidden="1">0</definedName>
    <definedName name="_Order2" hidden="1">0</definedName>
    <definedName name="_xlnm.Print_Area" localSheetId="0">'Block Load'!$A$1:$H$137</definedName>
    <definedName name="_xlnm.Print_Area" localSheetId="2">Instructions!$A$1:$B$49</definedName>
    <definedName name="Print_Area_MI" localSheetId="0">'Block Load'!$A$1:$AG$87</definedName>
    <definedName name="_xlnm.Print_Titles" localSheetId="0">'Block Load'!$1:$4</definedName>
  </definedNames>
  <calcPr calcId="144525"/>
</workbook>
</file>

<file path=xl/calcChain.xml><?xml version="1.0" encoding="utf-8"?>
<calcChain xmlns="http://schemas.openxmlformats.org/spreadsheetml/2006/main">
  <c r="A16" i="3" l="1"/>
  <c r="A14" i="3"/>
  <c r="A12" i="3"/>
  <c r="A11" i="3"/>
  <c r="A9" i="3"/>
  <c r="H41" i="1"/>
  <c r="A6" i="3"/>
  <c r="A5" i="3"/>
  <c r="A4" i="3"/>
  <c r="D114" i="1"/>
  <c r="G135" i="1"/>
  <c r="G127" i="1"/>
  <c r="G126" i="1"/>
  <c r="G125" i="1"/>
  <c r="G124" i="1"/>
  <c r="G123" i="1"/>
  <c r="G99" i="1"/>
  <c r="G98" i="1"/>
  <c r="G96" i="1"/>
  <c r="G95" i="1"/>
  <c r="G94" i="1"/>
  <c r="G80" i="1"/>
  <c r="G79" i="1"/>
  <c r="G78" i="1"/>
  <c r="G71" i="1"/>
  <c r="G64" i="1"/>
  <c r="G63" i="1"/>
  <c r="G62" i="1"/>
  <c r="G61" i="1"/>
  <c r="G60" i="1"/>
  <c r="G59" i="1"/>
  <c r="G46" i="1"/>
  <c r="G45" i="1"/>
  <c r="G44" i="1"/>
  <c r="G43" i="1"/>
  <c r="G42" i="1"/>
  <c r="G41" i="1"/>
  <c r="G35" i="1"/>
  <c r="G34" i="1"/>
  <c r="G33" i="1"/>
  <c r="G32" i="1"/>
  <c r="G31" i="1"/>
  <c r="G30" i="1"/>
  <c r="G29" i="1"/>
  <c r="G23" i="1"/>
  <c r="G22" i="1"/>
  <c r="G21" i="1"/>
  <c r="G20" i="1"/>
  <c r="G19" i="1"/>
  <c r="G18" i="1"/>
  <c r="F125" i="1"/>
  <c r="F124" i="1"/>
  <c r="F123" i="1"/>
  <c r="F126" i="1"/>
  <c r="F127" i="1"/>
  <c r="E123" i="1"/>
  <c r="E125" i="1"/>
  <c r="E124" i="1"/>
  <c r="D115" i="1"/>
  <c r="H65" i="1"/>
  <c r="H129" i="1" s="1"/>
  <c r="F63" i="1"/>
  <c r="C64" i="1"/>
  <c r="D128" i="1" s="1"/>
  <c r="C63" i="1"/>
  <c r="D127" i="1" s="1"/>
  <c r="F33" i="1"/>
  <c r="D46" i="1"/>
  <c r="D20" i="1"/>
  <c r="E20" i="1"/>
  <c r="H2" i="1"/>
  <c r="D17" i="1"/>
  <c r="E17" i="1"/>
  <c r="F17" i="1"/>
  <c r="D18" i="1"/>
  <c r="E18" i="1"/>
  <c r="F18" i="1"/>
  <c r="D19" i="1"/>
  <c r="E19" i="1"/>
  <c r="F19" i="1"/>
  <c r="F20" i="1"/>
  <c r="D21" i="1"/>
  <c r="E21" i="1"/>
  <c r="F21" i="1"/>
  <c r="D22" i="1"/>
  <c r="E22" i="1"/>
  <c r="F22" i="1"/>
  <c r="D23" i="1"/>
  <c r="D29" i="1"/>
  <c r="E29" i="1"/>
  <c r="F29" i="1"/>
  <c r="C93" i="1"/>
  <c r="D93" i="1"/>
  <c r="E93" i="1"/>
  <c r="F93" i="1"/>
  <c r="D30" i="1"/>
  <c r="E30" i="1"/>
  <c r="F30" i="1"/>
  <c r="C94" i="1"/>
  <c r="D94" i="1"/>
  <c r="E94" i="1"/>
  <c r="F94" i="1"/>
  <c r="D31" i="1"/>
  <c r="E31" i="1"/>
  <c r="F31" i="1"/>
  <c r="C95" i="1"/>
  <c r="D95" i="1"/>
  <c r="E95" i="1"/>
  <c r="F95" i="1"/>
  <c r="D32" i="1"/>
  <c r="E32" i="1"/>
  <c r="F32" i="1"/>
  <c r="C96" i="1"/>
  <c r="D96" i="1"/>
  <c r="E96" i="1"/>
  <c r="F96" i="1"/>
  <c r="D33" i="1"/>
  <c r="E33" i="1"/>
  <c r="C34" i="1"/>
  <c r="D98" i="1" s="1"/>
  <c r="D34" i="1"/>
  <c r="F34" i="1"/>
  <c r="E98" i="1"/>
  <c r="F98" i="1"/>
  <c r="D99" i="1"/>
  <c r="E99" i="1"/>
  <c r="F99" i="1"/>
  <c r="E110" i="1"/>
  <c r="F110" i="1"/>
  <c r="D59" i="1"/>
  <c r="E59" i="1"/>
  <c r="F59" i="1"/>
  <c r="C123" i="1"/>
  <c r="D123" i="1"/>
  <c r="D60" i="1"/>
  <c r="E60" i="1"/>
  <c r="F60" i="1"/>
  <c r="C124" i="1"/>
  <c r="D124" i="1"/>
  <c r="D61" i="1"/>
  <c r="E61" i="1"/>
  <c r="F61" i="1"/>
  <c r="C125" i="1"/>
  <c r="D125" i="1"/>
  <c r="D62" i="1"/>
  <c r="E62" i="1"/>
  <c r="F62" i="1"/>
  <c r="C126" i="1"/>
  <c r="D126" i="1"/>
  <c r="E126" i="1"/>
  <c r="D63" i="1"/>
  <c r="E63" i="1"/>
  <c r="C127" i="1"/>
  <c r="E127" i="1"/>
  <c r="D64" i="1"/>
  <c r="E128" i="1" s="1"/>
  <c r="F64" i="1"/>
  <c r="G128" i="1" s="1"/>
  <c r="E71" i="1"/>
  <c r="E135" i="1"/>
  <c r="D79" i="1"/>
  <c r="C80" i="1"/>
  <c r="B141" i="1"/>
  <c r="D153" i="1" s="1"/>
  <c r="D141" i="1"/>
  <c r="E143" i="1" s="1"/>
  <c r="H141" i="1"/>
  <c r="H142" i="1" s="1"/>
  <c r="H143" i="1" s="1"/>
  <c r="J141" i="1"/>
  <c r="K143" i="1" s="1"/>
  <c r="H43" i="1" l="1"/>
  <c r="H44" i="1"/>
  <c r="H63" i="1"/>
  <c r="H46" i="1"/>
  <c r="H45" i="1"/>
  <c r="H42" i="1"/>
  <c r="H128" i="1"/>
  <c r="H110" i="1"/>
  <c r="H111" i="1" s="1"/>
  <c r="H80" i="1"/>
  <c r="B142" i="1"/>
  <c r="B143" i="1" s="1"/>
  <c r="B144" i="1" s="1"/>
  <c r="B146" i="1" s="1"/>
  <c r="D142" i="1"/>
  <c r="D143" i="1" s="1"/>
  <c r="D144" i="1" s="1"/>
  <c r="D146" i="1" s="1"/>
  <c r="H35" i="1"/>
  <c r="H124" i="1"/>
  <c r="H123" i="1"/>
  <c r="H127" i="1"/>
  <c r="H32" i="1"/>
  <c r="H94" i="1"/>
  <c r="H125" i="1"/>
  <c r="H96" i="1"/>
  <c r="H20" i="1"/>
  <c r="H30" i="1"/>
  <c r="H23" i="1"/>
  <c r="H33" i="1"/>
  <c r="H31" i="1"/>
  <c r="H95" i="1"/>
  <c r="H18" i="1"/>
  <c r="H126" i="1"/>
  <c r="H22" i="1"/>
  <c r="H144" i="1"/>
  <c r="H146" i="1" s="1"/>
  <c r="H145" i="1"/>
  <c r="J153" i="1"/>
  <c r="H99" i="1"/>
  <c r="H19" i="1"/>
  <c r="H21" i="1"/>
  <c r="H17" i="1"/>
  <c r="H59" i="1"/>
  <c r="H93" i="1"/>
  <c r="H29" i="1"/>
  <c r="H34" i="1"/>
  <c r="J142" i="1"/>
  <c r="J143" i="1" s="1"/>
  <c r="H98" i="1"/>
  <c r="H47" i="1" l="1"/>
  <c r="H62" i="1"/>
  <c r="H64" i="1"/>
  <c r="H61" i="1"/>
  <c r="H60" i="1"/>
  <c r="H130" i="1"/>
  <c r="B145" i="1"/>
  <c r="B147" i="1" s="1"/>
  <c r="B148" i="1" s="1"/>
  <c r="D145" i="1"/>
  <c r="D147" i="1" s="1"/>
  <c r="D148" i="1" s="1"/>
  <c r="D149" i="1" s="1"/>
  <c r="D151" i="1" s="1"/>
  <c r="H24" i="1"/>
  <c r="H100" i="1"/>
  <c r="H114" i="1" s="1"/>
  <c r="H147" i="1"/>
  <c r="H148" i="1" s="1"/>
  <c r="H36" i="1"/>
  <c r="J145" i="1"/>
  <c r="J144" i="1"/>
  <c r="J146" i="1" s="1"/>
  <c r="D150" i="1" l="1"/>
  <c r="H50" i="1"/>
  <c r="F115" i="1" s="1"/>
  <c r="J147" i="1"/>
  <c r="J148" i="1" s="1"/>
  <c r="J149" i="1" s="1"/>
  <c r="J150" i="1" s="1"/>
  <c r="H7" i="1" s="1"/>
  <c r="D152" i="1"/>
  <c r="D155" i="1"/>
  <c r="D154" i="1"/>
  <c r="E51" i="1" l="1"/>
  <c r="D71" i="1" s="1"/>
  <c r="D135" i="1" s="1"/>
  <c r="J151" i="1"/>
  <c r="J155" i="1" s="1"/>
  <c r="H135" i="1" l="1"/>
  <c r="H137" i="1" s="1"/>
  <c r="E78" i="1"/>
  <c r="E79" i="1"/>
  <c r="H79" i="1" s="1"/>
  <c r="C52" i="1"/>
  <c r="H71" i="1"/>
  <c r="D78" i="1"/>
  <c r="H78" i="1" s="1"/>
  <c r="H66" i="1"/>
  <c r="J154" i="1"/>
  <c r="J152" i="1"/>
  <c r="H53" i="1" l="1"/>
  <c r="D116" i="1"/>
  <c r="H81" i="1"/>
  <c r="H83" i="1" s="1"/>
  <c r="C65" i="1"/>
  <c r="H87" i="1"/>
  <c r="D129" i="1" l="1"/>
  <c r="D85" i="1"/>
  <c r="H117" i="1"/>
  <c r="H118" i="1" s="1"/>
  <c r="C53" i="1"/>
  <c r="D117" i="1" s="1"/>
  <c r="H73" i="1"/>
  <c r="D86" i="1" s="1"/>
  <c r="H54" i="1"/>
  <c r="H85" i="1" l="1"/>
  <c r="H86" i="1" s="1"/>
  <c r="H88" i="1"/>
  <c r="N141" i="1" s="1"/>
  <c r="P141" i="1" s="1"/>
  <c r="P142" i="1" l="1"/>
  <c r="P143" i="1" s="1"/>
  <c r="P144" i="1" s="1"/>
  <c r="P146" i="1" s="1"/>
  <c r="Q143" i="1"/>
  <c r="P153" i="1"/>
  <c r="N142" i="1"/>
  <c r="N143" i="1" s="1"/>
  <c r="N145" i="1" s="1"/>
  <c r="P145" i="1" l="1"/>
  <c r="N144" i="1"/>
  <c r="N146" i="1" s="1"/>
  <c r="N147" i="1" s="1"/>
  <c r="N148" i="1" s="1"/>
  <c r="P147" i="1"/>
  <c r="P148" i="1" s="1"/>
  <c r="P149" i="1" s="1"/>
  <c r="P151" i="1" s="1"/>
  <c r="P150" i="1" l="1"/>
  <c r="P152" i="1"/>
  <c r="P155" i="1"/>
  <c r="D88" i="1" s="1"/>
  <c r="D87" i="1" s="1"/>
  <c r="P154" i="1"/>
</calcChain>
</file>

<file path=xl/sharedStrings.xml><?xml version="1.0" encoding="utf-8"?>
<sst xmlns="http://schemas.openxmlformats.org/spreadsheetml/2006/main" count="552" uniqueCount="169">
  <si>
    <t>OUTSIDE AIR W.B. TEMPERATURES</t>
  </si>
  <si>
    <t xml:space="preserve">GRAINS OF WATER PER POUND OF DRY AIR AT OUTSIDE AIR DESIGN CONDITIONS </t>
  </si>
  <si>
    <t>AHU #</t>
  </si>
  <si>
    <t>MONTH</t>
  </si>
  <si>
    <t>TIME</t>
  </si>
  <si>
    <t>HOURS OF</t>
  </si>
  <si>
    <t>WALL</t>
  </si>
  <si>
    <t>WINTER</t>
  </si>
  <si>
    <t>PM</t>
  </si>
  <si>
    <t>AM</t>
  </si>
  <si>
    <t>NOON</t>
  </si>
  <si>
    <t>(1-12)</t>
  </si>
  <si>
    <t>0PERATION</t>
  </si>
  <si>
    <t>BARE</t>
  </si>
  <si>
    <t>JAN</t>
  </si>
  <si>
    <t>GLASS</t>
  </si>
  <si>
    <t>FEB</t>
  </si>
  <si>
    <t>NE</t>
  </si>
  <si>
    <t>MAR</t>
  </si>
  <si>
    <t>E</t>
  </si>
  <si>
    <t>APR</t>
  </si>
  <si>
    <t>SE</t>
  </si>
  <si>
    <t>MAY</t>
  </si>
  <si>
    <t>S</t>
  </si>
  <si>
    <t>JUN</t>
  </si>
  <si>
    <t>SW</t>
  </si>
  <si>
    <t>JUL</t>
  </si>
  <si>
    <t>W</t>
  </si>
  <si>
    <t xml:space="preserve"> </t>
  </si>
  <si>
    <t>GLASS SOLAR HEAT GAIN</t>
  </si>
  <si>
    <t>AUG</t>
  </si>
  <si>
    <t>NW</t>
  </si>
  <si>
    <t>SEP</t>
  </si>
  <si>
    <t>N</t>
  </si>
  <si>
    <t>INT SHADE ?</t>
  </si>
  <si>
    <t>AREA</t>
  </si>
  <si>
    <t>BTU/HR</t>
  </si>
  <si>
    <t>OCT</t>
  </si>
  <si>
    <t>(Y/N)</t>
  </si>
  <si>
    <t>NOV</t>
  </si>
  <si>
    <t>DEC</t>
  </si>
  <si>
    <t>PEAK SOLAR HEAT GAIN FACTORS</t>
  </si>
  <si>
    <t>SKYLIGHT</t>
  </si>
  <si>
    <t>TRANSMISSION HEAT GAIN</t>
  </si>
  <si>
    <t>WALL:</t>
  </si>
  <si>
    <t>TRANSMISSION HEAT LOSS</t>
  </si>
  <si>
    <t>ROOF:</t>
  </si>
  <si>
    <t>INCLUDED IN PLENUM HEAT</t>
  </si>
  <si>
    <t>GLASS:</t>
  </si>
  <si>
    <t>PARTITION:</t>
  </si>
  <si>
    <t>INTERNAL HEAT GAIN</t>
  </si>
  <si>
    <t>INTERNAL HEAT LOSS</t>
  </si>
  <si>
    <t>CFM</t>
  </si>
  <si>
    <t>INFILTRATION SENSIBLE:</t>
  </si>
  <si>
    <t>ROOM SENSIBLE HEAT GAIN</t>
  </si>
  <si>
    <t>RETURN AIR HEAT GAIN</t>
  </si>
  <si>
    <t>RETURN AIR HEAT LOSS</t>
  </si>
  <si>
    <t>MOTOR BHP:</t>
  </si>
  <si>
    <t>OUTSIDE AIR HEAT GAIN</t>
  </si>
  <si>
    <t>OUTSIDE AIR HEAT LOSS</t>
  </si>
  <si>
    <t>OUTSIDE AIR:</t>
  </si>
  <si>
    <t>LATENT HEAT GAIN</t>
  </si>
  <si>
    <t>OUTSIDE AIR LATENT:</t>
  </si>
  <si>
    <t>INFILTRATION LATENT:</t>
  </si>
  <si>
    <t>PEOPLE LATENT:</t>
  </si>
  <si>
    <t>OUTSIDE AIR CONDITIONS</t>
  </si>
  <si>
    <t>INSIDE AIR CONDITIONS</t>
  </si>
  <si>
    <t>LEAVING COIL CONDITIONS</t>
  </si>
  <si>
    <t>TEMPDB</t>
  </si>
  <si>
    <t>TEMPWB</t>
  </si>
  <si>
    <t>TEMPK</t>
  </si>
  <si>
    <t>AA</t>
  </si>
  <si>
    <t>BB</t>
  </si>
  <si>
    <t>CC</t>
  </si>
  <si>
    <t>DD</t>
  </si>
  <si>
    <t>FNGOFF</t>
  </si>
  <si>
    <t>PSATDB</t>
  </si>
  <si>
    <t>PSATWB</t>
  </si>
  <si>
    <t>PPWV</t>
  </si>
  <si>
    <t>FNRH</t>
  </si>
  <si>
    <t>WLB</t>
  </si>
  <si>
    <t>WGR</t>
  </si>
  <si>
    <t>VOLDA</t>
  </si>
  <si>
    <t>VOLMX</t>
  </si>
  <si>
    <t>FNENTH</t>
  </si>
  <si>
    <t>(7am-6pm)</t>
  </si>
  <si>
    <t>AHU-1</t>
  </si>
  <si>
    <t>COMPANY:</t>
  </si>
  <si>
    <t>PROJECT:</t>
  </si>
  <si>
    <t>AHU TYPE</t>
  </si>
  <si>
    <t>(12, 16, 24)</t>
  </si>
  <si>
    <t>OUTDOOR AIR TEMPERATURES</t>
  </si>
  <si>
    <t>SUMMER</t>
  </si>
  <si>
    <t>BLOWTHRU = BT</t>
  </si>
  <si>
    <t>DRAWTHRU = DT</t>
  </si>
  <si>
    <t>"U" VALUES</t>
  </si>
  <si>
    <t>ROOF</t>
  </si>
  <si>
    <t>SHADED</t>
  </si>
  <si>
    <t>GLASS SAFETY FACTORS</t>
  </si>
  <si>
    <t>DATE:</t>
  </si>
  <si>
    <t>SUB-TOTAL =</t>
  </si>
  <si>
    <t>TOTAL STATIC =</t>
  </si>
  <si>
    <t>DT</t>
  </si>
  <si>
    <t>SAFETY FACTOR</t>
  </si>
  <si>
    <t>SHADE FACTOR</t>
  </si>
  <si>
    <t>24 HR STORAGE</t>
  </si>
  <si>
    <t>PEAK SOLAR HEAT GAIN</t>
  </si>
  <si>
    <t>(SQ.FT.)</t>
  </si>
  <si>
    <t>EXPOSURE</t>
  </si>
  <si>
    <t>EQUIVALENT TEMP. DIFF.</t>
  </si>
  <si>
    <t>"U" VALUE</t>
  </si>
  <si>
    <t>TEMP. CORRECTION</t>
  </si>
  <si>
    <t>HORIZ.</t>
  </si>
  <si>
    <t>WATTS PER SQ.FT.</t>
  </si>
  <si>
    <t>CONVERT FACTOR</t>
  </si>
  <si>
    <t>QUANTITY OR SQ.FT.</t>
  </si>
  <si>
    <t>NO. OF PEOPLE:</t>
  </si>
  <si>
    <t>FLUOR. LIGHTS (SF):</t>
  </si>
  <si>
    <t>INCAN. LIGHTS (SF):</t>
  </si>
  <si>
    <t>POWER (SF):</t>
  </si>
  <si>
    <t>EQUIPMENT (SF):</t>
  </si>
  <si>
    <t>MOTOR SIZE =</t>
  </si>
  <si>
    <t>MOTOR HEAT RISE =</t>
  </si>
  <si>
    <t>AIRFLOW @</t>
  </si>
  <si>
    <t>HEAT GAIN FROM MOTOR =</t>
  </si>
  <si>
    <t>LIGHTS:</t>
  </si>
  <si>
    <t>(FLUOR.)</t>
  </si>
  <si>
    <t>HEAT GAIN FROM MOTOR (BTH/HR) =</t>
  </si>
  <si>
    <t>ROOM SENSIBLE HEAT (BTU/HR)=</t>
  </si>
  <si>
    <t>O/A SENSIBLE:</t>
  </si>
  <si>
    <t>CFM PER PERSON</t>
  </si>
  <si>
    <t>TEMP. DIFFERENCE</t>
  </si>
  <si>
    <t>GRAND TOTAL SENSIBLE HEAT (BTU/HR) =</t>
  </si>
  <si>
    <t>MULTIPLIER FACTOR</t>
  </si>
  <si>
    <t>CFM OUTSIDE AIR</t>
  </si>
  <si>
    <t>DELTA GRAINS</t>
  </si>
  <si>
    <t>GRAND TOTAL LATENT HEAT (BTH/HR) =</t>
  </si>
  <si>
    <t>GRAND TOTAL HEAT (BTU/HR) =</t>
  </si>
  <si>
    <t>TONNAGE =</t>
  </si>
  <si>
    <t>ROOM SENSIBLE HEAT RATIO =</t>
  </si>
  <si>
    <t>TOTAL SENSIBLE HEAT RATIO =</t>
  </si>
  <si>
    <t>ENTERING AIR TEMPERATURE =</t>
  </si>
  <si>
    <t>LEAVING AIR TEMPERATURE =</t>
  </si>
  <si>
    <t>ENTERING ENTHALPY =</t>
  </si>
  <si>
    <t>LEAVING ENTHALPY =</t>
  </si>
  <si>
    <t>OUTSIDE AIR DRY BULB TEMPERATURES</t>
  </si>
  <si>
    <t>STORAGE LOAD FACTORS, 12 HOUR OPERATION, INTERNAL SHADE (100 LB/SQ.FT. WALL CONSTRUCTION)</t>
  </si>
  <si>
    <t>STORAGE LOAD FACTORS, 12 HOUR OPERATION, BARE GLASS (100 LB/SQ.FT. WALL CONSTRUCTION)</t>
  </si>
  <si>
    <t>STORAGE LOAD FACTORS, 16 HOUR OPERATION, INTERNAL SHADE (100 LB/SQ.FT. WALL CONSTRUCTION)</t>
  </si>
  <si>
    <t>STORAGE LOAD FACTORS, 16 HOUR OPERATION, BARE GLASS (100 LB/SQ.FT. WALL CONSTRUCTION)</t>
  </si>
  <si>
    <t>STORAGE LOAD FACTORS, 24 HOUR OPERATION, INTERNAL SHADE (100 LB/SQ.FT. WALL CONSTRUCTION)</t>
  </si>
  <si>
    <t>STORAGE LOAD FACTORS, 24 HOUR OPERATION, BARE GLASS (100 LB/SQ.FT. WALL CONSTRUCTION)</t>
  </si>
  <si>
    <t>EQUIVALENT TEMPERATURE DIFFERENCE (60 LB/SQ.FT. WALL AND 20 LB/SQ.FT. ROOF CONSTRUCTION)</t>
  </si>
  <si>
    <t>SUBTOTAL =</t>
  </si>
  <si>
    <t>GRAND TOTAL LOSS (BTU/HR) =</t>
  </si>
  <si>
    <t>RH =</t>
  </si>
  <si>
    <t>INDOOR AIR TEMP</t>
  </si>
  <si>
    <t>PROJ. NO.:</t>
  </si>
  <si>
    <t>Instructions for using the HVAC Quick Load Program</t>
  </si>
  <si>
    <t>Information is required anywhere "red" text is shown or there is a yellow-highlighted cell.</t>
  </si>
  <si>
    <t>Fill in your company name/your name, the project name and project number (if appropriate.)</t>
  </si>
  <si>
    <t>The date autofills with the current day.</t>
  </si>
  <si>
    <t>Once all the other inputs are in, you run through the months (i.e. 1 through 12) to get the highest sensible and total load.  Then, leaving the month alone, run through the times (i.e. 7, 8, 9, 19, 11, 12, 1, 2, 3, 4, 5, 6) to see which one returns the highest sensible and total load.</t>
  </si>
  <si>
    <r>
      <t>Also, try different combinations of Indoor Air dry bulb and wet bulb to get your required Indoor Air Relative Humidity.  I have shown 72</t>
    </r>
    <r>
      <rPr>
        <sz val="11"/>
        <rFont val="Calibri"/>
        <family val="2"/>
      </rPr>
      <t>°</t>
    </r>
    <r>
      <rPr>
        <sz val="11"/>
        <rFont val="Arial"/>
        <family val="2"/>
      </rPr>
      <t>F/60.08°F to get a resulting 50%RH.</t>
    </r>
  </si>
  <si>
    <t>In the Hours of Operation block only use "12", "16", or "24" for the input.</t>
  </si>
  <si>
    <t>Int. Shade? denotes internal shading.  If you are certain the building will have (and use) internal shading devices, then put a "Y" in the cell.  Otherwise leave the "N".</t>
  </si>
  <si>
    <t>For the "Exposures", the only inputs you can use are "N", "S", "E", "W", "NE", "SE", "SW", &amp; "NW".  Future updates will have more options.</t>
  </si>
  <si>
    <t>HVAC QUICK LOAD PROGRAM</t>
  </si>
  <si>
    <t>Run through the program a few times to get a "feel" for how it works.  If you find anything that is not working like it should, let me know.  Also, if you want to make suggestions to improve the "use-ability" of this quick load program, please do so.  I would like to refine this product and update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</si>
</sst>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164" formatCode="0_)"/>
    <numFmt numFmtId="165" formatCode="0.0_)"/>
    <numFmt numFmtId="166" formatCode="0.00_)"/>
    <numFmt numFmtId="167" formatCode="#,##0.0_);\(#,##0.0\)"/>
    <numFmt numFmtId="168" formatCode="0.0&quot;°F db&quot;"/>
    <numFmt numFmtId="169" formatCode="0.0&quot;°F wb&quot;"/>
    <numFmt numFmtId="170" formatCode="0.0&quot;°F&quot;"/>
    <numFmt numFmtId="171" formatCode="0.0%\ &quot;RH&quot;"/>
    <numFmt numFmtId="172" formatCode="[$-409]mmmm\ d\,\ yyyy;@"/>
    <numFmt numFmtId="173" formatCode="0.00\ &quot;in. wg&quot;"/>
    <numFmt numFmtId="174" formatCode="0\ &quot;CFM&quot;"/>
    <numFmt numFmtId="175" formatCode="0\ &quot;SF&quot;"/>
    <numFmt numFmtId="176" formatCode="0.0\ &quot;BRAKE HORSEPOWER&quot;"/>
    <numFmt numFmtId="177" formatCode="0.0&quot;°F TEMP. DIFF. =&quot;"/>
    <numFmt numFmtId="178" formatCode="0.0\ &quot;BHP&quot;"/>
    <numFmt numFmtId="179" formatCode="0\ &quot;PEOPLE&quot;"/>
    <numFmt numFmtId="180" formatCode="&quot;@&quot;\ 0\ &quot;BTH PER PERSON&quot;"/>
    <numFmt numFmtId="181" formatCode="0.0\ &quot;BTU/LB&quot;"/>
    <numFmt numFmtId="182" formatCode="0.0\ &quot;W/SF&quot;"/>
    <numFmt numFmtId="183" formatCode="0.000_)"/>
    <numFmt numFmtId="184" formatCode="mmm\ d\,\ yyyy"/>
    <numFmt numFmtId="185" formatCode="0."/>
  </numFmts>
  <fonts count="11" x14ac:knownFonts="1">
    <font>
      <sz val="10"/>
      <name val="Helv"/>
    </font>
    <font>
      <b/>
      <sz val="12"/>
      <name val="Arial"/>
      <family val="2"/>
    </font>
    <font>
      <sz val="10"/>
      <name val="Helv"/>
    </font>
    <font>
      <sz val="11"/>
      <name val="Arial"/>
      <family val="2"/>
    </font>
    <font>
      <b/>
      <sz val="11"/>
      <name val="Arial"/>
      <family val="2"/>
    </font>
    <font>
      <b/>
      <sz val="9"/>
      <name val="Arial"/>
      <family val="2"/>
    </font>
    <font>
      <sz val="9"/>
      <name val="Arial"/>
      <family val="2"/>
    </font>
    <font>
      <i/>
      <sz val="9"/>
      <name val="Arial"/>
      <family val="2"/>
    </font>
    <font>
      <sz val="9"/>
      <color rgb="FFFF0000"/>
      <name val="Arial"/>
      <family val="2"/>
    </font>
    <font>
      <b/>
      <sz val="9"/>
      <color rgb="FFFF0000"/>
      <name val="Arial"/>
      <family val="2"/>
    </font>
    <font>
      <sz val="11"/>
      <name val="Calibri"/>
      <family val="2"/>
    </font>
  </fonts>
  <fills count="3">
    <fill>
      <patternFill patternType="none"/>
    </fill>
    <fill>
      <patternFill patternType="gray125"/>
    </fill>
    <fill>
      <patternFill patternType="solid">
        <fgColor theme="0" tint="-0.14999847407452621"/>
        <bgColor indexed="64"/>
      </patternFill>
    </fill>
  </fills>
  <borders count="7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diagonal/>
    </border>
    <border>
      <left style="medium">
        <color indexed="8"/>
      </left>
      <right/>
      <top/>
      <bottom/>
      <diagonal/>
    </border>
    <border>
      <left/>
      <right style="thin">
        <color indexed="8"/>
      </right>
      <top/>
      <bottom/>
      <diagonal/>
    </border>
    <border>
      <left style="thin">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medium">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bottom style="medium">
        <color indexed="8"/>
      </bottom>
      <diagonal/>
    </border>
    <border>
      <left style="thin">
        <color indexed="8"/>
      </left>
      <right/>
      <top/>
      <bottom style="medium">
        <color indexed="8"/>
      </bottom>
      <diagonal/>
    </border>
    <border>
      <left/>
      <right style="thin">
        <color indexed="8"/>
      </right>
      <top/>
      <bottom style="medium">
        <color indexed="8"/>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8"/>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9"/>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9"/>
      </bottom>
      <diagonal/>
    </border>
    <border>
      <left style="medium">
        <color indexed="64"/>
      </left>
      <right style="medium">
        <color indexed="64"/>
      </right>
      <top style="medium">
        <color indexed="64"/>
      </top>
      <bottom style="thin">
        <color indexed="9"/>
      </bottom>
      <diagonal/>
    </border>
    <border>
      <left style="medium">
        <color indexed="64"/>
      </left>
      <right style="medium">
        <color indexed="64"/>
      </right>
      <top style="thin">
        <color indexed="9"/>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9"/>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right/>
      <top style="thin">
        <color indexed="64"/>
      </top>
      <bottom style="medium">
        <color indexed="64"/>
      </bottom>
      <diagonal/>
    </border>
    <border>
      <left/>
      <right/>
      <top style="thin">
        <color indexed="64"/>
      </top>
      <bottom/>
      <diagonal/>
    </border>
    <border>
      <left/>
      <right style="medium">
        <color indexed="64"/>
      </right>
      <top style="medium">
        <color indexed="8"/>
      </top>
      <bottom/>
      <diagonal/>
    </border>
    <border>
      <left style="medium">
        <color indexed="64"/>
      </left>
      <right/>
      <top/>
      <bottom style="thin">
        <color indexed="8"/>
      </bottom>
      <diagonal/>
    </border>
    <border>
      <left/>
      <right/>
      <top style="thin">
        <color auto="1"/>
      </top>
      <bottom/>
      <diagonal/>
    </border>
    <border>
      <left/>
      <right style="medium">
        <color indexed="64"/>
      </right>
      <top style="thin">
        <color auto="1"/>
      </top>
      <bottom/>
      <diagonal/>
    </border>
  </borders>
  <cellStyleXfs count="4">
    <xf numFmtId="164" fontId="0" fillId="0" borderId="0"/>
    <xf numFmtId="0" fontId="1" fillId="0" borderId="1" applyNumberFormat="0" applyAlignment="0" applyProtection="0">
      <alignment horizontal="left" vertical="center"/>
    </xf>
    <xf numFmtId="0" fontId="1" fillId="0" borderId="2">
      <alignment horizontal="left" vertical="center"/>
    </xf>
    <xf numFmtId="9" fontId="2" fillId="0" borderId="0" applyFont="0" applyFill="0" applyBorder="0" applyAlignment="0" applyProtection="0"/>
  </cellStyleXfs>
  <cellXfs count="247">
    <xf numFmtId="164" fontId="0" fillId="0" borderId="0" xfId="0"/>
    <xf numFmtId="164" fontId="6" fillId="0" borderId="0" xfId="0" applyNumberFormat="1" applyFont="1" applyFill="1" applyBorder="1" applyAlignment="1" applyProtection="1">
      <alignment horizontal="left" vertical="center"/>
    </xf>
    <xf numFmtId="164" fontId="6" fillId="0" borderId="0" xfId="0" applyNumberFormat="1" applyFont="1" applyFill="1" applyAlignment="1" applyProtection="1">
      <alignment vertical="center"/>
    </xf>
    <xf numFmtId="165" fontId="6" fillId="0" borderId="0" xfId="0" applyNumberFormat="1" applyFont="1" applyFill="1" applyBorder="1" applyAlignment="1" applyProtection="1">
      <alignment horizontal="left" vertical="center"/>
    </xf>
    <xf numFmtId="164" fontId="6" fillId="0" borderId="40" xfId="0" applyNumberFormat="1" applyFont="1" applyFill="1" applyBorder="1" applyAlignment="1" applyProtection="1">
      <alignment horizontal="center" vertical="center"/>
    </xf>
    <xf numFmtId="164" fontId="6" fillId="0" borderId="41" xfId="0" applyNumberFormat="1" applyFont="1" applyFill="1" applyBorder="1" applyAlignment="1" applyProtection="1">
      <alignment horizontal="center" vertical="center"/>
    </xf>
    <xf numFmtId="164" fontId="6" fillId="0" borderId="0" xfId="0" applyNumberFormat="1" applyFont="1" applyFill="1" applyAlignment="1" applyProtection="1">
      <alignment horizontal="center" vertical="center"/>
    </xf>
    <xf numFmtId="164" fontId="6" fillId="0" borderId="34" xfId="0" applyNumberFormat="1" applyFont="1" applyFill="1" applyBorder="1" applyAlignment="1" applyProtection="1">
      <alignment horizontal="center" vertical="center"/>
    </xf>
    <xf numFmtId="164" fontId="6" fillId="0" borderId="42" xfId="0" applyNumberFormat="1" applyFont="1" applyFill="1" applyBorder="1" applyAlignment="1" applyProtection="1">
      <alignment horizontal="center" vertical="center"/>
    </xf>
    <xf numFmtId="164" fontId="6" fillId="0" borderId="50" xfId="0" applyNumberFormat="1" applyFont="1" applyFill="1" applyBorder="1" applyAlignment="1" applyProtection="1">
      <alignment horizontal="center" vertical="center"/>
    </xf>
    <xf numFmtId="164" fontId="6" fillId="0" borderId="0" xfId="0" applyNumberFormat="1" applyFont="1" applyFill="1" applyBorder="1" applyAlignment="1" applyProtection="1">
      <alignment horizontal="center" vertical="center"/>
    </xf>
    <xf numFmtId="164" fontId="6" fillId="0" borderId="44" xfId="0" applyNumberFormat="1" applyFont="1" applyFill="1" applyBorder="1" applyAlignment="1" applyProtection="1">
      <alignment horizontal="center" vertical="center"/>
    </xf>
    <xf numFmtId="164" fontId="6" fillId="0" borderId="45" xfId="0" applyNumberFormat="1" applyFont="1" applyFill="1" applyBorder="1" applyAlignment="1" applyProtection="1">
      <alignment horizontal="center" vertical="center"/>
    </xf>
    <xf numFmtId="164" fontId="6" fillId="0" borderId="46" xfId="0" applyNumberFormat="1" applyFont="1" applyFill="1" applyBorder="1" applyAlignment="1" applyProtection="1">
      <alignment horizontal="center" vertical="center"/>
    </xf>
    <xf numFmtId="164" fontId="6" fillId="0" borderId="51" xfId="0" applyNumberFormat="1" applyFont="1" applyFill="1" applyBorder="1" applyAlignment="1" applyProtection="1">
      <alignment horizontal="center" vertical="center"/>
    </xf>
    <xf numFmtId="164" fontId="7" fillId="0" borderId="0" xfId="0" applyNumberFormat="1" applyFont="1" applyFill="1" applyBorder="1" applyAlignment="1" applyProtection="1">
      <alignment horizontal="center" vertical="center"/>
    </xf>
    <xf numFmtId="164" fontId="7" fillId="0" borderId="0" xfId="0" applyNumberFormat="1" applyFont="1" applyFill="1" applyAlignment="1" applyProtection="1">
      <alignment horizontal="center" vertical="center"/>
    </xf>
    <xf numFmtId="164" fontId="6" fillId="0" borderId="28" xfId="0" applyNumberFormat="1" applyFont="1" applyFill="1" applyBorder="1" applyAlignment="1" applyProtection="1">
      <alignment vertical="center"/>
    </xf>
    <xf numFmtId="164" fontId="6" fillId="0" borderId="0" xfId="0" applyNumberFormat="1" applyFont="1" applyFill="1" applyBorder="1" applyAlignment="1" applyProtection="1">
      <alignment vertical="center"/>
    </xf>
    <xf numFmtId="164" fontId="6" fillId="0" borderId="60" xfId="0" applyNumberFormat="1" applyFont="1" applyFill="1" applyBorder="1" applyAlignment="1" applyProtection="1">
      <alignment horizontal="center" vertical="center"/>
    </xf>
    <xf numFmtId="164" fontId="6" fillId="0" borderId="28" xfId="0" applyNumberFormat="1" applyFont="1" applyFill="1" applyBorder="1" applyAlignment="1" applyProtection="1">
      <alignment horizontal="center" vertical="center"/>
    </xf>
    <xf numFmtId="164" fontId="6" fillId="0" borderId="39" xfId="0" applyNumberFormat="1" applyFont="1" applyFill="1" applyBorder="1" applyAlignment="1" applyProtection="1">
      <alignment horizontal="center" vertical="center"/>
    </xf>
    <xf numFmtId="166" fontId="6" fillId="0" borderId="0" xfId="0" applyNumberFormat="1" applyFont="1" applyFill="1" applyBorder="1" applyAlignment="1" applyProtection="1">
      <alignment horizontal="center" vertical="center"/>
    </xf>
    <xf numFmtId="37" fontId="6" fillId="0" borderId="0" xfId="0" applyNumberFormat="1" applyFont="1" applyFill="1" applyBorder="1" applyAlignment="1" applyProtection="1">
      <alignment horizontal="center" vertical="center"/>
    </xf>
    <xf numFmtId="166" fontId="6" fillId="0" borderId="39" xfId="0" applyNumberFormat="1" applyFont="1" applyFill="1" applyBorder="1" applyAlignment="1" applyProtection="1">
      <alignment horizontal="center" vertical="center"/>
    </xf>
    <xf numFmtId="37" fontId="6" fillId="0" borderId="66" xfId="0" applyNumberFormat="1" applyFont="1" applyFill="1" applyBorder="1" applyAlignment="1" applyProtection="1">
      <alignment horizontal="center" vertical="center"/>
    </xf>
    <xf numFmtId="164" fontId="6" fillId="0" borderId="6" xfId="0" applyNumberFormat="1" applyFont="1" applyFill="1" applyBorder="1" applyAlignment="1" applyProtection="1">
      <alignment horizontal="center" vertical="center"/>
    </xf>
    <xf numFmtId="164" fontId="6" fillId="0" borderId="12" xfId="0" applyNumberFormat="1" applyFont="1" applyFill="1" applyBorder="1" applyAlignment="1" applyProtection="1">
      <alignment horizontal="center" vertical="center"/>
    </xf>
    <xf numFmtId="164" fontId="6" fillId="0" borderId="7"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28" xfId="0" applyNumberFormat="1" applyFont="1" applyFill="1" applyBorder="1" applyAlignment="1" applyProtection="1">
      <alignment horizontal="right" vertical="center"/>
    </xf>
    <xf numFmtId="37" fontId="6" fillId="0" borderId="62" xfId="0" applyNumberFormat="1" applyFont="1" applyFill="1" applyBorder="1" applyAlignment="1" applyProtection="1">
      <alignment horizontal="center" vertical="center"/>
    </xf>
    <xf numFmtId="164" fontId="6" fillId="0" borderId="47" xfId="0" applyNumberFormat="1" applyFont="1" applyFill="1" applyBorder="1" applyAlignment="1" applyProtection="1">
      <alignment horizontal="right" vertical="center"/>
    </xf>
    <xf numFmtId="37" fontId="5" fillId="0" borderId="32" xfId="0" applyNumberFormat="1" applyFont="1" applyFill="1" applyBorder="1" applyAlignment="1" applyProtection="1">
      <alignment horizontal="center" vertical="center"/>
    </xf>
    <xf numFmtId="164" fontId="6" fillId="0" borderId="29" xfId="0" applyNumberFormat="1" applyFont="1" applyFill="1" applyBorder="1" applyAlignment="1" applyProtection="1">
      <alignment horizontal="left" vertical="center"/>
    </xf>
    <xf numFmtId="164" fontId="6" fillId="0" borderId="60" xfId="0" applyNumberFormat="1" applyFont="1" applyFill="1" applyBorder="1" applyAlignment="1" applyProtection="1">
      <alignment horizontal="left" vertical="center"/>
    </xf>
    <xf numFmtId="164" fontId="6" fillId="0" borderId="47" xfId="0" applyNumberFormat="1" applyFont="1" applyFill="1" applyBorder="1" applyAlignment="1" applyProtection="1">
      <alignment horizontal="left" vertical="center"/>
    </xf>
    <xf numFmtId="164" fontId="6" fillId="0" borderId="39" xfId="0" applyNumberFormat="1" applyFont="1" applyFill="1" applyBorder="1" applyAlignment="1" applyProtection="1">
      <alignment horizontal="left" vertical="center"/>
    </xf>
    <xf numFmtId="9" fontId="6" fillId="0" borderId="0" xfId="3" applyFont="1" applyFill="1" applyBorder="1" applyAlignment="1" applyProtection="1">
      <alignment horizontal="center" vertical="center"/>
    </xf>
    <xf numFmtId="175" fontId="6" fillId="0" borderId="0" xfId="0" applyNumberFormat="1" applyFont="1" applyFill="1" applyBorder="1" applyAlignment="1" applyProtection="1">
      <alignment horizontal="center" vertical="center"/>
    </xf>
    <xf numFmtId="183" fontId="6" fillId="0" borderId="0" xfId="0" applyNumberFormat="1" applyFont="1" applyFill="1" applyBorder="1" applyAlignment="1" applyProtection="1">
      <alignment horizontal="center" vertical="center"/>
    </xf>
    <xf numFmtId="174" fontId="6" fillId="0" borderId="39" xfId="0" applyNumberFormat="1" applyFont="1" applyFill="1" applyBorder="1" applyAlignment="1" applyProtection="1">
      <alignment horizontal="center" vertical="center"/>
    </xf>
    <xf numFmtId="170" fontId="6" fillId="0" borderId="39" xfId="0" applyNumberFormat="1" applyFont="1" applyFill="1" applyBorder="1" applyAlignment="1" applyProtection="1">
      <alignment horizontal="center" vertical="center"/>
    </xf>
    <xf numFmtId="3" fontId="6" fillId="0" borderId="66" xfId="0" applyNumberFormat="1" applyFont="1" applyFill="1" applyBorder="1" applyAlignment="1" applyProtection="1">
      <alignment horizontal="center" vertical="center"/>
    </xf>
    <xf numFmtId="173" fontId="6"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horizontal="left" vertical="center"/>
    </xf>
    <xf numFmtId="164" fontId="7" fillId="0" borderId="0" xfId="0" applyNumberFormat="1" applyFont="1" applyFill="1" applyBorder="1" applyAlignment="1" applyProtection="1">
      <alignment horizontal="left" vertical="center"/>
    </xf>
    <xf numFmtId="164" fontId="7" fillId="0" borderId="62" xfId="0" applyNumberFormat="1" applyFont="1" applyFill="1" applyBorder="1" applyAlignment="1" applyProtection="1">
      <alignment horizontal="left" vertical="center"/>
    </xf>
    <xf numFmtId="164" fontId="6" fillId="0" borderId="62" xfId="0" applyNumberFormat="1" applyFont="1" applyFill="1" applyBorder="1" applyAlignment="1" applyProtection="1">
      <alignment horizontal="left" vertical="center"/>
    </xf>
    <xf numFmtId="170" fontId="7" fillId="0" borderId="0" xfId="0" applyNumberFormat="1" applyFont="1" applyFill="1" applyBorder="1" applyAlignment="1" applyProtection="1">
      <alignment horizontal="left" vertical="center"/>
    </xf>
    <xf numFmtId="37" fontId="5" fillId="0" borderId="36" xfId="0" applyNumberFormat="1" applyFont="1" applyFill="1" applyBorder="1" applyAlignment="1" applyProtection="1">
      <alignment horizontal="center" vertical="center"/>
    </xf>
    <xf numFmtId="164" fontId="6" fillId="0" borderId="73" xfId="0" applyNumberFormat="1" applyFont="1" applyFill="1" applyBorder="1" applyAlignment="1" applyProtection="1">
      <alignment horizontal="center" vertical="center"/>
    </xf>
    <xf numFmtId="3" fontId="6" fillId="0" borderId="62" xfId="0" applyNumberFormat="1" applyFont="1" applyFill="1" applyBorder="1" applyAlignment="1" applyProtection="1">
      <alignment horizontal="center" vertical="center"/>
    </xf>
    <xf numFmtId="182" fontId="6" fillId="0" borderId="0" xfId="0" applyNumberFormat="1" applyFont="1" applyFill="1" applyBorder="1" applyAlignment="1" applyProtection="1">
      <alignment horizontal="center" vertical="center"/>
    </xf>
    <xf numFmtId="178" fontId="6" fillId="0" borderId="39" xfId="0" applyNumberFormat="1" applyFont="1" applyFill="1" applyBorder="1" applyAlignment="1" applyProtection="1">
      <alignment horizontal="center" vertical="center"/>
    </xf>
    <xf numFmtId="3" fontId="5" fillId="0" borderId="36" xfId="0" applyNumberFormat="1" applyFont="1" applyFill="1" applyBorder="1" applyAlignment="1" applyProtection="1">
      <alignment horizontal="center" vertical="center"/>
    </xf>
    <xf numFmtId="164" fontId="6" fillId="0" borderId="24" xfId="0" applyNumberFormat="1" applyFont="1" applyFill="1" applyBorder="1" applyAlignment="1" applyProtection="1">
      <alignment horizontal="center" vertical="center"/>
    </xf>
    <xf numFmtId="170" fontId="6" fillId="0" borderId="24" xfId="0" applyNumberFormat="1" applyFont="1" applyFill="1" applyBorder="1" applyAlignment="1" applyProtection="1">
      <alignment horizontal="center" vertical="center"/>
    </xf>
    <xf numFmtId="166" fontId="6" fillId="0" borderId="24"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166" fontId="6" fillId="0" borderId="12" xfId="0" applyNumberFormat="1" applyFont="1" applyFill="1" applyBorder="1" applyAlignment="1" applyProtection="1">
      <alignment horizontal="center" vertical="center"/>
    </xf>
    <xf numFmtId="37" fontId="5" fillId="2" borderId="0" xfId="0" applyNumberFormat="1" applyFont="1" applyFill="1" applyBorder="1" applyAlignment="1" applyProtection="1">
      <alignment horizontal="center" vertical="center"/>
    </xf>
    <xf numFmtId="164" fontId="6" fillId="0" borderId="74" xfId="0" applyNumberFormat="1" applyFont="1" applyFill="1" applyBorder="1" applyAlignment="1" applyProtection="1">
      <alignment horizontal="center" vertical="center"/>
    </xf>
    <xf numFmtId="166" fontId="6" fillId="0" borderId="74" xfId="0" applyNumberFormat="1" applyFont="1" applyFill="1" applyBorder="1" applyAlignment="1" applyProtection="1">
      <alignment horizontal="center" vertical="center"/>
    </xf>
    <xf numFmtId="179" fontId="6" fillId="0" borderId="39"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left" vertical="center"/>
    </xf>
    <xf numFmtId="166" fontId="6" fillId="2" borderId="0" xfId="0" applyNumberFormat="1" applyFont="1" applyFill="1" applyAlignment="1" applyProtection="1">
      <alignment horizontal="left" vertical="center"/>
    </xf>
    <xf numFmtId="167" fontId="5" fillId="2" borderId="0" xfId="0" applyNumberFormat="1" applyFont="1" applyFill="1" applyBorder="1" applyAlignment="1" applyProtection="1">
      <alignment horizontal="center" vertical="center"/>
    </xf>
    <xf numFmtId="181" fontId="6" fillId="2" borderId="0" xfId="0" applyNumberFormat="1" applyFont="1" applyFill="1" applyAlignment="1" applyProtection="1">
      <alignment horizontal="left" vertical="center"/>
    </xf>
    <xf numFmtId="164" fontId="6" fillId="0" borderId="0" xfId="0" applyNumberFormat="1" applyFont="1" applyFill="1" applyBorder="1" applyAlignment="1" applyProtection="1">
      <alignment horizontal="right" vertical="center"/>
    </xf>
    <xf numFmtId="164" fontId="6" fillId="0" borderId="62" xfId="0" applyNumberFormat="1" applyFont="1" applyFill="1" applyBorder="1" applyAlignment="1" applyProtection="1">
      <alignment vertical="center"/>
    </xf>
    <xf numFmtId="166" fontId="6" fillId="0" borderId="0" xfId="0" applyNumberFormat="1" applyFont="1" applyFill="1" applyBorder="1" applyAlignment="1" applyProtection="1">
      <alignment horizontal="left" vertical="center"/>
    </xf>
    <xf numFmtId="164" fontId="6" fillId="0" borderId="31" xfId="0" applyNumberFormat="1" applyFont="1" applyFill="1" applyBorder="1" applyAlignment="1" applyProtection="1">
      <alignment horizontal="right" vertical="center"/>
    </xf>
    <xf numFmtId="164" fontId="6" fillId="0" borderId="24" xfId="0" applyNumberFormat="1" applyFont="1" applyFill="1" applyBorder="1" applyAlignment="1" applyProtection="1">
      <alignment horizontal="left" vertical="center"/>
    </xf>
    <xf numFmtId="164" fontId="6" fillId="0" borderId="24" xfId="0" applyNumberFormat="1" applyFont="1" applyFill="1" applyBorder="1" applyAlignment="1" applyProtection="1">
      <alignment horizontal="right" vertical="center"/>
    </xf>
    <xf numFmtId="165" fontId="6" fillId="0" borderId="24" xfId="0" applyNumberFormat="1" applyFont="1" applyFill="1" applyBorder="1" applyAlignment="1" applyProtection="1">
      <alignment horizontal="left" vertical="center"/>
    </xf>
    <xf numFmtId="164" fontId="6" fillId="0" borderId="32" xfId="0" applyNumberFormat="1" applyFont="1" applyFill="1" applyBorder="1" applyAlignment="1" applyProtection="1">
      <alignment horizontal="left" vertical="center"/>
    </xf>
    <xf numFmtId="164" fontId="6" fillId="0" borderId="32" xfId="0" applyNumberFormat="1" applyFont="1" applyFill="1" applyBorder="1" applyAlignment="1" applyProtection="1">
      <alignment vertical="center"/>
    </xf>
    <xf numFmtId="166" fontId="6" fillId="0" borderId="0" xfId="0" applyNumberFormat="1" applyFont="1" applyFill="1" applyAlignment="1" applyProtection="1">
      <alignment vertical="center"/>
    </xf>
    <xf numFmtId="166" fontId="6" fillId="0" borderId="0" xfId="0" applyNumberFormat="1" applyFont="1" applyFill="1" applyAlignment="1" applyProtection="1">
      <alignment horizontal="center" vertical="center"/>
    </xf>
    <xf numFmtId="164" fontId="6" fillId="0" borderId="8" xfId="0" applyNumberFormat="1" applyFont="1" applyFill="1" applyBorder="1" applyAlignment="1" applyProtection="1">
      <alignment horizontal="center" vertical="center"/>
    </xf>
    <xf numFmtId="164" fontId="6" fillId="0" borderId="9" xfId="0" applyNumberFormat="1" applyFont="1" applyFill="1" applyBorder="1" applyAlignment="1" applyProtection="1">
      <alignment horizontal="center" vertical="center"/>
    </xf>
    <xf numFmtId="164" fontId="6" fillId="0" borderId="14" xfId="0" applyNumberFormat="1" applyFont="1" applyFill="1" applyBorder="1" applyAlignment="1" applyProtection="1">
      <alignment horizontal="center" vertical="center"/>
    </xf>
    <xf numFmtId="164" fontId="6" fillId="0" borderId="15" xfId="0" applyNumberFormat="1" applyFont="1" applyFill="1" applyBorder="1" applyAlignment="1" applyProtection="1">
      <alignment horizontal="center" vertical="center"/>
    </xf>
    <xf numFmtId="164" fontId="6" fillId="0" borderId="16" xfId="0" applyNumberFormat="1" applyFont="1" applyFill="1" applyBorder="1" applyAlignment="1" applyProtection="1">
      <alignment horizontal="center" vertical="center"/>
    </xf>
    <xf numFmtId="164" fontId="6" fillId="0" borderId="17" xfId="0" applyNumberFormat="1" applyFont="1" applyFill="1" applyBorder="1" applyAlignment="1" applyProtection="1">
      <alignment horizontal="center" vertical="center"/>
    </xf>
    <xf numFmtId="164" fontId="6" fillId="0" borderId="18" xfId="0" applyNumberFormat="1" applyFont="1" applyFill="1" applyBorder="1" applyAlignment="1" applyProtection="1">
      <alignment horizontal="center" vertical="center"/>
    </xf>
    <xf numFmtId="164" fontId="6" fillId="0" borderId="23" xfId="0" applyNumberFormat="1" applyFont="1" applyFill="1" applyBorder="1" applyAlignment="1" applyProtection="1">
      <alignment horizontal="center" vertical="center"/>
    </xf>
    <xf numFmtId="164" fontId="6" fillId="0" borderId="22" xfId="0" applyNumberFormat="1" applyFont="1" applyFill="1" applyBorder="1" applyAlignment="1" applyProtection="1">
      <alignment horizontal="center" vertical="center"/>
    </xf>
    <xf numFmtId="164" fontId="6" fillId="0" borderId="13" xfId="0" applyNumberFormat="1" applyFont="1" applyFill="1" applyBorder="1" applyAlignment="1" applyProtection="1">
      <alignment horizontal="center" vertical="center"/>
    </xf>
    <xf numFmtId="0" fontId="6" fillId="0" borderId="16" xfId="0" applyNumberFormat="1" applyFont="1" applyFill="1" applyBorder="1" applyAlignment="1" applyProtection="1">
      <alignment horizontal="center" vertical="center"/>
    </xf>
    <xf numFmtId="0" fontId="6" fillId="0" borderId="17" xfId="0" applyNumberFormat="1" applyFont="1" applyFill="1" applyBorder="1" applyAlignment="1" applyProtection="1">
      <alignment horizontal="center" vertical="center"/>
    </xf>
    <xf numFmtId="0" fontId="6" fillId="0" borderId="18" xfId="0" applyNumberFormat="1" applyFont="1" applyFill="1" applyBorder="1" applyAlignment="1" applyProtection="1">
      <alignment horizontal="center" vertical="center"/>
    </xf>
    <xf numFmtId="164" fontId="6" fillId="0" borderId="19" xfId="0" applyNumberFormat="1" applyFont="1" applyFill="1" applyBorder="1" applyAlignment="1" applyProtection="1">
      <alignment horizontal="center" vertical="center"/>
    </xf>
    <xf numFmtId="164" fontId="6" fillId="0" borderId="20" xfId="0" applyNumberFormat="1" applyFont="1" applyFill="1" applyBorder="1" applyAlignment="1" applyProtection="1">
      <alignment horizontal="center" vertical="center"/>
    </xf>
    <xf numFmtId="166" fontId="6" fillId="0" borderId="19" xfId="0" applyNumberFormat="1" applyFont="1" applyFill="1" applyBorder="1" applyAlignment="1" applyProtection="1">
      <alignment horizontal="center" vertical="center"/>
    </xf>
    <xf numFmtId="164" fontId="6" fillId="0" borderId="21" xfId="0" applyNumberFormat="1" applyFont="1" applyFill="1" applyBorder="1" applyAlignment="1" applyProtection="1">
      <alignment horizontal="center" vertical="center"/>
    </xf>
    <xf numFmtId="0" fontId="6" fillId="0" borderId="15" xfId="0" applyNumberFormat="1" applyFont="1" applyFill="1" applyBorder="1" applyAlignment="1" applyProtection="1">
      <alignment horizontal="center" vertical="center"/>
    </xf>
    <xf numFmtId="166" fontId="6" fillId="0" borderId="9" xfId="0" applyNumberFormat="1" applyFont="1" applyFill="1" applyBorder="1" applyAlignment="1" applyProtection="1">
      <alignment horizontal="center" vertical="center"/>
    </xf>
    <xf numFmtId="166" fontId="6" fillId="0" borderId="8" xfId="0" applyNumberFormat="1" applyFont="1" applyFill="1" applyBorder="1" applyAlignment="1" applyProtection="1">
      <alignment horizontal="center" vertical="center"/>
    </xf>
    <xf numFmtId="166" fontId="6" fillId="0" borderId="10" xfId="0" applyNumberFormat="1" applyFont="1" applyFill="1" applyBorder="1" applyAlignment="1" applyProtection="1">
      <alignment horizontal="center" vertical="center"/>
    </xf>
    <xf numFmtId="166" fontId="6" fillId="0" borderId="22" xfId="0" applyNumberFormat="1" applyFont="1" applyFill="1" applyBorder="1" applyAlignment="1" applyProtection="1">
      <alignment horizontal="center" vertical="center"/>
    </xf>
    <xf numFmtId="166" fontId="6" fillId="0" borderId="23" xfId="0" applyNumberFormat="1" applyFont="1" applyFill="1" applyBorder="1" applyAlignment="1" applyProtection="1">
      <alignment horizontal="center" vertical="center"/>
    </xf>
    <xf numFmtId="166" fontId="6" fillId="0" borderId="13" xfId="0" applyNumberFormat="1" applyFont="1" applyFill="1" applyBorder="1" applyAlignment="1" applyProtection="1">
      <alignment horizontal="center" vertical="center"/>
    </xf>
    <xf numFmtId="166" fontId="6" fillId="0" borderId="21" xfId="0" applyNumberFormat="1" applyFont="1" applyFill="1" applyBorder="1" applyAlignment="1" applyProtection="1">
      <alignment horizontal="center" vertical="center"/>
    </xf>
    <xf numFmtId="164" fontId="5" fillId="0" borderId="0" xfId="0" applyNumberFormat="1" applyFont="1" applyFill="1" applyAlignment="1" applyProtection="1">
      <alignment vertical="center"/>
    </xf>
    <xf numFmtId="172" fontId="5" fillId="0" borderId="0" xfId="0" applyNumberFormat="1" applyFont="1" applyFill="1" applyAlignment="1" applyProtection="1">
      <alignment vertical="center"/>
    </xf>
    <xf numFmtId="164" fontId="6" fillId="0" borderId="45" xfId="0" applyNumberFormat="1" applyFont="1" applyFill="1" applyBorder="1" applyAlignment="1" applyProtection="1">
      <alignment horizontal="right" vertical="center"/>
    </xf>
    <xf numFmtId="171" fontId="5" fillId="0" borderId="50" xfId="3" applyNumberFormat="1" applyFont="1" applyFill="1" applyBorder="1" applyAlignment="1" applyProtection="1">
      <alignment horizontal="center" vertical="center"/>
    </xf>
    <xf numFmtId="37" fontId="5" fillId="0" borderId="0" xfId="0" applyNumberFormat="1" applyFont="1" applyFill="1" applyBorder="1" applyAlignment="1" applyProtection="1">
      <alignment horizontal="center" vertical="center"/>
    </xf>
    <xf numFmtId="170" fontId="6" fillId="0" borderId="0" xfId="0" applyNumberFormat="1" applyFont="1" applyFill="1" applyBorder="1" applyAlignment="1" applyProtection="1">
      <alignment horizontal="left" vertical="center"/>
    </xf>
    <xf numFmtId="164" fontId="6" fillId="0" borderId="31" xfId="0" applyNumberFormat="1" applyFont="1" applyFill="1" applyBorder="1" applyAlignment="1" applyProtection="1">
      <alignment horizontal="center" vertical="center"/>
    </xf>
    <xf numFmtId="37" fontId="6" fillId="0" borderId="32" xfId="0" applyNumberFormat="1" applyFont="1" applyFill="1" applyBorder="1" applyAlignment="1" applyProtection="1">
      <alignment horizontal="center" vertical="center"/>
    </xf>
    <xf numFmtId="164" fontId="6" fillId="0" borderId="29" xfId="0" applyNumberFormat="1" applyFont="1" applyFill="1" applyBorder="1" applyAlignment="1" applyProtection="1">
      <alignment horizontal="center" vertical="center"/>
    </xf>
    <xf numFmtId="164" fontId="6" fillId="0" borderId="47" xfId="0" applyNumberFormat="1" applyFont="1" applyFill="1" applyBorder="1" applyAlignment="1" applyProtection="1">
      <alignment horizontal="center" vertical="center"/>
    </xf>
    <xf numFmtId="37" fontId="6" fillId="0" borderId="75" xfId="0" applyNumberFormat="1" applyFont="1" applyFill="1" applyBorder="1" applyAlignment="1" applyProtection="1">
      <alignment horizontal="center" vertical="center"/>
    </xf>
    <xf numFmtId="184" fontId="5" fillId="0" borderId="0" xfId="0" applyNumberFormat="1" applyFont="1" applyFill="1" applyBorder="1" applyAlignment="1" applyProtection="1">
      <alignment horizontal="center" vertical="center"/>
    </xf>
    <xf numFmtId="174" fontId="5" fillId="0" borderId="0" xfId="0" applyNumberFormat="1" applyFont="1" applyFill="1" applyBorder="1" applyAlignment="1" applyProtection="1">
      <alignment horizontal="left" vertical="center"/>
    </xf>
    <xf numFmtId="164" fontId="9" fillId="0" borderId="26" xfId="0" applyNumberFormat="1" applyFont="1" applyFill="1" applyBorder="1" applyAlignment="1" applyProtection="1">
      <alignment horizontal="center" vertical="center"/>
      <protection locked="0"/>
    </xf>
    <xf numFmtId="164" fontId="9" fillId="0" borderId="35" xfId="0" applyNumberFormat="1" applyFont="1" applyFill="1" applyBorder="1" applyAlignment="1" applyProtection="1">
      <alignment horizontal="center" vertical="center"/>
      <protection locked="0"/>
    </xf>
    <xf numFmtId="164" fontId="9" fillId="0" borderId="43" xfId="0" applyNumberFormat="1" applyFont="1" applyFill="1" applyBorder="1" applyAlignment="1" applyProtection="1">
      <alignment horizontal="center" vertical="center"/>
      <protection locked="0"/>
    </xf>
    <xf numFmtId="170" fontId="9" fillId="0" borderId="32" xfId="0" applyNumberFormat="1" applyFont="1" applyFill="1" applyBorder="1" applyAlignment="1" applyProtection="1">
      <alignment horizontal="center" vertical="center"/>
      <protection locked="0"/>
    </xf>
    <xf numFmtId="168" fontId="9" fillId="0" borderId="57" xfId="0" applyNumberFormat="1" applyFont="1" applyFill="1" applyBorder="1" applyAlignment="1" applyProtection="1">
      <alignment horizontal="center" vertical="center"/>
      <protection locked="0"/>
    </xf>
    <xf numFmtId="169" fontId="9" fillId="0" borderId="59" xfId="0" applyNumberFormat="1" applyFont="1" applyFill="1" applyBorder="1" applyAlignment="1" applyProtection="1">
      <alignment horizontal="center" vertical="center"/>
      <protection locked="0"/>
    </xf>
    <xf numFmtId="166" fontId="9" fillId="0" borderId="57" xfId="0" applyNumberFormat="1" applyFont="1" applyFill="1" applyBorder="1" applyAlignment="1" applyProtection="1">
      <alignment horizontal="center" vertical="center"/>
      <protection locked="0"/>
    </xf>
    <xf numFmtId="166" fontId="9" fillId="0" borderId="59" xfId="0" applyNumberFormat="1" applyFont="1" applyFill="1" applyBorder="1" applyAlignment="1" applyProtection="1">
      <alignment horizontal="center" vertical="center"/>
      <protection locked="0"/>
    </xf>
    <xf numFmtId="166" fontId="9" fillId="0" borderId="61" xfId="0" applyNumberFormat="1" applyFont="1" applyFill="1" applyBorder="1" applyAlignment="1" applyProtection="1">
      <alignment horizontal="center" vertical="center"/>
      <protection locked="0"/>
    </xf>
    <xf numFmtId="164" fontId="8" fillId="0" borderId="28" xfId="0" applyNumberFormat="1" applyFont="1" applyFill="1" applyBorder="1" applyAlignment="1" applyProtection="1">
      <alignment horizontal="center" vertical="center"/>
      <protection locked="0"/>
    </xf>
    <xf numFmtId="164" fontId="8" fillId="0" borderId="0" xfId="0" applyNumberFormat="1" applyFont="1" applyFill="1" applyBorder="1" applyAlignment="1" applyProtection="1">
      <alignment horizontal="center" vertical="center"/>
      <protection locked="0"/>
    </xf>
    <xf numFmtId="164" fontId="8" fillId="0" borderId="39" xfId="0" applyNumberFormat="1" applyFont="1" applyFill="1" applyBorder="1" applyAlignment="1" applyProtection="1">
      <alignment horizontal="center" vertical="center"/>
      <protection locked="0"/>
    </xf>
    <xf numFmtId="164" fontId="6" fillId="0" borderId="0" xfId="0" applyFont="1" applyFill="1" applyBorder="1" applyAlignment="1" applyProtection="1">
      <alignment vertical="center"/>
    </xf>
    <xf numFmtId="164" fontId="6" fillId="0" borderId="0" xfId="0" applyFont="1" applyFill="1" applyBorder="1" applyAlignment="1" applyProtection="1">
      <alignment horizontal="left" vertical="center"/>
    </xf>
    <xf numFmtId="164" fontId="6" fillId="0" borderId="0" xfId="0" applyFont="1" applyFill="1" applyAlignment="1" applyProtection="1">
      <alignment vertical="center"/>
    </xf>
    <xf numFmtId="164" fontId="6" fillId="0" borderId="0" xfId="0" applyFont="1" applyFill="1" applyBorder="1" applyAlignment="1" applyProtection="1">
      <alignment horizontal="right" vertical="center"/>
    </xf>
    <xf numFmtId="164" fontId="5" fillId="0" borderId="0" xfId="0" applyFont="1" applyFill="1" applyBorder="1" applyAlignment="1" applyProtection="1">
      <alignment horizontal="left" vertical="center"/>
    </xf>
    <xf numFmtId="164" fontId="5" fillId="0" borderId="0" xfId="0" applyFont="1" applyFill="1" applyBorder="1" applyAlignment="1" applyProtection="1">
      <alignment horizontal="center" vertical="center"/>
    </xf>
    <xf numFmtId="164" fontId="5" fillId="0" borderId="0" xfId="0" applyFont="1" applyFill="1" applyAlignment="1" applyProtection="1">
      <alignment horizontal="center" vertical="center"/>
    </xf>
    <xf numFmtId="164" fontId="6" fillId="0" borderId="0" xfId="0" applyFont="1" applyFill="1" applyBorder="1" applyAlignment="1" applyProtection="1">
      <alignment horizontal="center" vertical="center"/>
    </xf>
    <xf numFmtId="164" fontId="6" fillId="0" borderId="0" xfId="0" applyFont="1" applyFill="1" applyAlignment="1" applyProtection="1">
      <alignment horizontal="center" vertical="center"/>
    </xf>
    <xf numFmtId="164" fontId="6" fillId="0" borderId="65" xfId="0" applyFont="1" applyFill="1" applyBorder="1" applyAlignment="1" applyProtection="1">
      <alignment horizontal="center" vertical="center"/>
    </xf>
    <xf numFmtId="164" fontId="6" fillId="0" borderId="28" xfId="0" applyFont="1" applyFill="1" applyBorder="1" applyAlignment="1" applyProtection="1">
      <alignment horizontal="center" vertical="center"/>
    </xf>
    <xf numFmtId="170" fontId="5" fillId="0" borderId="0" xfId="0" applyNumberFormat="1" applyFont="1" applyFill="1" applyBorder="1" applyAlignment="1" applyProtection="1">
      <alignment horizontal="center" vertical="center"/>
    </xf>
    <xf numFmtId="164" fontId="6" fillId="0" borderId="33" xfId="0" applyFont="1" applyFill="1" applyBorder="1" applyAlignment="1" applyProtection="1">
      <alignment horizontal="center" vertical="center"/>
    </xf>
    <xf numFmtId="9" fontId="5" fillId="0" borderId="28" xfId="0" applyNumberFormat="1" applyFont="1" applyFill="1" applyBorder="1" applyAlignment="1" applyProtection="1">
      <alignment horizontal="center" vertical="center"/>
    </xf>
    <xf numFmtId="9" fontId="5" fillId="0" borderId="0" xfId="0" applyNumberFormat="1" applyFont="1" applyFill="1" applyBorder="1" applyAlignment="1" applyProtection="1">
      <alignment horizontal="center" vertical="center"/>
    </xf>
    <xf numFmtId="164" fontId="6" fillId="0" borderId="47" xfId="0" applyFont="1" applyFill="1" applyBorder="1" applyAlignment="1" applyProtection="1">
      <alignment horizontal="center" vertical="center"/>
    </xf>
    <xf numFmtId="164" fontId="6" fillId="0" borderId="39" xfId="0" applyFont="1" applyFill="1" applyBorder="1" applyAlignment="1" applyProtection="1">
      <alignment horizontal="center" vertical="center"/>
    </xf>
    <xf numFmtId="164" fontId="6" fillId="2" borderId="0" xfId="0" applyFont="1" applyFill="1" applyBorder="1" applyAlignment="1" applyProtection="1">
      <alignment horizontal="left" vertical="center"/>
    </xf>
    <xf numFmtId="164" fontId="6" fillId="2" borderId="0" xfId="0" applyFont="1" applyFill="1" applyAlignment="1" applyProtection="1">
      <alignment horizontal="center" vertical="center"/>
    </xf>
    <xf numFmtId="164" fontId="6" fillId="2" borderId="0" xfId="0" applyFont="1" applyFill="1" applyBorder="1" applyAlignment="1" applyProtection="1">
      <alignment horizontal="center" vertical="center"/>
    </xf>
    <xf numFmtId="170" fontId="5" fillId="2" borderId="0" xfId="0" applyNumberFormat="1" applyFont="1" applyFill="1" applyBorder="1" applyAlignment="1" applyProtection="1">
      <alignment horizontal="center" vertical="center"/>
    </xf>
    <xf numFmtId="164" fontId="6" fillId="2" borderId="0" xfId="0" applyFont="1" applyFill="1" applyAlignment="1" applyProtection="1">
      <alignment vertical="center"/>
    </xf>
    <xf numFmtId="3" fontId="5" fillId="0" borderId="32" xfId="0" applyNumberFormat="1" applyFont="1" applyFill="1" applyBorder="1" applyAlignment="1" applyProtection="1">
      <alignment horizontal="center" vertical="center"/>
    </xf>
    <xf numFmtId="164" fontId="6" fillId="0" borderId="24" xfId="0" applyFont="1" applyFill="1" applyBorder="1" applyAlignment="1" applyProtection="1">
      <alignment horizontal="center" vertical="center"/>
    </xf>
    <xf numFmtId="164" fontId="9" fillId="0" borderId="0" xfId="0" applyFont="1" applyFill="1" applyBorder="1" applyAlignment="1" applyProtection="1">
      <alignment horizontal="center" vertical="center"/>
      <protection locked="0"/>
    </xf>
    <xf numFmtId="169" fontId="9" fillId="0" borderId="58" xfId="0" applyNumberFormat="1" applyFont="1" applyFill="1" applyBorder="1" applyAlignment="1" applyProtection="1">
      <alignment horizontal="center" vertical="center"/>
      <protection locked="0"/>
    </xf>
    <xf numFmtId="166" fontId="9" fillId="0" borderId="58" xfId="0" applyNumberFormat="1" applyFont="1" applyFill="1" applyBorder="1" applyAlignment="1" applyProtection="1">
      <alignment horizontal="center" vertical="center"/>
      <protection locked="0"/>
    </xf>
    <xf numFmtId="166" fontId="8" fillId="0" borderId="0" xfId="0" applyNumberFormat="1" applyFont="1" applyFill="1" applyBorder="1" applyAlignment="1" applyProtection="1">
      <alignment horizontal="center" vertical="center"/>
      <protection locked="0"/>
    </xf>
    <xf numFmtId="166" fontId="8" fillId="0" borderId="39" xfId="0" applyNumberFormat="1" applyFont="1" applyFill="1" applyBorder="1" applyAlignment="1" applyProtection="1">
      <alignment horizontal="center" vertical="center"/>
      <protection locked="0"/>
    </xf>
    <xf numFmtId="175" fontId="8" fillId="0" borderId="0" xfId="0" applyNumberFormat="1" applyFont="1" applyFill="1" applyBorder="1" applyAlignment="1" applyProtection="1">
      <alignment horizontal="center" vertical="center"/>
      <protection locked="0"/>
    </xf>
    <xf numFmtId="174" fontId="8" fillId="0" borderId="39" xfId="0" applyNumberFormat="1" applyFont="1" applyFill="1" applyBorder="1" applyAlignment="1" applyProtection="1">
      <alignment horizontal="center" vertical="center"/>
      <protection locked="0"/>
    </xf>
    <xf numFmtId="173" fontId="8" fillId="0" borderId="0" xfId="0" applyNumberFormat="1" applyFont="1" applyFill="1" applyBorder="1" applyAlignment="1" applyProtection="1">
      <alignment horizontal="left" vertical="center"/>
      <protection locked="0"/>
    </xf>
    <xf numFmtId="164" fontId="8" fillId="0" borderId="24" xfId="0" applyNumberFormat="1" applyFont="1" applyFill="1" applyBorder="1" applyAlignment="1" applyProtection="1">
      <alignment horizontal="center" vertical="center"/>
      <protection locked="0"/>
    </xf>
    <xf numFmtId="164" fontId="4" fillId="0" borderId="0" xfId="0" applyFont="1" applyAlignment="1">
      <alignment vertical="center"/>
    </xf>
    <xf numFmtId="164" fontId="3" fillId="0" borderId="0" xfId="0" applyFont="1" applyAlignment="1">
      <alignment vertical="center"/>
    </xf>
    <xf numFmtId="185" fontId="3" fillId="0" borderId="0" xfId="0" applyNumberFormat="1" applyFont="1" applyAlignment="1">
      <alignment horizontal="right" vertical="center"/>
    </xf>
    <xf numFmtId="164" fontId="4" fillId="0" borderId="0" xfId="0" applyFont="1" applyAlignment="1">
      <alignment horizontal="center" vertical="center"/>
    </xf>
    <xf numFmtId="164" fontId="5" fillId="2" borderId="0" xfId="0" applyNumberFormat="1" applyFont="1" applyFill="1" applyBorder="1" applyAlignment="1" applyProtection="1">
      <alignment horizontal="right" vertical="center"/>
    </xf>
    <xf numFmtId="164" fontId="5" fillId="0" borderId="35" xfId="0" applyNumberFormat="1" applyFont="1" applyFill="1" applyBorder="1" applyAlignment="1" applyProtection="1">
      <alignment horizontal="right" vertical="center"/>
    </xf>
    <xf numFmtId="164" fontId="5" fillId="0" borderId="70" xfId="0" applyNumberFormat="1" applyFont="1" applyFill="1" applyBorder="1" applyAlignment="1" applyProtection="1">
      <alignment horizontal="right" vertical="center"/>
    </xf>
    <xf numFmtId="164" fontId="6" fillId="0" borderId="63" xfId="0" applyNumberFormat="1" applyFont="1" applyFill="1" applyBorder="1" applyAlignment="1" applyProtection="1">
      <alignment horizontal="center" vertical="center"/>
    </xf>
    <xf numFmtId="164" fontId="6" fillId="0" borderId="56" xfId="0" applyNumberFormat="1" applyFont="1" applyFill="1" applyBorder="1" applyAlignment="1" applyProtection="1">
      <alignment horizontal="center" vertical="center"/>
    </xf>
    <xf numFmtId="164" fontId="6" fillId="0" borderId="6" xfId="0" applyNumberFormat="1" applyFont="1" applyFill="1" applyBorder="1" applyAlignment="1" applyProtection="1">
      <alignment horizontal="center" vertical="center" wrapText="1"/>
    </xf>
    <xf numFmtId="164" fontId="6" fillId="0" borderId="39" xfId="0" applyNumberFormat="1" applyFont="1" applyFill="1" applyBorder="1" applyAlignment="1" applyProtection="1">
      <alignment horizontal="center" vertical="center" wrapText="1"/>
    </xf>
    <xf numFmtId="164" fontId="6" fillId="0" borderId="72" xfId="0" applyNumberFormat="1" applyFont="1" applyFill="1" applyBorder="1" applyAlignment="1" applyProtection="1">
      <alignment horizontal="center" vertical="center"/>
    </xf>
    <xf numFmtId="164" fontId="6" fillId="0" borderId="66" xfId="0" applyNumberFormat="1" applyFont="1" applyFill="1" applyBorder="1" applyAlignment="1" applyProtection="1">
      <alignment horizontal="center" vertical="center"/>
    </xf>
    <xf numFmtId="37" fontId="6" fillId="0" borderId="39" xfId="0" applyNumberFormat="1" applyFont="1" applyFill="1" applyBorder="1" applyAlignment="1" applyProtection="1">
      <alignment horizontal="right" vertical="center"/>
    </xf>
    <xf numFmtId="164" fontId="5" fillId="0" borderId="37" xfId="0" applyNumberFormat="1" applyFont="1" applyFill="1" applyBorder="1" applyAlignment="1" applyProtection="1">
      <alignment horizontal="center" vertical="center"/>
    </xf>
    <xf numFmtId="164" fontId="5" fillId="0" borderId="1" xfId="0" applyNumberFormat="1" applyFont="1" applyFill="1" applyBorder="1" applyAlignment="1" applyProtection="1">
      <alignment horizontal="center" vertical="center"/>
    </xf>
    <xf numFmtId="164" fontId="5" fillId="0" borderId="38" xfId="0" applyNumberFormat="1" applyFont="1" applyFill="1" applyBorder="1" applyAlignment="1" applyProtection="1">
      <alignment horizontal="center" vertical="center"/>
    </xf>
    <xf numFmtId="164" fontId="6" fillId="0" borderId="60" xfId="0" applyNumberFormat="1" applyFont="1" applyFill="1" applyBorder="1" applyAlignment="1" applyProtection="1">
      <alignment horizontal="center" vertical="center"/>
    </xf>
    <xf numFmtId="164" fontId="6" fillId="0" borderId="39" xfId="0" applyNumberFormat="1" applyFont="1" applyFill="1" applyBorder="1" applyAlignment="1" applyProtection="1">
      <alignment horizontal="center" vertical="center"/>
    </xf>
    <xf numFmtId="164" fontId="6" fillId="0" borderId="60" xfId="0" applyNumberFormat="1" applyFont="1" applyFill="1" applyBorder="1" applyAlignment="1" applyProtection="1">
      <alignment horizontal="center" vertical="center" wrapText="1"/>
    </xf>
    <xf numFmtId="164" fontId="6" fillId="0" borderId="30" xfId="0" applyNumberFormat="1" applyFont="1" applyFill="1" applyBorder="1" applyAlignment="1" applyProtection="1">
      <alignment horizontal="center" vertical="center"/>
    </xf>
    <xf numFmtId="164" fontId="6" fillId="0" borderId="29" xfId="0" applyNumberFormat="1" applyFont="1" applyFill="1" applyBorder="1" applyAlignment="1" applyProtection="1">
      <alignment horizontal="center" vertical="center"/>
    </xf>
    <xf numFmtId="164" fontId="6" fillId="0" borderId="47" xfId="0" applyNumberFormat="1" applyFont="1" applyFill="1" applyBorder="1" applyAlignment="1" applyProtection="1">
      <alignment horizontal="center" vertical="center"/>
    </xf>
    <xf numFmtId="164" fontId="6" fillId="0" borderId="55" xfId="0" applyNumberFormat="1" applyFont="1" applyFill="1" applyBorder="1" applyAlignment="1" applyProtection="1">
      <alignment horizontal="center" vertical="center"/>
    </xf>
    <xf numFmtId="164" fontId="6" fillId="0" borderId="45" xfId="0" applyNumberFormat="1" applyFont="1" applyFill="1" applyBorder="1" applyAlignment="1" applyProtection="1">
      <alignment horizontal="center" vertical="center"/>
    </xf>
    <xf numFmtId="164" fontId="6" fillId="0" borderId="46" xfId="0" applyNumberFormat="1" applyFont="1" applyFill="1" applyBorder="1" applyAlignment="1" applyProtection="1">
      <alignment horizontal="center" vertical="center"/>
    </xf>
    <xf numFmtId="164" fontId="6" fillId="0" borderId="50" xfId="0" applyNumberFormat="1" applyFont="1" applyFill="1" applyBorder="1" applyAlignment="1" applyProtection="1">
      <alignment horizontal="center" vertical="center"/>
    </xf>
    <xf numFmtId="164" fontId="6" fillId="0" borderId="54" xfId="0" applyNumberFormat="1" applyFont="1" applyFill="1" applyBorder="1" applyAlignment="1" applyProtection="1">
      <alignment horizontal="center" vertical="center" wrapText="1"/>
    </xf>
    <xf numFmtId="164" fontId="6" fillId="0" borderId="56" xfId="0" applyNumberFormat="1" applyFont="1" applyFill="1" applyBorder="1" applyAlignment="1" applyProtection="1">
      <alignment horizontal="center" vertical="center" wrapText="1"/>
    </xf>
    <xf numFmtId="164" fontId="6" fillId="0" borderId="51" xfId="0" applyNumberFormat="1" applyFont="1" applyFill="1" applyBorder="1" applyAlignment="1" applyProtection="1">
      <alignment horizontal="center" vertical="center" wrapText="1"/>
    </xf>
    <xf numFmtId="164" fontId="6" fillId="0" borderId="50" xfId="0" applyNumberFormat="1" applyFont="1" applyFill="1" applyBorder="1" applyAlignment="1" applyProtection="1">
      <alignment horizontal="center" vertical="center" wrapText="1"/>
    </xf>
    <xf numFmtId="164" fontId="6" fillId="0" borderId="47" xfId="0" applyNumberFormat="1" applyFont="1" applyFill="1" applyBorder="1" applyAlignment="1" applyProtection="1">
      <alignment horizontal="right" vertical="center"/>
    </xf>
    <xf numFmtId="164" fontId="6" fillId="0" borderId="39" xfId="0" applyNumberFormat="1" applyFont="1" applyFill="1" applyBorder="1" applyAlignment="1" applyProtection="1">
      <alignment horizontal="right" vertical="center"/>
    </xf>
    <xf numFmtId="164" fontId="6" fillId="0" borderId="28"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right" vertical="center"/>
    </xf>
    <xf numFmtId="180" fontId="8" fillId="0" borderId="71" xfId="0" applyNumberFormat="1" applyFont="1" applyFill="1" applyBorder="1" applyAlignment="1" applyProtection="1">
      <alignment horizontal="center" vertical="center"/>
      <protection locked="0"/>
    </xf>
    <xf numFmtId="164" fontId="1" fillId="0" borderId="37" xfId="0" applyNumberFormat="1" applyFont="1" applyFill="1" applyBorder="1" applyAlignment="1" applyProtection="1">
      <alignment horizontal="center" vertical="center"/>
    </xf>
    <xf numFmtId="164" fontId="1" fillId="0" borderId="1" xfId="0" applyNumberFormat="1" applyFont="1" applyFill="1" applyBorder="1" applyAlignment="1" applyProtection="1">
      <alignment horizontal="center" vertical="center"/>
    </xf>
    <xf numFmtId="164" fontId="1" fillId="0" borderId="38" xfId="0" applyNumberFormat="1" applyFont="1" applyFill="1" applyBorder="1" applyAlignment="1" applyProtection="1">
      <alignment horizontal="center" vertical="center"/>
    </xf>
    <xf numFmtId="164" fontId="6" fillId="0" borderId="25" xfId="0" applyNumberFormat="1" applyFont="1" applyFill="1" applyBorder="1" applyAlignment="1" applyProtection="1">
      <alignment horizontal="center" vertical="center"/>
    </xf>
    <xf numFmtId="164" fontId="6" fillId="0" borderId="33" xfId="0" applyNumberFormat="1" applyFont="1" applyFill="1" applyBorder="1" applyAlignment="1" applyProtection="1">
      <alignment horizontal="center" vertical="center"/>
    </xf>
    <xf numFmtId="164" fontId="6" fillId="0" borderId="48" xfId="0" applyNumberFormat="1" applyFont="1" applyFill="1" applyBorder="1" applyAlignment="1" applyProtection="1">
      <alignment horizontal="center" vertical="center"/>
    </xf>
    <xf numFmtId="164" fontId="6" fillId="0" borderId="49" xfId="0" applyNumberFormat="1" applyFont="1" applyFill="1" applyBorder="1" applyAlignment="1" applyProtection="1">
      <alignment horizontal="center" vertical="center"/>
    </xf>
    <xf numFmtId="164" fontId="6" fillId="0" borderId="52" xfId="0" applyNumberFormat="1" applyFont="1" applyFill="1" applyBorder="1" applyAlignment="1" applyProtection="1">
      <alignment horizontal="center" vertical="center"/>
    </xf>
    <xf numFmtId="164" fontId="6" fillId="0" borderId="53" xfId="0" applyNumberFormat="1" applyFont="1" applyFill="1" applyBorder="1" applyAlignment="1" applyProtection="1">
      <alignment horizontal="center" vertical="center"/>
    </xf>
    <xf numFmtId="164" fontId="6" fillId="0" borderId="64" xfId="0" applyNumberFormat="1" applyFont="1" applyFill="1" applyBorder="1" applyAlignment="1" applyProtection="1">
      <alignment horizontal="center" vertical="center"/>
    </xf>
    <xf numFmtId="164" fontId="5" fillId="0" borderId="3" xfId="0" applyNumberFormat="1" applyFont="1" applyFill="1" applyBorder="1" applyAlignment="1" applyProtection="1">
      <alignment horizontal="center" vertical="center"/>
    </xf>
    <xf numFmtId="164" fontId="5" fillId="0" borderId="4" xfId="0" applyNumberFormat="1" applyFont="1" applyFill="1" applyBorder="1" applyAlignment="1" applyProtection="1">
      <alignment horizontal="center" vertical="center"/>
    </xf>
    <xf numFmtId="164" fontId="5" fillId="0" borderId="5" xfId="0" applyNumberFormat="1" applyFont="1" applyFill="1" applyBorder="1" applyAlignment="1" applyProtection="1">
      <alignment horizontal="center" vertical="center"/>
    </xf>
    <xf numFmtId="164" fontId="5" fillId="0" borderId="0" xfId="0" applyFont="1" applyFill="1" applyAlignment="1" applyProtection="1">
      <alignment horizontal="center" vertical="center"/>
    </xf>
    <xf numFmtId="164" fontId="6" fillId="0" borderId="31" xfId="0" applyNumberFormat="1" applyFont="1" applyFill="1" applyBorder="1" applyAlignment="1" applyProtection="1">
      <alignment horizontal="right" vertical="center"/>
    </xf>
    <xf numFmtId="164" fontId="6" fillId="0" borderId="24" xfId="0" applyNumberFormat="1" applyFont="1" applyFill="1" applyBorder="1" applyAlignment="1" applyProtection="1">
      <alignment horizontal="right" vertical="center"/>
    </xf>
    <xf numFmtId="164" fontId="6" fillId="0" borderId="28" xfId="0" applyNumberFormat="1" applyFont="1" applyFill="1" applyBorder="1" applyAlignment="1" applyProtection="1">
      <alignment horizontal="center" vertical="center" wrapText="1"/>
    </xf>
    <xf numFmtId="164" fontId="6" fillId="0" borderId="0" xfId="0" applyNumberFormat="1" applyFont="1" applyFill="1" applyBorder="1" applyAlignment="1" applyProtection="1">
      <alignment horizontal="center" vertical="center" wrapText="1"/>
    </xf>
    <xf numFmtId="164" fontId="9" fillId="0" borderId="31" xfId="0" applyNumberFormat="1" applyFont="1" applyFill="1" applyBorder="1" applyAlignment="1" applyProtection="1">
      <alignment horizontal="center" vertical="center"/>
      <protection locked="0"/>
    </xf>
    <xf numFmtId="164" fontId="9" fillId="0" borderId="32" xfId="0" applyNumberFormat="1" applyFont="1" applyFill="1" applyBorder="1" applyAlignment="1" applyProtection="1">
      <alignment horizontal="center" vertical="center"/>
      <protection locked="0"/>
    </xf>
    <xf numFmtId="164" fontId="6" fillId="0" borderId="28" xfId="0" applyNumberFormat="1" applyFont="1" applyFill="1" applyBorder="1" applyAlignment="1" applyProtection="1">
      <alignment horizontal="center" vertical="center"/>
    </xf>
    <xf numFmtId="164" fontId="6" fillId="0" borderId="62" xfId="0" applyNumberFormat="1" applyFont="1" applyFill="1" applyBorder="1" applyAlignment="1" applyProtection="1">
      <alignment horizontal="center" vertical="center"/>
    </xf>
    <xf numFmtId="164" fontId="9" fillId="0" borderId="0" xfId="0" applyFont="1" applyFill="1" applyBorder="1" applyAlignment="1" applyProtection="1">
      <alignment horizontal="left" vertical="center"/>
      <protection locked="0"/>
    </xf>
    <xf numFmtId="164" fontId="6" fillId="0" borderId="27" xfId="0" applyNumberFormat="1" applyFont="1" applyFill="1" applyBorder="1" applyAlignment="1" applyProtection="1">
      <alignment horizontal="center" vertical="center"/>
    </xf>
    <xf numFmtId="164" fontId="6" fillId="0" borderId="6" xfId="0" applyNumberFormat="1" applyFont="1" applyFill="1" applyBorder="1" applyAlignment="1" applyProtection="1">
      <alignment horizontal="center" vertical="center"/>
    </xf>
    <xf numFmtId="164" fontId="5" fillId="0" borderId="67" xfId="0" applyNumberFormat="1" applyFont="1" applyFill="1" applyBorder="1" applyAlignment="1" applyProtection="1">
      <alignment horizontal="center" vertical="center"/>
    </xf>
    <xf numFmtId="164" fontId="5" fillId="0" borderId="68" xfId="0" applyNumberFormat="1" applyFont="1" applyFill="1" applyBorder="1" applyAlignment="1" applyProtection="1">
      <alignment horizontal="center" vertical="center"/>
    </xf>
    <xf numFmtId="164" fontId="5" fillId="0" borderId="69" xfId="0" applyNumberFormat="1" applyFont="1" applyFill="1" applyBorder="1" applyAlignment="1" applyProtection="1">
      <alignment horizontal="center" vertical="center"/>
    </xf>
    <xf numFmtId="164" fontId="6" fillId="0" borderId="60" xfId="0" applyNumberFormat="1" applyFont="1" applyFill="1" applyBorder="1" applyAlignment="1" applyProtection="1">
      <alignment horizontal="right" vertical="center"/>
    </xf>
    <xf numFmtId="177" fontId="8" fillId="0" borderId="0" xfId="0" applyNumberFormat="1" applyFont="1" applyFill="1" applyBorder="1" applyAlignment="1" applyProtection="1">
      <alignment horizontal="left" vertical="center"/>
      <protection locked="0"/>
    </xf>
    <xf numFmtId="176" fontId="6" fillId="0" borderId="0" xfId="0" applyNumberFormat="1" applyFont="1" applyFill="1" applyBorder="1" applyAlignment="1" applyProtection="1">
      <alignment horizontal="left" vertical="center"/>
    </xf>
    <xf numFmtId="37" fontId="6" fillId="0"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center" vertical="center"/>
    </xf>
    <xf numFmtId="164" fontId="5" fillId="2" borderId="0" xfId="0" applyFont="1" applyFill="1" applyBorder="1" applyAlignment="1" applyProtection="1">
      <alignment horizontal="right" vertical="center"/>
    </xf>
    <xf numFmtId="164" fontId="6" fillId="0" borderId="0" xfId="0" applyNumberFormat="1" applyFont="1" applyFill="1" applyBorder="1" applyAlignment="1" applyProtection="1">
      <alignment horizontal="center" vertical="center"/>
    </xf>
    <xf numFmtId="164" fontId="5" fillId="0" borderId="31" xfId="0" applyNumberFormat="1" applyFont="1" applyFill="1" applyBorder="1" applyAlignment="1" applyProtection="1">
      <alignment horizontal="right" vertical="center"/>
    </xf>
    <xf numFmtId="164" fontId="5" fillId="0" borderId="24" xfId="0" applyNumberFormat="1" applyFont="1" applyFill="1" applyBorder="1" applyAlignment="1" applyProtection="1">
      <alignment horizontal="right" vertical="center"/>
    </xf>
    <xf numFmtId="180" fontId="8" fillId="0" borderId="39" xfId="0" applyNumberFormat="1" applyFont="1" applyFill="1" applyBorder="1" applyAlignment="1" applyProtection="1">
      <alignment horizontal="left" vertical="center"/>
      <protection locked="0"/>
    </xf>
    <xf numFmtId="164" fontId="5" fillId="0" borderId="35" xfId="0" applyFont="1" applyFill="1" applyBorder="1" applyAlignment="1" applyProtection="1">
      <alignment horizontal="right" vertical="center"/>
    </xf>
    <xf numFmtId="164" fontId="5" fillId="0" borderId="70" xfId="0" applyFont="1" applyFill="1" applyBorder="1" applyAlignment="1" applyProtection="1">
      <alignment horizontal="right" vertical="center"/>
    </xf>
    <xf numFmtId="170" fontId="6" fillId="0" borderId="39" xfId="0" applyNumberFormat="1" applyFont="1" applyFill="1" applyBorder="1" applyAlignment="1" applyProtection="1">
      <alignment horizontal="center" vertical="center"/>
    </xf>
    <xf numFmtId="177" fontId="6" fillId="0" borderId="0" xfId="0" applyNumberFormat="1" applyFont="1" applyFill="1" applyBorder="1" applyAlignment="1" applyProtection="1">
      <alignment horizontal="left" vertical="center"/>
    </xf>
    <xf numFmtId="164" fontId="5" fillId="0" borderId="29" xfId="0" applyNumberFormat="1" applyFont="1" applyFill="1" applyBorder="1" applyAlignment="1" applyProtection="1">
      <alignment horizontal="center" vertical="center"/>
    </xf>
    <xf numFmtId="164" fontId="5" fillId="0" borderId="60" xfId="0" applyNumberFormat="1" applyFont="1" applyFill="1" applyBorder="1" applyAlignment="1" applyProtection="1">
      <alignment horizontal="center" vertical="center"/>
    </xf>
    <xf numFmtId="164" fontId="5" fillId="0" borderId="30" xfId="0" applyNumberFormat="1" applyFont="1" applyFill="1" applyBorder="1" applyAlignment="1" applyProtection="1">
      <alignment horizontal="center" vertical="center"/>
    </xf>
    <xf numFmtId="164" fontId="6" fillId="0" borderId="73" xfId="0" applyNumberFormat="1" applyFont="1" applyFill="1" applyBorder="1" applyAlignment="1" applyProtection="1">
      <alignment horizontal="center" vertical="center"/>
    </xf>
    <xf numFmtId="164" fontId="3" fillId="0" borderId="0" xfId="0" applyFont="1" applyAlignment="1">
      <alignment horizontal="left" vertical="center" wrapText="1"/>
    </xf>
    <xf numFmtId="164" fontId="4" fillId="0" borderId="0" xfId="0" applyFont="1" applyAlignment="1">
      <alignment horizontal="center" vertical="center"/>
    </xf>
  </cellXfs>
  <cellStyles count="4">
    <cellStyle name="Header1" xfId="1"/>
    <cellStyle name="Header2" xfId="2"/>
    <cellStyle name="Normal" xfId="0" builtinId="0"/>
    <cellStyle name="Porcentagem" xfId="3" builtinId="5"/>
  </cellStyles>
  <dxfs count="0"/>
  <tableStyles count="0" defaultTableStyle="TableStyleMedium9" defaultPivotStyle="PivotStyleLight16"/>
  <colors>
    <mruColors>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Plan1"/>
  <dimension ref="A1:CV304"/>
  <sheetViews>
    <sheetView showGridLines="0" showZeros="0" tabSelected="1" topLeftCell="A61" zoomScaleNormal="100" zoomScaleSheetLayoutView="100" workbookViewId="0">
      <selection activeCell="E19" sqref="E19"/>
    </sheetView>
  </sheetViews>
  <sheetFormatPr defaultColWidth="11.7109375" defaultRowHeight="12" x14ac:dyDescent="0.2"/>
  <cols>
    <col min="1" max="4" width="11.7109375" style="132"/>
    <col min="5" max="5" width="12.28515625" style="132" customWidth="1"/>
    <col min="6" max="16384" width="11.7109375" style="132"/>
  </cols>
  <sheetData>
    <row r="1" spans="1:100" ht="16.5" thickBot="1" x14ac:dyDescent="0.25">
      <c r="A1" s="199" t="s">
        <v>167</v>
      </c>
      <c r="B1" s="200"/>
      <c r="C1" s="200"/>
      <c r="D1" s="200"/>
      <c r="E1" s="200"/>
      <c r="F1" s="200"/>
      <c r="G1" s="200"/>
      <c r="H1" s="201"/>
      <c r="I1" s="105"/>
      <c r="J1" s="105"/>
      <c r="K1" s="1"/>
      <c r="L1" s="1"/>
      <c r="M1" s="1"/>
      <c r="N1" s="1"/>
      <c r="O1" s="1"/>
      <c r="P1" s="1"/>
      <c r="Q1" s="1"/>
      <c r="R1" s="1"/>
      <c r="S1" s="1"/>
      <c r="T1" s="1"/>
      <c r="U1" s="1"/>
      <c r="V1" s="130"/>
      <c r="W1" s="131"/>
      <c r="X1" s="131"/>
      <c r="Y1" s="131"/>
      <c r="Z1" s="1"/>
      <c r="AA1" s="131"/>
      <c r="AB1" s="131"/>
      <c r="AC1" s="131"/>
      <c r="AD1" s="131"/>
      <c r="AE1" s="131"/>
      <c r="AF1" s="131"/>
      <c r="AG1" s="131"/>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row>
    <row r="2" spans="1:100" ht="13.5" customHeight="1" x14ac:dyDescent="0.2">
      <c r="A2" s="131" t="s">
        <v>87</v>
      </c>
      <c r="B2" s="221"/>
      <c r="C2" s="221"/>
      <c r="D2" s="221"/>
      <c r="E2" s="221"/>
      <c r="F2" s="221"/>
      <c r="G2" s="133" t="s">
        <v>99</v>
      </c>
      <c r="H2" s="116">
        <f ca="1">NOW()</f>
        <v>41907.691067476851</v>
      </c>
      <c r="J2" s="106"/>
      <c r="K2" s="131"/>
      <c r="L2" s="131"/>
      <c r="M2" s="131"/>
      <c r="N2" s="130"/>
      <c r="O2" s="130"/>
      <c r="P2" s="130"/>
      <c r="Q2" s="131"/>
      <c r="R2" s="131"/>
      <c r="S2" s="131"/>
      <c r="T2" s="131"/>
      <c r="U2" s="131"/>
      <c r="V2" s="1"/>
      <c r="W2" s="131"/>
      <c r="X2" s="131"/>
      <c r="Y2" s="131"/>
      <c r="Z2" s="3"/>
      <c r="AA2" s="131"/>
      <c r="AB2" s="131"/>
      <c r="AC2" s="131"/>
      <c r="AD2" s="131"/>
      <c r="AE2" s="131"/>
      <c r="AF2" s="131"/>
      <c r="AG2" s="131"/>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row>
    <row r="3" spans="1:100" ht="13.5" customHeight="1" x14ac:dyDescent="0.2">
      <c r="A3" s="1" t="s">
        <v>88</v>
      </c>
      <c r="B3" s="221"/>
      <c r="C3" s="221"/>
      <c r="D3" s="221"/>
      <c r="E3" s="221"/>
      <c r="F3" s="221"/>
      <c r="G3" s="133" t="s">
        <v>157</v>
      </c>
      <c r="H3" s="154"/>
      <c r="I3" s="212"/>
      <c r="J3" s="212"/>
      <c r="K3" s="131"/>
      <c r="L3" s="131"/>
      <c r="M3" s="131"/>
      <c r="N3" s="130"/>
      <c r="O3" s="130"/>
      <c r="P3" s="130"/>
      <c r="Q3" s="131"/>
      <c r="R3" s="131"/>
      <c r="S3" s="131"/>
      <c r="T3" s="131"/>
      <c r="U3" s="131"/>
      <c r="V3" s="1"/>
      <c r="W3" s="131"/>
      <c r="X3" s="131"/>
      <c r="Y3" s="131"/>
      <c r="Z3" s="3"/>
      <c r="AA3" s="131"/>
      <c r="AB3" s="131"/>
      <c r="AC3" s="131"/>
      <c r="AD3" s="131"/>
      <c r="AE3" s="131"/>
      <c r="AF3" s="131"/>
      <c r="AG3" s="131"/>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row>
    <row r="4" spans="1:100" ht="12.95" customHeight="1" thickBot="1" x14ac:dyDescent="0.25">
      <c r="A4" s="1"/>
      <c r="B4" s="134"/>
      <c r="C4" s="134"/>
      <c r="D4" s="134"/>
      <c r="E4" s="134"/>
      <c r="F4" s="134"/>
      <c r="G4" s="133"/>
      <c r="H4" s="135"/>
      <c r="I4" s="136"/>
      <c r="J4" s="136"/>
      <c r="K4" s="131"/>
      <c r="L4" s="131"/>
      <c r="M4" s="131"/>
      <c r="N4" s="130"/>
      <c r="O4" s="130"/>
      <c r="P4" s="130"/>
      <c r="Q4" s="131"/>
      <c r="R4" s="131"/>
      <c r="S4" s="131"/>
      <c r="T4" s="131"/>
      <c r="U4" s="131"/>
      <c r="V4" s="1"/>
      <c r="W4" s="131"/>
      <c r="X4" s="131"/>
      <c r="Y4" s="131"/>
      <c r="Z4" s="3"/>
      <c r="AA4" s="131"/>
      <c r="AB4" s="131"/>
      <c r="AC4" s="131"/>
      <c r="AD4" s="131"/>
      <c r="AE4" s="131"/>
      <c r="AF4" s="131"/>
      <c r="AG4" s="131"/>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row>
    <row r="5" spans="1:100" ht="0.6" customHeight="1" thickBot="1"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2"/>
      <c r="CO5" s="2"/>
      <c r="CP5" s="2"/>
      <c r="CQ5" s="2"/>
      <c r="CR5" s="2"/>
      <c r="CS5" s="2"/>
      <c r="CT5" s="2"/>
      <c r="CU5" s="2"/>
      <c r="CV5" s="2"/>
    </row>
    <row r="6" spans="1:100" s="138" customFormat="1" ht="13.5" customHeight="1" x14ac:dyDescent="0.2">
      <c r="A6" s="202" t="s">
        <v>2</v>
      </c>
      <c r="B6" s="4" t="s">
        <v>3</v>
      </c>
      <c r="C6" s="5" t="s">
        <v>4</v>
      </c>
      <c r="D6" s="206" t="s">
        <v>91</v>
      </c>
      <c r="E6" s="207"/>
      <c r="F6" s="208"/>
      <c r="G6" s="170" t="s">
        <v>156</v>
      </c>
      <c r="H6" s="171"/>
      <c r="I6" s="17"/>
      <c r="J6" s="18"/>
      <c r="K6" s="137"/>
      <c r="L6" s="137"/>
      <c r="M6" s="137"/>
      <c r="N6" s="137"/>
      <c r="O6" s="137"/>
      <c r="P6" s="137"/>
      <c r="Q6" s="137"/>
      <c r="R6" s="137"/>
      <c r="S6" s="137"/>
      <c r="T6" s="137"/>
      <c r="U6" s="137"/>
      <c r="V6" s="137"/>
      <c r="W6" s="137"/>
      <c r="X6" s="137"/>
      <c r="Y6" s="137"/>
      <c r="Z6" s="137"/>
      <c r="AA6" s="137"/>
      <c r="AB6" s="137"/>
      <c r="AC6" s="137"/>
      <c r="AD6" s="137"/>
      <c r="AE6" s="137"/>
      <c r="AF6" s="137"/>
      <c r="AG6" s="137"/>
      <c r="BP6" s="6"/>
      <c r="BQ6" s="6"/>
      <c r="BR6" s="6"/>
      <c r="BS6" s="6"/>
      <c r="BT6" s="6"/>
      <c r="BU6" s="6"/>
      <c r="BV6" s="6"/>
      <c r="BW6" s="6"/>
    </row>
    <row r="7" spans="1:100" s="138" customFormat="1" ht="13.5" customHeight="1" x14ac:dyDescent="0.2">
      <c r="A7" s="203"/>
      <c r="B7" s="7" t="s">
        <v>11</v>
      </c>
      <c r="C7" s="8" t="s">
        <v>85</v>
      </c>
      <c r="D7" s="204" t="s">
        <v>92</v>
      </c>
      <c r="E7" s="205"/>
      <c r="F7" s="139" t="s">
        <v>7</v>
      </c>
      <c r="G7" s="107" t="s">
        <v>155</v>
      </c>
      <c r="H7" s="108">
        <f>J150/100</f>
        <v>0.49979899266503686</v>
      </c>
      <c r="I7" s="17"/>
      <c r="J7" s="10"/>
      <c r="K7" s="137"/>
      <c r="L7" s="137"/>
      <c r="M7" s="137"/>
      <c r="N7" s="137"/>
      <c r="O7" s="137"/>
      <c r="P7" s="137"/>
      <c r="Q7" s="137"/>
      <c r="R7" s="137"/>
      <c r="S7" s="137"/>
      <c r="T7" s="137"/>
      <c r="U7" s="137"/>
      <c r="V7" s="137"/>
      <c r="W7" s="137"/>
      <c r="X7" s="137"/>
      <c r="Y7" s="137"/>
      <c r="Z7" s="137"/>
      <c r="AA7" s="137"/>
      <c r="AB7" s="137"/>
      <c r="AC7" s="137"/>
      <c r="AD7" s="137"/>
      <c r="AE7" s="137"/>
      <c r="AF7" s="137"/>
      <c r="AG7" s="137"/>
      <c r="BP7" s="6"/>
      <c r="BQ7" s="6"/>
      <c r="BR7" s="6"/>
      <c r="BS7" s="6"/>
      <c r="BT7" s="6"/>
      <c r="BU7" s="6"/>
      <c r="BV7" s="6"/>
      <c r="BW7" s="6"/>
    </row>
    <row r="8" spans="1:100" s="138" customFormat="1" ht="13.5" customHeight="1" thickBot="1" x14ac:dyDescent="0.25">
      <c r="A8" s="118" t="s">
        <v>86</v>
      </c>
      <c r="B8" s="119">
        <v>8</v>
      </c>
      <c r="C8" s="120">
        <v>5</v>
      </c>
      <c r="D8" s="122">
        <v>94</v>
      </c>
      <c r="E8" s="155">
        <v>74</v>
      </c>
      <c r="F8" s="121">
        <v>12</v>
      </c>
      <c r="G8" s="122">
        <v>72</v>
      </c>
      <c r="H8" s="123">
        <v>60.08</v>
      </c>
      <c r="I8" s="140"/>
      <c r="J8" s="141"/>
      <c r="K8" s="137"/>
      <c r="L8" s="137"/>
      <c r="M8" s="137"/>
      <c r="N8" s="137"/>
      <c r="O8" s="137"/>
      <c r="P8" s="137"/>
      <c r="Q8" s="137"/>
      <c r="R8" s="137"/>
      <c r="S8" s="137"/>
      <c r="T8" s="137"/>
      <c r="U8" s="137"/>
      <c r="V8" s="137"/>
      <c r="W8" s="137"/>
      <c r="X8" s="137"/>
      <c r="Y8" s="137"/>
      <c r="Z8" s="137"/>
      <c r="AA8" s="137"/>
      <c r="AB8" s="137"/>
      <c r="AC8" s="137"/>
      <c r="AD8" s="137"/>
      <c r="AE8" s="137"/>
      <c r="AF8" s="137"/>
      <c r="AG8" s="137"/>
      <c r="BP8" s="6"/>
      <c r="BQ8" s="6"/>
      <c r="BR8" s="6"/>
      <c r="BS8" s="6"/>
      <c r="BT8" s="6"/>
      <c r="BU8" s="6"/>
      <c r="BV8" s="6"/>
      <c r="BW8" s="6"/>
    </row>
    <row r="9" spans="1:100" s="138" customFormat="1" ht="13.5" customHeight="1" x14ac:dyDescent="0.2">
      <c r="A9" s="184" t="s">
        <v>89</v>
      </c>
      <c r="B9" s="183"/>
      <c r="C9" s="5" t="s">
        <v>5</v>
      </c>
      <c r="D9" s="170" t="s">
        <v>95</v>
      </c>
      <c r="E9" s="186"/>
      <c r="F9" s="171"/>
      <c r="G9" s="190" t="s">
        <v>98</v>
      </c>
      <c r="H9" s="191"/>
      <c r="I9" s="215"/>
      <c r="J9" s="216"/>
      <c r="K9" s="10"/>
      <c r="L9" s="137"/>
      <c r="M9" s="137"/>
      <c r="N9" s="137"/>
      <c r="O9" s="137"/>
      <c r="P9" s="137"/>
      <c r="Q9" s="137"/>
      <c r="R9" s="137"/>
      <c r="S9" s="137"/>
      <c r="T9" s="137"/>
      <c r="U9" s="137"/>
      <c r="V9" s="137"/>
      <c r="W9" s="137"/>
      <c r="X9" s="137"/>
      <c r="Y9" s="137"/>
      <c r="Z9" s="137"/>
      <c r="AA9" s="137"/>
      <c r="AB9" s="137"/>
      <c r="AC9" s="137"/>
      <c r="AD9" s="137"/>
      <c r="AE9" s="137"/>
      <c r="AF9" s="137"/>
      <c r="AG9" s="137"/>
      <c r="BR9" s="6"/>
      <c r="BS9" s="6"/>
      <c r="BT9" s="6"/>
      <c r="BU9" s="6"/>
      <c r="BV9" s="6"/>
      <c r="BW9" s="6"/>
      <c r="BX9" s="6"/>
      <c r="BY9" s="6"/>
    </row>
    <row r="10" spans="1:100" s="138" customFormat="1" ht="13.5" customHeight="1" x14ac:dyDescent="0.2">
      <c r="A10" s="219" t="s">
        <v>93</v>
      </c>
      <c r="B10" s="220"/>
      <c r="C10" s="11" t="s">
        <v>12</v>
      </c>
      <c r="D10" s="187"/>
      <c r="E10" s="188"/>
      <c r="F10" s="189"/>
      <c r="G10" s="192"/>
      <c r="H10" s="193"/>
      <c r="I10" s="215"/>
      <c r="J10" s="216"/>
      <c r="K10" s="10"/>
      <c r="L10" s="10"/>
      <c r="M10" s="10"/>
      <c r="N10" s="10"/>
      <c r="O10" s="10"/>
      <c r="P10" s="10"/>
      <c r="Q10" s="10"/>
      <c r="R10" s="10"/>
      <c r="S10" s="137"/>
      <c r="T10" s="137"/>
      <c r="U10" s="137"/>
      <c r="V10" s="137"/>
      <c r="W10" s="137"/>
      <c r="X10" s="137"/>
      <c r="Y10" s="137"/>
      <c r="Z10" s="137"/>
      <c r="AA10" s="137"/>
      <c r="AB10" s="137"/>
      <c r="AC10" s="137"/>
      <c r="AD10" s="137"/>
      <c r="AE10" s="137"/>
      <c r="AF10" s="137"/>
      <c r="AG10" s="137"/>
      <c r="BY10" s="6"/>
      <c r="BZ10" s="6"/>
      <c r="CA10" s="6"/>
      <c r="CB10" s="6"/>
      <c r="CC10" s="6"/>
      <c r="CD10" s="6"/>
      <c r="CE10" s="6"/>
      <c r="CF10" s="6"/>
    </row>
    <row r="11" spans="1:100" s="138" customFormat="1" ht="13.5" customHeight="1" x14ac:dyDescent="0.2">
      <c r="A11" s="185" t="s">
        <v>94</v>
      </c>
      <c r="B11" s="175"/>
      <c r="C11" s="142" t="s">
        <v>90</v>
      </c>
      <c r="D11" s="12" t="s">
        <v>6</v>
      </c>
      <c r="E11" s="13" t="s">
        <v>96</v>
      </c>
      <c r="F11" s="9" t="s">
        <v>15</v>
      </c>
      <c r="G11" s="14" t="s">
        <v>13</v>
      </c>
      <c r="H11" s="9" t="s">
        <v>97</v>
      </c>
      <c r="I11" s="20"/>
      <c r="J11" s="10"/>
      <c r="K11" s="10"/>
      <c r="L11" s="10"/>
      <c r="M11" s="10"/>
      <c r="N11" s="10"/>
      <c r="O11" s="10"/>
      <c r="P11" s="10"/>
      <c r="Q11" s="10"/>
      <c r="R11" s="10"/>
      <c r="S11" s="137"/>
      <c r="T11" s="137"/>
      <c r="U11" s="137"/>
      <c r="V11" s="137"/>
      <c r="W11" s="137"/>
      <c r="X11" s="137"/>
      <c r="Y11" s="137"/>
      <c r="Z11" s="137"/>
      <c r="AA11" s="137"/>
      <c r="AB11" s="137"/>
      <c r="AC11" s="137"/>
      <c r="AD11" s="137"/>
      <c r="AE11" s="137"/>
      <c r="AF11" s="137"/>
      <c r="AG11" s="137"/>
      <c r="BY11" s="6"/>
      <c r="BZ11" s="6"/>
      <c r="CA11" s="6"/>
      <c r="CB11" s="6"/>
      <c r="CC11" s="6"/>
      <c r="CD11" s="6"/>
      <c r="CE11" s="6"/>
      <c r="CF11" s="6"/>
    </row>
    <row r="12" spans="1:100" s="138" customFormat="1" ht="13.5" customHeight="1" thickBot="1" x14ac:dyDescent="0.25">
      <c r="A12" s="217" t="s">
        <v>102</v>
      </c>
      <c r="B12" s="218"/>
      <c r="C12" s="118">
        <v>24</v>
      </c>
      <c r="D12" s="124">
        <v>0.1</v>
      </c>
      <c r="E12" s="156">
        <v>0.08</v>
      </c>
      <c r="F12" s="125">
        <v>1.1299999999999999</v>
      </c>
      <c r="G12" s="126">
        <v>0.8</v>
      </c>
      <c r="H12" s="125">
        <v>0.65</v>
      </c>
      <c r="I12" s="143"/>
      <c r="J12" s="144"/>
      <c r="K12" s="10"/>
      <c r="L12" s="10"/>
      <c r="M12" s="10"/>
      <c r="N12" s="10"/>
      <c r="O12" s="10"/>
      <c r="P12" s="10"/>
      <c r="Q12" s="10"/>
      <c r="R12" s="10"/>
      <c r="S12" s="137"/>
      <c r="T12" s="137"/>
      <c r="U12" s="137"/>
      <c r="V12" s="137"/>
      <c r="W12" s="137"/>
      <c r="X12" s="137"/>
      <c r="Y12" s="137"/>
      <c r="Z12" s="137"/>
      <c r="AA12" s="137"/>
      <c r="AB12" s="137"/>
      <c r="AC12" s="137"/>
      <c r="AD12" s="137"/>
      <c r="AE12" s="137"/>
      <c r="AF12" s="137"/>
      <c r="AG12" s="137"/>
      <c r="BY12" s="6"/>
      <c r="BZ12" s="6"/>
      <c r="CA12" s="6"/>
      <c r="CB12" s="6"/>
      <c r="CC12" s="6"/>
      <c r="CD12" s="6"/>
      <c r="CE12" s="6"/>
      <c r="CF12" s="6"/>
    </row>
    <row r="13" spans="1:100" s="138" customFormat="1" ht="13.5" customHeight="1" thickBot="1" x14ac:dyDescent="0.25">
      <c r="A13" s="231"/>
      <c r="B13" s="231"/>
      <c r="C13" s="231"/>
      <c r="D13" s="231"/>
      <c r="E13" s="231"/>
      <c r="F13" s="231"/>
      <c r="G13" s="231"/>
      <c r="H13" s="231"/>
      <c r="I13" s="15"/>
      <c r="J13" s="231"/>
      <c r="K13" s="231"/>
      <c r="L13" s="231"/>
      <c r="M13" s="231"/>
      <c r="N13" s="231"/>
      <c r="O13" s="231"/>
      <c r="P13" s="231"/>
      <c r="Q13" s="231"/>
      <c r="R13" s="16"/>
      <c r="S13" s="16"/>
      <c r="T13" s="16"/>
      <c r="U13" s="16"/>
      <c r="V13" s="16"/>
      <c r="W13" s="16"/>
      <c r="X13" s="16"/>
      <c r="Y13" s="16"/>
      <c r="Z13" s="16"/>
      <c r="AA13" s="16"/>
      <c r="AB13" s="16"/>
      <c r="AC13" s="16"/>
      <c r="AD13" s="16"/>
      <c r="AE13" s="16"/>
      <c r="AF13" s="16"/>
      <c r="AG13" s="16"/>
      <c r="AH13" s="6"/>
      <c r="CO13" s="6"/>
      <c r="CP13" s="6"/>
      <c r="CQ13" s="6"/>
      <c r="CR13" s="6"/>
      <c r="CS13" s="6"/>
      <c r="CT13" s="6"/>
      <c r="CU13" s="6"/>
      <c r="CV13" s="6"/>
    </row>
    <row r="14" spans="1:100" s="138" customFormat="1" ht="13.5" customHeight="1" thickBot="1" x14ac:dyDescent="0.25">
      <c r="A14" s="177" t="s">
        <v>29</v>
      </c>
      <c r="B14" s="178"/>
      <c r="C14" s="178"/>
      <c r="D14" s="178"/>
      <c r="E14" s="178"/>
      <c r="F14" s="178"/>
      <c r="G14" s="178"/>
      <c r="H14" s="179"/>
      <c r="I14" s="17"/>
      <c r="J14" s="18"/>
      <c r="K14" s="10"/>
      <c r="L14" s="10"/>
      <c r="M14" s="10"/>
      <c r="N14" s="10"/>
      <c r="O14" s="10"/>
      <c r="P14" s="10"/>
      <c r="Q14" s="10"/>
      <c r="R14" s="10"/>
      <c r="S14" s="10"/>
      <c r="T14" s="10"/>
      <c r="U14" s="10"/>
      <c r="V14" s="10"/>
      <c r="W14" s="10"/>
      <c r="X14" s="10"/>
      <c r="Y14" s="6"/>
      <c r="Z14" s="6"/>
      <c r="AA14" s="6"/>
      <c r="CH14" s="6"/>
      <c r="CI14" s="6"/>
      <c r="CJ14" s="6"/>
      <c r="CK14" s="6"/>
      <c r="CL14" s="6"/>
      <c r="CM14" s="6"/>
      <c r="CN14" s="6"/>
      <c r="CO14" s="6"/>
    </row>
    <row r="15" spans="1:100" s="138" customFormat="1" ht="13.5" customHeight="1" x14ac:dyDescent="0.2">
      <c r="A15" s="113" t="s">
        <v>34</v>
      </c>
      <c r="B15" s="180" t="s">
        <v>108</v>
      </c>
      <c r="C15" s="19" t="s">
        <v>35</v>
      </c>
      <c r="D15" s="182" t="s">
        <v>106</v>
      </c>
      <c r="E15" s="182" t="s">
        <v>105</v>
      </c>
      <c r="F15" s="182" t="s">
        <v>104</v>
      </c>
      <c r="G15" s="182" t="s">
        <v>103</v>
      </c>
      <c r="H15" s="183" t="s">
        <v>36</v>
      </c>
      <c r="I15" s="20"/>
      <c r="J15" s="10"/>
      <c r="K15" s="10"/>
      <c r="L15" s="10"/>
      <c r="M15" s="10"/>
      <c r="N15" s="10"/>
      <c r="O15" s="10"/>
      <c r="P15" s="10"/>
      <c r="Q15" s="10"/>
      <c r="R15" s="10"/>
      <c r="S15" s="10"/>
      <c r="T15" s="10"/>
      <c r="U15" s="10"/>
      <c r="V15" s="10"/>
      <c r="W15" s="10"/>
      <c r="X15" s="10"/>
      <c r="Y15" s="6"/>
      <c r="Z15" s="6"/>
      <c r="CG15" s="6"/>
      <c r="CH15" s="6"/>
      <c r="CI15" s="6"/>
      <c r="CJ15" s="6"/>
      <c r="CK15" s="6"/>
      <c r="CL15" s="6"/>
      <c r="CM15" s="6"/>
      <c r="CN15" s="6"/>
    </row>
    <row r="16" spans="1:100" s="138" customFormat="1" ht="13.5" customHeight="1" x14ac:dyDescent="0.2">
      <c r="A16" s="145" t="s">
        <v>38</v>
      </c>
      <c r="B16" s="181"/>
      <c r="C16" s="21" t="s">
        <v>107</v>
      </c>
      <c r="D16" s="173"/>
      <c r="E16" s="173"/>
      <c r="F16" s="173"/>
      <c r="G16" s="173"/>
      <c r="H16" s="175"/>
      <c r="I16" s="20"/>
      <c r="J16" s="10"/>
      <c r="K16" s="10"/>
      <c r="L16" s="10"/>
      <c r="M16" s="10"/>
      <c r="N16" s="10"/>
      <c r="O16" s="10"/>
      <c r="P16" s="10"/>
      <c r="Q16" s="10"/>
      <c r="R16" s="10"/>
      <c r="S16" s="10"/>
      <c r="T16" s="10"/>
      <c r="U16" s="10"/>
      <c r="V16" s="10"/>
      <c r="W16" s="10"/>
      <c r="X16" s="10"/>
      <c r="Y16" s="6"/>
      <c r="Z16" s="6"/>
      <c r="CG16" s="6"/>
      <c r="CH16" s="6"/>
      <c r="CI16" s="6"/>
      <c r="CJ16" s="6"/>
      <c r="CK16" s="6"/>
      <c r="CL16" s="6"/>
      <c r="CM16" s="6"/>
      <c r="CN16" s="6"/>
    </row>
    <row r="17" spans="1:100" s="138" customFormat="1" ht="13.5" customHeight="1" x14ac:dyDescent="0.2">
      <c r="A17" s="127" t="s">
        <v>33</v>
      </c>
      <c r="B17" s="128" t="s">
        <v>33</v>
      </c>
      <c r="C17" s="128">
        <v>100</v>
      </c>
      <c r="D17" s="10">
        <f>HLOOKUP(B17,C220:K232,B8+1)</f>
        <v>37</v>
      </c>
      <c r="E17" s="22">
        <f>IF(AND(C12=24,A17="Y"),VLOOKUP(B17,A284:M292,C8+1),VLOOKUP(B17,A296:M304,C8+1))</f>
        <v>0.8</v>
      </c>
      <c r="F17" s="22">
        <f>IF(A17="Y",H12,G12)</f>
        <v>0.8</v>
      </c>
      <c r="G17" s="157">
        <v>1.1000000000000001</v>
      </c>
      <c r="H17" s="31">
        <f t="shared" ref="H17:H23" si="0">IF(ISERR(C17*D17*E17*F17*G17),0,(C17*D17*E17*F17*G17))</f>
        <v>2604.8000000000002</v>
      </c>
      <c r="I17" s="20"/>
      <c r="J17" s="10"/>
      <c r="K17" s="10"/>
      <c r="L17" s="10"/>
      <c r="M17" s="10"/>
      <c r="N17" s="10"/>
      <c r="O17" s="10"/>
      <c r="P17" s="10"/>
      <c r="Q17" s="10"/>
      <c r="R17" s="10"/>
      <c r="S17" s="10"/>
      <c r="T17" s="10"/>
      <c r="U17" s="10"/>
      <c r="V17" s="10"/>
      <c r="W17" s="10"/>
      <c r="X17" s="10"/>
      <c r="Y17" s="6"/>
      <c r="Z17" s="6"/>
      <c r="CG17" s="6"/>
      <c r="CH17" s="6"/>
      <c r="CI17" s="6"/>
      <c r="CJ17" s="6"/>
      <c r="CK17" s="6"/>
      <c r="CL17" s="6"/>
      <c r="CM17" s="6"/>
      <c r="CN17" s="6"/>
    </row>
    <row r="18" spans="1:100" s="138" customFormat="1" ht="13.5" customHeight="1" x14ac:dyDescent="0.2">
      <c r="A18" s="127" t="s">
        <v>33</v>
      </c>
      <c r="B18" s="128" t="s">
        <v>23</v>
      </c>
      <c r="C18" s="128">
        <v>100</v>
      </c>
      <c r="D18" s="10">
        <f>HLOOKUP(B18,C220:K232,B8+1)</f>
        <v>111</v>
      </c>
      <c r="E18" s="22">
        <f>IF(AND(C12=24,A18="Y"),VLOOKUP(B18,A284:M292,C8+1),VLOOKUP(B18,A296:M304,C8+1))</f>
        <v>0.45</v>
      </c>
      <c r="F18" s="22">
        <f>IF(A18="Y",H12,G12)</f>
        <v>0.8</v>
      </c>
      <c r="G18" s="22">
        <f>G17</f>
        <v>1.1000000000000001</v>
      </c>
      <c r="H18" s="31">
        <f t="shared" si="0"/>
        <v>4395.6000000000004</v>
      </c>
      <c r="I18" s="20"/>
      <c r="J18" s="10"/>
      <c r="K18" s="10"/>
      <c r="L18" s="10"/>
      <c r="M18" s="10"/>
      <c r="N18" s="10"/>
      <c r="O18" s="10"/>
      <c r="P18" s="10"/>
      <c r="Q18" s="10"/>
      <c r="R18" s="10"/>
      <c r="S18" s="10"/>
      <c r="T18" s="10"/>
      <c r="U18" s="10"/>
      <c r="V18" s="10"/>
      <c r="W18" s="10"/>
      <c r="X18" s="10"/>
      <c r="Y18" s="6"/>
      <c r="Z18" s="6"/>
      <c r="CG18" s="6"/>
      <c r="CH18" s="6"/>
      <c r="CI18" s="6"/>
      <c r="CJ18" s="6"/>
      <c r="CK18" s="6"/>
      <c r="CL18" s="6"/>
      <c r="CM18" s="6"/>
      <c r="CN18" s="6"/>
    </row>
    <row r="19" spans="1:100" s="138" customFormat="1" ht="13.5" customHeight="1" x14ac:dyDescent="0.2">
      <c r="A19" s="127" t="s">
        <v>33</v>
      </c>
      <c r="B19" s="128" t="s">
        <v>19</v>
      </c>
      <c r="C19" s="128">
        <v>100</v>
      </c>
      <c r="D19" s="10">
        <f>HLOOKUP(B19,C220:K232,B8+1)</f>
        <v>219</v>
      </c>
      <c r="E19" s="22">
        <f>IF(AND(C12=24,A19="Y"),VLOOKUP(B19,A284:M292,C8+1),VLOOKUP(B19,A296:M304,C8+1))</f>
        <v>0.2</v>
      </c>
      <c r="F19" s="22">
        <f>IF(A19="Y",H12,G12)</f>
        <v>0.8</v>
      </c>
      <c r="G19" s="22">
        <f>G17</f>
        <v>1.1000000000000001</v>
      </c>
      <c r="H19" s="31">
        <f t="shared" si="0"/>
        <v>3854.4</v>
      </c>
      <c r="I19" s="20"/>
      <c r="J19" s="10"/>
      <c r="K19" s="10"/>
      <c r="L19" s="10"/>
      <c r="M19" s="10"/>
      <c r="N19" s="10"/>
      <c r="O19" s="10"/>
      <c r="P19" s="10"/>
      <c r="Q19" s="10"/>
      <c r="R19" s="10"/>
      <c r="S19" s="10"/>
      <c r="T19" s="10"/>
      <c r="U19" s="10"/>
      <c r="V19" s="10"/>
      <c r="W19" s="10"/>
      <c r="X19" s="10"/>
      <c r="Y19" s="6"/>
      <c r="CG19" s="6"/>
      <c r="CH19" s="6"/>
      <c r="CI19" s="6"/>
      <c r="CJ19" s="6"/>
      <c r="CK19" s="6"/>
      <c r="CL19" s="6"/>
      <c r="CM19" s="6"/>
      <c r="CN19" s="6"/>
    </row>
    <row r="20" spans="1:100" s="138" customFormat="1" ht="13.5" customHeight="1" x14ac:dyDescent="0.2">
      <c r="A20" s="127" t="s">
        <v>33</v>
      </c>
      <c r="B20" s="128" t="s">
        <v>27</v>
      </c>
      <c r="C20" s="128">
        <v>100</v>
      </c>
      <c r="D20" s="10">
        <f>HLOOKUP(B20,C220:K232,B8+1)</f>
        <v>219</v>
      </c>
      <c r="E20" s="22">
        <f>IF(AND(C12=24,A20="Y"),VLOOKUP(B20,A284:M292,C8+1),VLOOKUP(B20,A296:M304,C8+1))</f>
        <v>0.48</v>
      </c>
      <c r="F20" s="22">
        <f>IF(A20="Y",H12,G12)</f>
        <v>0.8</v>
      </c>
      <c r="G20" s="22">
        <f>G17</f>
        <v>1.1000000000000001</v>
      </c>
      <c r="H20" s="31">
        <f t="shared" si="0"/>
        <v>9250.5600000000013</v>
      </c>
      <c r="I20" s="20"/>
      <c r="J20" s="10"/>
      <c r="K20" s="10"/>
      <c r="L20" s="10"/>
      <c r="M20" s="10"/>
      <c r="N20" s="10"/>
      <c r="O20" s="10"/>
      <c r="P20" s="10"/>
      <c r="Q20" s="10"/>
      <c r="R20" s="10"/>
      <c r="S20" s="10"/>
      <c r="T20" s="10"/>
      <c r="U20" s="10"/>
      <c r="V20" s="10"/>
      <c r="W20" s="10"/>
      <c r="X20" s="10"/>
      <c r="Y20" s="6"/>
      <c r="CG20" s="6"/>
      <c r="CH20" s="6"/>
      <c r="CI20" s="6"/>
      <c r="CJ20" s="6"/>
      <c r="CK20" s="6"/>
      <c r="CL20" s="6"/>
      <c r="CM20" s="6"/>
      <c r="CN20" s="6"/>
    </row>
    <row r="21" spans="1:100" s="138" customFormat="1" ht="13.5" customHeight="1" x14ac:dyDescent="0.2">
      <c r="A21" s="127" t="s">
        <v>33</v>
      </c>
      <c r="B21" s="128" t="s">
        <v>17</v>
      </c>
      <c r="C21" s="128">
        <v>100</v>
      </c>
      <c r="D21" s="10">
        <f>HLOOKUP(B21,C220:K232,B8+1)</f>
        <v>141</v>
      </c>
      <c r="E21" s="22">
        <f>IF(AND(C12=24,A21="Y"),VLOOKUP(B21,A284:M292,C8+1),VLOOKUP(B21,A296:M304,C8+1))</f>
        <v>0.17</v>
      </c>
      <c r="F21" s="22">
        <f>IF(A21="Y",H12,G12)</f>
        <v>0.8</v>
      </c>
      <c r="G21" s="22">
        <f>G17</f>
        <v>1.1000000000000001</v>
      </c>
      <c r="H21" s="31">
        <f t="shared" si="0"/>
        <v>2109.36</v>
      </c>
      <c r="I21" s="20"/>
      <c r="J21" s="10"/>
      <c r="K21" s="10"/>
      <c r="L21" s="10"/>
      <c r="M21" s="10"/>
      <c r="N21" s="10"/>
      <c r="O21" s="10"/>
      <c r="P21" s="10"/>
      <c r="Q21" s="10"/>
      <c r="R21" s="10"/>
      <c r="S21" s="10"/>
      <c r="T21" s="10"/>
      <c r="U21" s="10"/>
      <c r="V21" s="10"/>
      <c r="W21" s="10"/>
      <c r="X21" s="10"/>
      <c r="Y21" s="6"/>
      <c r="CG21" s="6"/>
      <c r="CH21" s="6"/>
      <c r="CI21" s="6"/>
      <c r="CJ21" s="6"/>
      <c r="CK21" s="6"/>
      <c r="CL21" s="6"/>
      <c r="CM21" s="6"/>
      <c r="CN21" s="6"/>
    </row>
    <row r="22" spans="1:100" s="138" customFormat="1" ht="13.5" customHeight="1" x14ac:dyDescent="0.2">
      <c r="A22" s="127" t="s">
        <v>33</v>
      </c>
      <c r="B22" s="128" t="s">
        <v>31</v>
      </c>
      <c r="C22" s="128">
        <v>100</v>
      </c>
      <c r="D22" s="10">
        <f>HLOOKUP(B22,C220:K232,B8+1)</f>
        <v>141</v>
      </c>
      <c r="E22" s="22">
        <f>IF(AND(C12=24,A22="Y"),VLOOKUP(B22,A284:M292,C8+1),VLOOKUP(B22,A296:M304,C8+1))</f>
        <v>0.4</v>
      </c>
      <c r="F22" s="22">
        <f>IF(A22="Y",H12,G12)</f>
        <v>0.8</v>
      </c>
      <c r="G22" s="22">
        <f>G17</f>
        <v>1.1000000000000001</v>
      </c>
      <c r="H22" s="31">
        <f t="shared" si="0"/>
        <v>4963.2000000000007</v>
      </c>
      <c r="I22" s="20"/>
      <c r="J22" s="10"/>
      <c r="K22" s="10"/>
      <c r="L22" s="10"/>
      <c r="M22" s="10"/>
      <c r="N22" s="10"/>
      <c r="O22" s="10"/>
      <c r="P22" s="10"/>
      <c r="Q22" s="10"/>
      <c r="R22" s="10"/>
      <c r="S22" s="10"/>
      <c r="T22" s="10"/>
      <c r="U22" s="10"/>
      <c r="V22" s="10"/>
      <c r="W22" s="10"/>
      <c r="X22" s="10"/>
      <c r="Y22" s="6"/>
      <c r="CG22" s="6"/>
      <c r="CH22" s="6"/>
      <c r="CI22" s="6"/>
      <c r="CJ22" s="6"/>
      <c r="CK22" s="6"/>
      <c r="CL22" s="6"/>
      <c r="CM22" s="6"/>
      <c r="CN22" s="6"/>
    </row>
    <row r="23" spans="1:100" s="138" customFormat="1" ht="13.5" customHeight="1" x14ac:dyDescent="0.2">
      <c r="A23" s="114" t="s">
        <v>42</v>
      </c>
      <c r="B23" s="21" t="s">
        <v>112</v>
      </c>
      <c r="C23" s="129">
        <v>100</v>
      </c>
      <c r="D23" s="21">
        <f>HLOOKUP(B23,C220:K232,B8+1)</f>
        <v>225</v>
      </c>
      <c r="E23" s="24">
        <v>1</v>
      </c>
      <c r="F23" s="24">
        <v>1</v>
      </c>
      <c r="G23" s="24">
        <f>G17</f>
        <v>1.1000000000000001</v>
      </c>
      <c r="H23" s="25">
        <f t="shared" si="0"/>
        <v>24750.000000000004</v>
      </c>
      <c r="I23" s="20"/>
      <c r="J23" s="10"/>
      <c r="K23" s="10"/>
      <c r="L23" s="10"/>
      <c r="M23" s="10"/>
      <c r="N23" s="10"/>
      <c r="O23" s="10"/>
      <c r="P23" s="10"/>
      <c r="Q23" s="10"/>
      <c r="R23" s="10"/>
      <c r="S23" s="10"/>
      <c r="T23" s="10"/>
      <c r="U23" s="10"/>
      <c r="V23" s="10"/>
      <c r="W23" s="10"/>
      <c r="X23" s="10"/>
      <c r="Y23" s="6"/>
      <c r="CG23" s="6"/>
      <c r="CH23" s="6"/>
      <c r="CI23" s="6"/>
      <c r="CJ23" s="6"/>
      <c r="CK23" s="6"/>
      <c r="CL23" s="6"/>
      <c r="CM23" s="6"/>
      <c r="CN23" s="6"/>
    </row>
    <row r="24" spans="1:100" s="138" customFormat="1" ht="13.5" customHeight="1" thickBot="1" x14ac:dyDescent="0.25">
      <c r="A24" s="168" t="s">
        <v>100</v>
      </c>
      <c r="B24" s="169"/>
      <c r="C24" s="169"/>
      <c r="D24" s="169"/>
      <c r="E24" s="169"/>
      <c r="F24" s="169"/>
      <c r="G24" s="169"/>
      <c r="H24" s="33">
        <f>SUM(H17:H23)</f>
        <v>51927.920000000006</v>
      </c>
      <c r="I24" s="20"/>
      <c r="J24" s="10"/>
      <c r="K24" s="10"/>
      <c r="L24" s="10"/>
      <c r="M24" s="10"/>
      <c r="N24" s="10"/>
      <c r="O24" s="10"/>
      <c r="P24" s="10"/>
      <c r="Q24" s="10"/>
      <c r="R24" s="10"/>
      <c r="S24" s="10"/>
      <c r="T24" s="10"/>
      <c r="U24" s="10"/>
      <c r="V24" s="10"/>
      <c r="W24" s="10"/>
      <c r="X24" s="10"/>
      <c r="Y24" s="6"/>
      <c r="CG24" s="6"/>
      <c r="CH24" s="6"/>
      <c r="CI24" s="6"/>
      <c r="CJ24" s="6"/>
      <c r="CK24" s="6"/>
      <c r="CL24" s="6"/>
      <c r="CM24" s="6"/>
      <c r="CN24" s="6"/>
    </row>
    <row r="25" spans="1:100" s="138" customFormat="1" ht="13.5" customHeight="1" thickBo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6"/>
      <c r="Z25" s="6"/>
      <c r="AA25" s="6"/>
      <c r="AB25" s="6"/>
      <c r="AC25" s="6"/>
      <c r="AD25" s="6"/>
      <c r="AE25" s="6"/>
      <c r="AF25" s="6"/>
      <c r="AG25" s="6"/>
      <c r="CO25" s="6"/>
      <c r="CP25" s="6"/>
      <c r="CQ25" s="6"/>
      <c r="CR25" s="6"/>
      <c r="CS25" s="6"/>
      <c r="CT25" s="6"/>
      <c r="CU25" s="6"/>
      <c r="CV25" s="6"/>
    </row>
    <row r="26" spans="1:100" s="138" customFormat="1" ht="13.5" customHeight="1" thickBot="1" x14ac:dyDescent="0.25">
      <c r="A26" s="224" t="s">
        <v>43</v>
      </c>
      <c r="B26" s="225"/>
      <c r="C26" s="225"/>
      <c r="D26" s="225"/>
      <c r="E26" s="225"/>
      <c r="F26" s="225"/>
      <c r="G26" s="225"/>
      <c r="H26" s="226"/>
      <c r="I26" s="18"/>
      <c r="J26" s="137"/>
      <c r="K26" s="137"/>
      <c r="L26" s="137"/>
      <c r="M26" s="137"/>
      <c r="N26" s="137"/>
      <c r="O26" s="137"/>
      <c r="P26" s="137"/>
      <c r="Q26" s="10"/>
      <c r="R26" s="10"/>
      <c r="S26" s="10"/>
      <c r="T26" s="10"/>
      <c r="U26" s="10"/>
      <c r="V26" s="10"/>
      <c r="W26" s="10"/>
      <c r="X26" s="10"/>
      <c r="Y26" s="10"/>
      <c r="Z26" s="6"/>
      <c r="CG26" s="6"/>
      <c r="CH26" s="6"/>
      <c r="CI26" s="6"/>
      <c r="CJ26" s="6"/>
      <c r="CK26" s="6"/>
      <c r="CL26" s="6"/>
      <c r="CM26" s="6"/>
      <c r="CN26" s="6"/>
    </row>
    <row r="27" spans="1:100" s="138" customFormat="1" ht="13.5" customHeight="1" x14ac:dyDescent="0.2">
      <c r="A27" s="222"/>
      <c r="B27" s="223" t="s">
        <v>108</v>
      </c>
      <c r="C27" s="26" t="s">
        <v>35</v>
      </c>
      <c r="D27" s="172" t="s">
        <v>109</v>
      </c>
      <c r="E27" s="172" t="s">
        <v>111</v>
      </c>
      <c r="F27" s="223" t="s">
        <v>110</v>
      </c>
      <c r="G27" s="172" t="s">
        <v>103</v>
      </c>
      <c r="H27" s="174" t="s">
        <v>36</v>
      </c>
      <c r="I27" s="10"/>
      <c r="J27" s="137"/>
      <c r="K27" s="137"/>
      <c r="L27" s="137"/>
      <c r="M27" s="137"/>
      <c r="N27" s="137"/>
      <c r="O27" s="137"/>
      <c r="P27" s="137"/>
      <c r="Q27" s="10"/>
      <c r="R27" s="10"/>
      <c r="S27" s="10"/>
      <c r="T27" s="10"/>
      <c r="U27" s="10"/>
      <c r="V27" s="137"/>
      <c r="W27" s="137"/>
      <c r="X27" s="137"/>
      <c r="Y27" s="137"/>
      <c r="CB27" s="6"/>
      <c r="CC27" s="6"/>
      <c r="CD27" s="6"/>
      <c r="CE27" s="6"/>
      <c r="CF27" s="6"/>
      <c r="CG27" s="6"/>
      <c r="CH27" s="6"/>
      <c r="CI27" s="6"/>
    </row>
    <row r="28" spans="1:100" s="138" customFormat="1" ht="13.5" customHeight="1" x14ac:dyDescent="0.2">
      <c r="A28" s="185"/>
      <c r="B28" s="181"/>
      <c r="C28" s="21" t="s">
        <v>107</v>
      </c>
      <c r="D28" s="173"/>
      <c r="E28" s="173"/>
      <c r="F28" s="181"/>
      <c r="G28" s="173"/>
      <c r="H28" s="175"/>
      <c r="I28" s="10"/>
      <c r="J28" s="137"/>
      <c r="K28" s="137"/>
      <c r="L28" s="137"/>
      <c r="M28" s="137"/>
      <c r="N28" s="137"/>
      <c r="O28" s="137"/>
      <c r="P28" s="137"/>
      <c r="Q28" s="10"/>
      <c r="R28" s="10"/>
      <c r="S28" s="10"/>
      <c r="T28" s="10"/>
      <c r="U28" s="10"/>
      <c r="V28" s="137"/>
      <c r="W28" s="137"/>
      <c r="X28" s="137"/>
      <c r="Y28" s="137"/>
      <c r="CB28" s="6"/>
      <c r="CC28" s="6"/>
      <c r="CD28" s="6"/>
      <c r="CE28" s="6"/>
      <c r="CF28" s="6"/>
      <c r="CG28" s="6"/>
      <c r="CH28" s="6"/>
      <c r="CI28" s="6"/>
    </row>
    <row r="29" spans="1:100" s="138" customFormat="1" ht="13.5" customHeight="1" x14ac:dyDescent="0.2">
      <c r="A29" s="30" t="s">
        <v>44</v>
      </c>
      <c r="B29" s="128" t="s">
        <v>33</v>
      </c>
      <c r="C29" s="10">
        <v>100</v>
      </c>
      <c r="D29" s="10">
        <f>IF(ISERR(VLOOKUP(B29,A208:M217,C8+1)),0,VLOOKUP(B29,A208:M217,C8+1))</f>
        <v>11</v>
      </c>
      <c r="E29" s="10">
        <f>(D8-G8)-12</f>
        <v>10</v>
      </c>
      <c r="F29" s="22">
        <f>IF(ISERR(D12),0,(D12))</f>
        <v>0.1</v>
      </c>
      <c r="G29" s="22">
        <f>G17</f>
        <v>1.1000000000000001</v>
      </c>
      <c r="H29" s="31">
        <f>IF(ISERR(C29*F29*G29*(D29+E29)),0,(C29*F29*G29*(D29+E29)))</f>
        <v>231</v>
      </c>
      <c r="I29" s="10"/>
      <c r="J29" s="137"/>
      <c r="K29" s="137"/>
      <c r="L29" s="137"/>
      <c r="M29" s="137"/>
      <c r="N29" s="137"/>
      <c r="O29" s="137"/>
      <c r="P29" s="137"/>
      <c r="Q29" s="10"/>
      <c r="R29" s="10"/>
      <c r="S29" s="137"/>
      <c r="T29" s="137"/>
      <c r="U29" s="137"/>
      <c r="V29" s="137"/>
      <c r="W29" s="137"/>
      <c r="X29" s="137"/>
      <c r="Y29" s="137"/>
      <c r="BY29" s="6"/>
      <c r="BZ29" s="6"/>
      <c r="CA29" s="6"/>
      <c r="CB29" s="6"/>
      <c r="CC29" s="6"/>
      <c r="CD29" s="6"/>
      <c r="CE29" s="6"/>
      <c r="CF29" s="6"/>
    </row>
    <row r="30" spans="1:100" s="138" customFormat="1" ht="13.5" customHeight="1" x14ac:dyDescent="0.2">
      <c r="A30" s="30" t="s">
        <v>44</v>
      </c>
      <c r="B30" s="128" t="s">
        <v>23</v>
      </c>
      <c r="C30" s="10">
        <v>100</v>
      </c>
      <c r="D30" s="10">
        <f>IF(ISERR(VLOOKUP(B30,A208:M217,C8+1)),0,VLOOKUP(B30,A208:M217,C8+1))</f>
        <v>23</v>
      </c>
      <c r="E30" s="10">
        <f>(D8-G8)-12</f>
        <v>10</v>
      </c>
      <c r="F30" s="22">
        <f>IF(ISERR($D$12),0,($D$12))</f>
        <v>0.1</v>
      </c>
      <c r="G30" s="22">
        <f>G17</f>
        <v>1.1000000000000001</v>
      </c>
      <c r="H30" s="31">
        <f>IF(ISERR(C30*F30*G30*(D30+E30)),0,(C30*F30*G30*(D30+E30)))</f>
        <v>363</v>
      </c>
      <c r="I30" s="10"/>
      <c r="J30" s="137"/>
      <c r="K30" s="137"/>
      <c r="L30" s="137"/>
      <c r="M30" s="137"/>
      <c r="N30" s="137"/>
      <c r="O30" s="137"/>
      <c r="P30" s="137"/>
      <c r="Q30" s="10"/>
      <c r="R30" s="10"/>
      <c r="S30" s="137"/>
      <c r="T30" s="137"/>
      <c r="U30" s="137"/>
      <c r="V30" s="137"/>
      <c r="W30" s="137"/>
      <c r="X30" s="137"/>
      <c r="Y30" s="137"/>
      <c r="BY30" s="6"/>
      <c r="BZ30" s="6"/>
      <c r="CA30" s="6"/>
      <c r="CB30" s="6"/>
      <c r="CC30" s="6"/>
      <c r="CD30" s="6"/>
      <c r="CE30" s="6"/>
      <c r="CF30" s="6"/>
    </row>
    <row r="31" spans="1:100" s="138" customFormat="1" ht="13.5" customHeight="1" x14ac:dyDescent="0.2">
      <c r="A31" s="30" t="s">
        <v>44</v>
      </c>
      <c r="B31" s="128" t="s">
        <v>19</v>
      </c>
      <c r="C31" s="10">
        <v>100</v>
      </c>
      <c r="D31" s="10">
        <f>IF(ISERR(VLOOKUP(B31,A208:M217,C8+1)),0,VLOOKUP(B31,A208:M217,C8+1))</f>
        <v>13</v>
      </c>
      <c r="E31" s="10">
        <f>(D8-G8)-12</f>
        <v>10</v>
      </c>
      <c r="F31" s="22">
        <f>IF(ISERR(D12),0,(D12))</f>
        <v>0.1</v>
      </c>
      <c r="G31" s="22">
        <f>G17</f>
        <v>1.1000000000000001</v>
      </c>
      <c r="H31" s="31">
        <f>IF(ISERR(C31*F31*G31*(D31+E31)),0,(C31*F31*G31*(D31+E31)))</f>
        <v>253</v>
      </c>
      <c r="I31" s="10"/>
      <c r="J31" s="137"/>
      <c r="K31" s="137"/>
      <c r="L31" s="137"/>
      <c r="M31" s="137"/>
      <c r="N31" s="137"/>
      <c r="O31" s="137"/>
      <c r="P31" s="137"/>
      <c r="Q31" s="10"/>
      <c r="R31" s="10"/>
      <c r="S31" s="137"/>
      <c r="T31" s="137"/>
      <c r="U31" s="137"/>
      <c r="V31" s="137"/>
      <c r="W31" s="137"/>
      <c r="X31" s="137"/>
      <c r="Y31" s="137"/>
      <c r="BY31" s="6"/>
      <c r="BZ31" s="6"/>
      <c r="CA31" s="6"/>
      <c r="CB31" s="6"/>
      <c r="CC31" s="6"/>
      <c r="CD31" s="6"/>
      <c r="CE31" s="6"/>
      <c r="CF31" s="6"/>
    </row>
    <row r="32" spans="1:100" s="138" customFormat="1" ht="13.5" customHeight="1" x14ac:dyDescent="0.2">
      <c r="A32" s="30" t="s">
        <v>44</v>
      </c>
      <c r="B32" s="128" t="s">
        <v>27</v>
      </c>
      <c r="C32" s="10">
        <v>100</v>
      </c>
      <c r="D32" s="10">
        <f>IF(ISERR(VLOOKUP(B32,A208:M217,C8+1)),0,VLOOKUP(B32,A208:M217,C8+1))</f>
        <v>34</v>
      </c>
      <c r="E32" s="10">
        <f>(D8-G8)-12</f>
        <v>10</v>
      </c>
      <c r="F32" s="22">
        <f>IF(ISERR(D12),0,(D12))</f>
        <v>0.1</v>
      </c>
      <c r="G32" s="22">
        <f>G17</f>
        <v>1.1000000000000001</v>
      </c>
      <c r="H32" s="31">
        <f>IF(ISERR(C32*F32*G32*(D32+E32)),0,(C32*F32*G32*(D32+E32)))</f>
        <v>484</v>
      </c>
      <c r="I32" s="10"/>
      <c r="J32" s="137"/>
      <c r="K32" s="137"/>
      <c r="L32" s="137"/>
      <c r="M32" s="137"/>
      <c r="N32" s="137"/>
      <c r="O32" s="137"/>
      <c r="P32" s="137"/>
      <c r="Q32" s="10"/>
      <c r="R32" s="10"/>
      <c r="S32" s="137"/>
      <c r="T32" s="137"/>
      <c r="U32" s="137"/>
      <c r="V32" s="137"/>
      <c r="W32" s="137"/>
      <c r="X32" s="137"/>
      <c r="Y32" s="137"/>
      <c r="BY32" s="6"/>
      <c r="BZ32" s="6"/>
      <c r="CA32" s="6"/>
      <c r="CB32" s="6"/>
      <c r="CC32" s="6"/>
      <c r="CD32" s="6"/>
      <c r="CE32" s="6"/>
      <c r="CF32" s="6"/>
    </row>
    <row r="33" spans="1:100" s="138" customFormat="1" ht="13.5" customHeight="1" x14ac:dyDescent="0.2">
      <c r="A33" s="30" t="s">
        <v>46</v>
      </c>
      <c r="B33" s="10" t="s">
        <v>112</v>
      </c>
      <c r="C33" s="10">
        <v>100</v>
      </c>
      <c r="D33" s="10">
        <f>IF(ISERR(VLOOKUP(B33,A208:M217,C8+1)),0,VLOOKUP(B33,A208:M217,C8+1))</f>
        <v>43</v>
      </c>
      <c r="E33" s="10">
        <f>(D8-G8)-12</f>
        <v>10</v>
      </c>
      <c r="F33" s="22">
        <f>IF(ISERR(E12),0,(E12/2))</f>
        <v>0.04</v>
      </c>
      <c r="G33" s="22">
        <f>G17</f>
        <v>1.1000000000000001</v>
      </c>
      <c r="H33" s="31">
        <f>IF(ISERR(C33*F33*G33*(D33+E33)),0,(C33*F33*G33*(D33+E33)))</f>
        <v>233.20000000000002</v>
      </c>
      <c r="I33" s="10"/>
      <c r="J33" s="137"/>
      <c r="K33" s="137"/>
      <c r="L33" s="137"/>
      <c r="M33" s="137"/>
      <c r="N33" s="137"/>
      <c r="O33" s="137"/>
      <c r="P33" s="137"/>
      <c r="Q33" s="10"/>
      <c r="R33" s="10"/>
      <c r="S33" s="137"/>
      <c r="T33" s="137"/>
      <c r="U33" s="137"/>
      <c r="V33" s="137"/>
      <c r="W33" s="137"/>
      <c r="X33" s="137"/>
      <c r="Y33" s="137"/>
      <c r="BY33" s="6"/>
      <c r="BZ33" s="6"/>
      <c r="CA33" s="6"/>
      <c r="CB33" s="6"/>
      <c r="CC33" s="6"/>
      <c r="CD33" s="6"/>
      <c r="CE33" s="6"/>
      <c r="CF33" s="6"/>
    </row>
    <row r="34" spans="1:100" s="138" customFormat="1" ht="13.5" customHeight="1" x14ac:dyDescent="0.2">
      <c r="A34" s="30" t="s">
        <v>48</v>
      </c>
      <c r="B34" s="137"/>
      <c r="C34" s="10">
        <f>SUM(C17:C23)</f>
        <v>700</v>
      </c>
      <c r="D34" s="10">
        <f>(D8-G8)</f>
        <v>22</v>
      </c>
      <c r="E34" s="22"/>
      <c r="F34" s="22">
        <f>(F12)</f>
        <v>1.1299999999999999</v>
      </c>
      <c r="G34" s="22">
        <f>G17</f>
        <v>1.1000000000000001</v>
      </c>
      <c r="H34" s="31">
        <f>IF(ISERR(C34*D34*F34*G34),0,(C34*D34*F34*G34))</f>
        <v>19142.2</v>
      </c>
      <c r="I34" s="10"/>
      <c r="J34" s="137"/>
      <c r="K34" s="137"/>
      <c r="L34" s="137"/>
      <c r="M34" s="137"/>
      <c r="N34" s="137"/>
      <c r="O34" s="137"/>
      <c r="P34" s="137"/>
      <c r="Q34" s="10"/>
      <c r="R34" s="10"/>
      <c r="S34" s="137"/>
      <c r="T34" s="137"/>
      <c r="U34" s="137"/>
      <c r="V34" s="137"/>
      <c r="W34" s="137"/>
      <c r="X34" s="137"/>
      <c r="Y34" s="137"/>
      <c r="BY34" s="6"/>
      <c r="BZ34" s="6"/>
      <c r="CA34" s="6"/>
      <c r="CB34" s="6"/>
      <c r="CC34" s="6"/>
      <c r="CD34" s="6"/>
      <c r="CE34" s="6"/>
      <c r="CF34" s="6"/>
    </row>
    <row r="35" spans="1:100" s="138" customFormat="1" ht="13.5" customHeight="1" x14ac:dyDescent="0.2">
      <c r="A35" s="32" t="s">
        <v>49</v>
      </c>
      <c r="B35" s="146"/>
      <c r="C35" s="21">
        <v>100</v>
      </c>
      <c r="D35" s="129">
        <v>10</v>
      </c>
      <c r="E35" s="24"/>
      <c r="F35" s="158">
        <v>0.2</v>
      </c>
      <c r="G35" s="24">
        <f>G17</f>
        <v>1.1000000000000001</v>
      </c>
      <c r="H35" s="25">
        <f>IF(ISERR(C35*D35*F35*G35),0,(C35*D35*F35*G35))</f>
        <v>220.00000000000003</v>
      </c>
      <c r="I35" s="10"/>
      <c r="J35" s="137"/>
      <c r="K35" s="137"/>
      <c r="L35" s="137"/>
      <c r="M35" s="137"/>
      <c r="N35" s="137"/>
      <c r="O35" s="137"/>
      <c r="P35" s="137"/>
      <c r="Q35" s="10"/>
      <c r="R35" s="10"/>
      <c r="S35" s="137"/>
      <c r="T35" s="137"/>
      <c r="U35" s="137"/>
      <c r="V35" s="137"/>
      <c r="W35" s="137"/>
      <c r="X35" s="137"/>
      <c r="Y35" s="137"/>
      <c r="BY35" s="6"/>
      <c r="BZ35" s="6"/>
      <c r="CA35" s="6"/>
      <c r="CB35" s="6"/>
      <c r="CC35" s="6"/>
      <c r="CD35" s="6"/>
      <c r="CE35" s="6"/>
      <c r="CF35" s="6"/>
    </row>
    <row r="36" spans="1:100" s="138" customFormat="1" ht="13.5" customHeight="1" thickBot="1" x14ac:dyDescent="0.25">
      <c r="A36" s="168" t="s">
        <v>100</v>
      </c>
      <c r="B36" s="169"/>
      <c r="C36" s="169"/>
      <c r="D36" s="169"/>
      <c r="E36" s="169"/>
      <c r="F36" s="169"/>
      <c r="G36" s="169"/>
      <c r="H36" s="33">
        <f>SUM(H29:H35)</f>
        <v>20926.400000000001</v>
      </c>
      <c r="I36" s="10"/>
      <c r="J36" s="137"/>
      <c r="K36" s="137"/>
      <c r="L36" s="137"/>
      <c r="M36" s="137"/>
      <c r="N36" s="137"/>
      <c r="O36" s="137"/>
      <c r="P36" s="137"/>
      <c r="Q36" s="10"/>
      <c r="R36" s="10"/>
      <c r="S36" s="137"/>
      <c r="T36" s="137"/>
      <c r="U36" s="137"/>
      <c r="V36" s="137"/>
      <c r="W36" s="137"/>
      <c r="X36" s="137"/>
      <c r="Y36" s="137"/>
      <c r="BY36" s="6"/>
      <c r="BZ36" s="6"/>
      <c r="CA36" s="6"/>
      <c r="CB36" s="6"/>
      <c r="CC36" s="6"/>
      <c r="CD36" s="6"/>
      <c r="CE36" s="6"/>
      <c r="CF36" s="6"/>
    </row>
    <row r="37" spans="1:100" s="138" customFormat="1" ht="13.5" customHeight="1" thickBot="1" x14ac:dyDescent="0.25">
      <c r="A37" s="10"/>
      <c r="B37" s="10"/>
      <c r="C37" s="10"/>
      <c r="D37" s="10"/>
      <c r="E37" s="10"/>
      <c r="F37" s="10"/>
      <c r="G37" s="10"/>
      <c r="H37" s="10"/>
      <c r="I37" s="10"/>
      <c r="J37" s="137"/>
      <c r="K37" s="137"/>
      <c r="L37" s="137"/>
      <c r="M37" s="137"/>
      <c r="N37" s="137"/>
      <c r="O37" s="137"/>
      <c r="P37" s="137"/>
      <c r="Q37" s="10"/>
      <c r="R37" s="10"/>
      <c r="S37" s="10"/>
      <c r="T37" s="10"/>
      <c r="U37" s="10"/>
      <c r="V37" s="10"/>
      <c r="W37" s="10"/>
      <c r="X37" s="10"/>
      <c r="Y37" s="6"/>
      <c r="Z37" s="6"/>
      <c r="AA37" s="6"/>
      <c r="AB37" s="6"/>
      <c r="AC37" s="6"/>
      <c r="AD37" s="6"/>
      <c r="AE37" s="6"/>
      <c r="AF37" s="6"/>
      <c r="AG37" s="6"/>
      <c r="CN37" s="6"/>
      <c r="CO37" s="6"/>
      <c r="CP37" s="6"/>
      <c r="CQ37" s="6"/>
      <c r="CR37" s="6"/>
      <c r="CS37" s="6"/>
      <c r="CT37" s="6"/>
      <c r="CU37" s="6"/>
    </row>
    <row r="38" spans="1:100" s="138" customFormat="1" ht="13.5" customHeight="1" thickBot="1" x14ac:dyDescent="0.25">
      <c r="A38" s="224" t="s">
        <v>50</v>
      </c>
      <c r="B38" s="225"/>
      <c r="C38" s="225"/>
      <c r="D38" s="225"/>
      <c r="E38" s="225"/>
      <c r="F38" s="225"/>
      <c r="G38" s="225"/>
      <c r="H38" s="226"/>
      <c r="I38" s="137"/>
      <c r="J38" s="137"/>
      <c r="K38" s="137"/>
      <c r="L38" s="137"/>
      <c r="M38" s="137"/>
      <c r="N38" s="137"/>
      <c r="O38" s="137"/>
      <c r="P38" s="137"/>
      <c r="Q38" s="10"/>
      <c r="R38" s="10"/>
      <c r="S38" s="10"/>
      <c r="T38" s="10"/>
      <c r="U38" s="10"/>
      <c r="V38" s="10"/>
      <c r="W38" s="10"/>
      <c r="X38" s="10"/>
      <c r="CF38" s="6"/>
      <c r="CG38" s="6"/>
      <c r="CH38" s="6"/>
      <c r="CI38" s="6"/>
      <c r="CJ38" s="6"/>
      <c r="CK38" s="6"/>
      <c r="CL38" s="6"/>
      <c r="CM38" s="6"/>
    </row>
    <row r="39" spans="1:100" s="138" customFormat="1" ht="13.5" customHeight="1" x14ac:dyDescent="0.2">
      <c r="A39" s="222"/>
      <c r="B39" s="223"/>
      <c r="C39" s="172" t="s">
        <v>115</v>
      </c>
      <c r="D39" s="172" t="s">
        <v>113</v>
      </c>
      <c r="E39" s="172" t="s">
        <v>114</v>
      </c>
      <c r="F39" s="182" t="s">
        <v>133</v>
      </c>
      <c r="G39" s="172" t="s">
        <v>103</v>
      </c>
      <c r="H39" s="174" t="s">
        <v>36</v>
      </c>
      <c r="I39" s="137"/>
      <c r="J39" s="137"/>
      <c r="K39" s="137"/>
      <c r="L39" s="137"/>
      <c r="M39" s="137"/>
      <c r="N39" s="137"/>
      <c r="O39" s="137"/>
      <c r="P39" s="137"/>
      <c r="Q39" s="10"/>
      <c r="R39" s="137"/>
      <c r="S39" s="137"/>
      <c r="T39" s="137"/>
      <c r="U39" s="137"/>
      <c r="V39" s="137"/>
      <c r="W39" s="137"/>
      <c r="X39" s="137"/>
      <c r="BY39" s="6"/>
      <c r="BZ39" s="6"/>
      <c r="CA39" s="6"/>
      <c r="CB39" s="6"/>
      <c r="CC39" s="6"/>
      <c r="CD39" s="6"/>
      <c r="CE39" s="6"/>
      <c r="CF39" s="6"/>
    </row>
    <row r="40" spans="1:100" s="138" customFormat="1" ht="13.5" customHeight="1" x14ac:dyDescent="0.2">
      <c r="A40" s="185"/>
      <c r="B40" s="181"/>
      <c r="C40" s="173"/>
      <c r="D40" s="173"/>
      <c r="E40" s="173"/>
      <c r="F40" s="173"/>
      <c r="G40" s="173"/>
      <c r="H40" s="175"/>
      <c r="I40" s="137"/>
      <c r="J40" s="137"/>
      <c r="K40" s="137"/>
      <c r="L40" s="137"/>
      <c r="M40" s="137"/>
      <c r="N40" s="137"/>
      <c r="O40" s="137"/>
      <c r="P40" s="137"/>
      <c r="Q40" s="10"/>
      <c r="R40" s="137"/>
      <c r="S40" s="137"/>
      <c r="T40" s="137"/>
      <c r="U40" s="137"/>
      <c r="V40" s="137"/>
      <c r="W40" s="137"/>
      <c r="X40" s="137"/>
      <c r="BY40" s="6"/>
      <c r="BZ40" s="6"/>
      <c r="CA40" s="6"/>
      <c r="CB40" s="6"/>
      <c r="CC40" s="6"/>
      <c r="CD40" s="6"/>
      <c r="CE40" s="6"/>
      <c r="CF40" s="6"/>
    </row>
    <row r="41" spans="1:100" s="138" customFormat="1" ht="13.5" customHeight="1" x14ac:dyDescent="0.2">
      <c r="A41" s="196" t="s">
        <v>116</v>
      </c>
      <c r="B41" s="197"/>
      <c r="C41" s="128">
        <v>10</v>
      </c>
      <c r="D41" s="198">
        <v>250</v>
      </c>
      <c r="E41" s="198"/>
      <c r="F41" s="198"/>
      <c r="G41" s="22">
        <f>G17</f>
        <v>1.1000000000000001</v>
      </c>
      <c r="H41" s="31">
        <f>IF(ISERR(C41*D41*G41),0,(C41*D41*G41))</f>
        <v>2750</v>
      </c>
      <c r="I41" s="137"/>
      <c r="J41" s="137"/>
      <c r="K41" s="137"/>
      <c r="L41" s="137"/>
      <c r="M41" s="137"/>
      <c r="N41" s="137"/>
      <c r="O41" s="137"/>
      <c r="P41" s="137"/>
      <c r="Q41" s="10"/>
      <c r="R41" s="10"/>
      <c r="S41" s="137"/>
      <c r="T41" s="137"/>
      <c r="U41" s="137"/>
      <c r="V41" s="137"/>
      <c r="W41" s="137"/>
      <c r="X41" s="137"/>
      <c r="BY41" s="6"/>
      <c r="BZ41" s="6"/>
      <c r="CA41" s="6"/>
      <c r="CB41" s="6"/>
      <c r="CC41" s="6"/>
      <c r="CD41" s="6"/>
      <c r="CE41" s="6"/>
      <c r="CF41" s="6"/>
    </row>
    <row r="42" spans="1:100" s="138" customFormat="1" ht="13.5" customHeight="1" x14ac:dyDescent="0.2">
      <c r="A42" s="196" t="s">
        <v>117</v>
      </c>
      <c r="B42" s="197"/>
      <c r="C42" s="159">
        <v>1000</v>
      </c>
      <c r="D42" s="157">
        <v>2</v>
      </c>
      <c r="E42" s="40">
        <v>3.4129999999999998</v>
      </c>
      <c r="F42" s="38">
        <v>0.8</v>
      </c>
      <c r="G42" s="22">
        <f>G17</f>
        <v>1.1000000000000001</v>
      </c>
      <c r="H42" s="31">
        <f>IF(ISERR(C42*D42*E42*F42*G42),0,(C42*D42*E42*F42*G42))</f>
        <v>6006.880000000001</v>
      </c>
      <c r="I42" s="137"/>
      <c r="J42" s="137"/>
      <c r="K42" s="137"/>
      <c r="L42" s="137"/>
      <c r="M42" s="137"/>
      <c r="N42" s="137"/>
      <c r="O42" s="137"/>
      <c r="P42" s="137"/>
      <c r="Q42" s="137"/>
      <c r="R42" s="137"/>
      <c r="S42" s="137"/>
      <c r="T42" s="137"/>
      <c r="U42" s="137"/>
      <c r="V42" s="137"/>
      <c r="W42" s="137"/>
      <c r="X42" s="137"/>
      <c r="Y42" s="6"/>
      <c r="CF42" s="6"/>
      <c r="CG42" s="6"/>
      <c r="CH42" s="6"/>
      <c r="CI42" s="6"/>
      <c r="CJ42" s="6"/>
      <c r="CK42" s="6"/>
      <c r="CL42" s="6"/>
      <c r="CM42" s="6"/>
    </row>
    <row r="43" spans="1:100" s="138" customFormat="1" ht="13.5" customHeight="1" x14ac:dyDescent="0.2">
      <c r="A43" s="196" t="s">
        <v>118</v>
      </c>
      <c r="B43" s="197"/>
      <c r="C43" s="159">
        <v>1000</v>
      </c>
      <c r="D43" s="157">
        <v>0.25</v>
      </c>
      <c r="E43" s="40">
        <v>3.4129999999999998</v>
      </c>
      <c r="F43" s="38">
        <v>1</v>
      </c>
      <c r="G43" s="22">
        <f>G17</f>
        <v>1.1000000000000001</v>
      </c>
      <c r="H43" s="31">
        <f>IF(ISERR(C43*D43*E43*F43*G43),0,(C43*D43*E43*F43*G43))</f>
        <v>938.57500000000005</v>
      </c>
      <c r="I43" s="137"/>
      <c r="J43" s="137"/>
      <c r="K43" s="137"/>
      <c r="L43" s="137"/>
      <c r="M43" s="137"/>
      <c r="N43" s="137"/>
      <c r="O43" s="137"/>
      <c r="P43" s="137"/>
      <c r="Q43" s="137"/>
      <c r="R43" s="137"/>
      <c r="S43" s="137"/>
      <c r="T43" s="137"/>
      <c r="U43" s="137"/>
      <c r="V43" s="137"/>
      <c r="W43" s="137"/>
      <c r="X43" s="137"/>
      <c r="Y43" s="6"/>
      <c r="CF43" s="6"/>
      <c r="CG43" s="6"/>
      <c r="CH43" s="6"/>
      <c r="CI43" s="6"/>
      <c r="CJ43" s="6"/>
      <c r="CK43" s="6"/>
      <c r="CL43" s="6"/>
      <c r="CM43" s="6"/>
    </row>
    <row r="44" spans="1:100" s="138" customFormat="1" ht="13.5" customHeight="1" x14ac:dyDescent="0.2">
      <c r="A44" s="196" t="s">
        <v>119</v>
      </c>
      <c r="B44" s="197"/>
      <c r="C44" s="159">
        <v>1000</v>
      </c>
      <c r="D44" s="157">
        <v>2</v>
      </c>
      <c r="E44" s="40">
        <v>3.4129999999999998</v>
      </c>
      <c r="F44" s="38">
        <v>1</v>
      </c>
      <c r="G44" s="22">
        <f>G17</f>
        <v>1.1000000000000001</v>
      </c>
      <c r="H44" s="31">
        <f>IF(ISERR(C44*D44*E44*F44*G44),0,(C44*D44*E44*F44*G44))</f>
        <v>7508.6</v>
      </c>
      <c r="I44" s="137"/>
      <c r="J44" s="137"/>
      <c r="K44" s="137"/>
      <c r="L44" s="137"/>
      <c r="M44" s="137"/>
      <c r="N44" s="137"/>
      <c r="O44" s="137"/>
      <c r="P44" s="137"/>
      <c r="Q44" s="137"/>
      <c r="R44" s="137"/>
      <c r="S44" s="137"/>
      <c r="T44" s="137"/>
      <c r="U44" s="137"/>
      <c r="V44" s="137"/>
      <c r="W44" s="137"/>
      <c r="X44" s="137"/>
      <c r="Y44" s="6"/>
      <c r="CF44" s="6"/>
      <c r="CG44" s="6"/>
      <c r="CH44" s="6"/>
      <c r="CI44" s="6"/>
      <c r="CJ44" s="6"/>
      <c r="CK44" s="6"/>
      <c r="CL44" s="6"/>
      <c r="CM44" s="6"/>
    </row>
    <row r="45" spans="1:100" s="138" customFormat="1" ht="13.5" customHeight="1" x14ac:dyDescent="0.2">
      <c r="A45" s="196" t="s">
        <v>120</v>
      </c>
      <c r="B45" s="197"/>
      <c r="C45" s="159">
        <v>1000</v>
      </c>
      <c r="D45" s="157">
        <v>2</v>
      </c>
      <c r="E45" s="40">
        <v>3.4129999999999998</v>
      </c>
      <c r="F45" s="38">
        <v>1</v>
      </c>
      <c r="G45" s="22">
        <f>G17</f>
        <v>1.1000000000000001</v>
      </c>
      <c r="H45" s="31">
        <f>IF(ISERR(C45*D45*E45*F45*G45),0,(C45*D45*E45*F45*G45))</f>
        <v>7508.6</v>
      </c>
      <c r="I45" s="137"/>
      <c r="J45" s="137"/>
      <c r="K45" s="137"/>
      <c r="L45" s="137"/>
      <c r="M45" s="137"/>
      <c r="N45" s="137"/>
      <c r="O45" s="137"/>
      <c r="P45" s="137"/>
      <c r="Q45" s="137"/>
      <c r="R45" s="137"/>
      <c r="S45" s="137"/>
      <c r="T45" s="137"/>
      <c r="U45" s="137"/>
      <c r="V45" s="137"/>
      <c r="W45" s="137"/>
      <c r="X45" s="137"/>
      <c r="Y45" s="6"/>
      <c r="CF45" s="6"/>
      <c r="CG45" s="6"/>
      <c r="CH45" s="6"/>
      <c r="CI45" s="6"/>
      <c r="CJ45" s="6"/>
      <c r="CK45" s="6"/>
      <c r="CL45" s="6"/>
      <c r="CM45" s="6"/>
    </row>
    <row r="46" spans="1:100" s="138" customFormat="1" ht="13.5" customHeight="1" x14ac:dyDescent="0.2">
      <c r="A46" s="194" t="s">
        <v>53</v>
      </c>
      <c r="B46" s="195"/>
      <c r="C46" s="160">
        <v>100</v>
      </c>
      <c r="D46" s="239">
        <f>(D8-G8)</f>
        <v>22</v>
      </c>
      <c r="E46" s="239"/>
      <c r="F46" s="24">
        <v>1.0845</v>
      </c>
      <c r="G46" s="22">
        <f>G17</f>
        <v>1.1000000000000001</v>
      </c>
      <c r="H46" s="25">
        <f>IF(ISERR(C46*D46*F46*G46),0,(C46*D46*F46*G46))</f>
        <v>2624.4900000000002</v>
      </c>
      <c r="I46" s="137"/>
      <c r="J46" s="137"/>
      <c r="K46" s="137"/>
      <c r="L46" s="137"/>
      <c r="M46" s="137"/>
      <c r="N46" s="137"/>
      <c r="O46" s="137"/>
      <c r="P46" s="137"/>
      <c r="Q46" s="137"/>
      <c r="R46" s="137"/>
      <c r="S46" s="137"/>
      <c r="T46" s="137"/>
      <c r="U46" s="137"/>
      <c r="V46" s="137"/>
      <c r="W46" s="137"/>
      <c r="X46" s="137"/>
      <c r="Y46" s="6"/>
      <c r="CF46" s="6"/>
      <c r="CG46" s="6"/>
      <c r="CH46" s="6"/>
      <c r="CI46" s="6"/>
      <c r="CJ46" s="6"/>
      <c r="CK46" s="6"/>
      <c r="CL46" s="6"/>
      <c r="CM46" s="6"/>
    </row>
    <row r="47" spans="1:100" s="138" customFormat="1" ht="13.5" customHeight="1" thickBot="1" x14ac:dyDescent="0.25">
      <c r="A47" s="168" t="s">
        <v>100</v>
      </c>
      <c r="B47" s="169"/>
      <c r="C47" s="169"/>
      <c r="D47" s="169"/>
      <c r="E47" s="169"/>
      <c r="F47" s="169"/>
      <c r="G47" s="169"/>
      <c r="H47" s="33">
        <f>SUM(H41:H46)</f>
        <v>27337.145</v>
      </c>
      <c r="I47" s="137"/>
      <c r="J47" s="137"/>
      <c r="K47" s="137"/>
      <c r="L47" s="137"/>
      <c r="M47" s="137"/>
      <c r="N47" s="137"/>
      <c r="O47" s="137"/>
      <c r="P47" s="137"/>
      <c r="Q47" s="137"/>
      <c r="R47" s="137"/>
      <c r="S47" s="137"/>
      <c r="T47" s="137"/>
      <c r="U47" s="137"/>
      <c r="V47" s="137"/>
      <c r="W47" s="137"/>
      <c r="X47" s="137"/>
      <c r="Y47" s="6"/>
      <c r="CF47" s="6"/>
      <c r="CG47" s="6"/>
      <c r="CH47" s="6"/>
      <c r="CI47" s="6"/>
      <c r="CJ47" s="6"/>
      <c r="CK47" s="6"/>
      <c r="CL47" s="6"/>
      <c r="CM47" s="6"/>
    </row>
    <row r="48" spans="1:100" s="137" customFormat="1" ht="13.5" customHeight="1" thickBot="1" x14ac:dyDescent="0.25">
      <c r="E48" s="10"/>
      <c r="F48" s="10"/>
      <c r="G48" s="10"/>
      <c r="H48" s="10"/>
      <c r="I48" s="10"/>
      <c r="Q48" s="10"/>
      <c r="AH48" s="10"/>
      <c r="CO48" s="10"/>
      <c r="CP48" s="10"/>
      <c r="CQ48" s="10"/>
      <c r="CR48" s="10"/>
      <c r="CS48" s="10"/>
      <c r="CT48" s="10"/>
      <c r="CU48" s="10"/>
      <c r="CV48" s="10"/>
    </row>
    <row r="49" spans="1:96" s="138" customFormat="1" ht="13.5" customHeight="1" thickBot="1" x14ac:dyDescent="0.25">
      <c r="A49" s="177" t="s">
        <v>54</v>
      </c>
      <c r="B49" s="178"/>
      <c r="C49" s="178"/>
      <c r="D49" s="178"/>
      <c r="E49" s="178"/>
      <c r="F49" s="178"/>
      <c r="G49" s="178"/>
      <c r="H49" s="179"/>
      <c r="I49" s="137"/>
      <c r="J49" s="137"/>
      <c r="K49" s="137"/>
      <c r="L49" s="137"/>
      <c r="M49" s="137"/>
      <c r="N49" s="137"/>
      <c r="O49" s="137"/>
      <c r="P49" s="137"/>
      <c r="Q49" s="137"/>
      <c r="R49" s="137"/>
      <c r="S49" s="137"/>
      <c r="T49" s="137"/>
      <c r="U49" s="137"/>
      <c r="V49" s="137"/>
      <c r="W49" s="137"/>
      <c r="X49" s="10"/>
      <c r="CE49" s="6"/>
      <c r="CF49" s="6"/>
      <c r="CG49" s="6"/>
      <c r="CH49" s="6"/>
      <c r="CI49" s="6"/>
      <c r="CJ49" s="6"/>
      <c r="CK49" s="6"/>
      <c r="CL49" s="6"/>
    </row>
    <row r="50" spans="1:96" s="137" customFormat="1" ht="13.5" customHeight="1" x14ac:dyDescent="0.2">
      <c r="A50" s="196" t="s">
        <v>101</v>
      </c>
      <c r="B50" s="197"/>
      <c r="C50" s="161">
        <v>2</v>
      </c>
      <c r="D50" s="10"/>
      <c r="E50" s="227" t="s">
        <v>128</v>
      </c>
      <c r="F50" s="227"/>
      <c r="G50" s="227"/>
      <c r="H50" s="31">
        <f>(H24+H36+H47)</f>
        <v>100191.46500000001</v>
      </c>
      <c r="X50" s="10"/>
      <c r="CE50" s="10"/>
      <c r="CF50" s="10"/>
      <c r="CG50" s="10"/>
      <c r="CH50" s="10"/>
      <c r="CI50" s="10"/>
      <c r="CJ50" s="10"/>
      <c r="CK50" s="10"/>
      <c r="CL50" s="10"/>
    </row>
    <row r="51" spans="1:96" s="137" customFormat="1" ht="13.5" customHeight="1" x14ac:dyDescent="0.2">
      <c r="A51" s="196" t="s">
        <v>123</v>
      </c>
      <c r="B51" s="197"/>
      <c r="C51" s="228">
        <v>20</v>
      </c>
      <c r="D51" s="228"/>
      <c r="E51" s="117">
        <f>(H50/(1.0845*C51))</f>
        <v>4619.2468879668049</v>
      </c>
      <c r="F51" s="45"/>
      <c r="G51" s="46"/>
      <c r="H51" s="47"/>
      <c r="W51" s="10"/>
      <c r="CD51" s="10"/>
      <c r="CE51" s="10"/>
      <c r="CF51" s="10"/>
      <c r="CG51" s="10"/>
      <c r="CH51" s="10"/>
      <c r="CI51" s="10"/>
      <c r="CJ51" s="10"/>
      <c r="CK51" s="10"/>
    </row>
    <row r="52" spans="1:96" s="137" customFormat="1" ht="13.5" customHeight="1" x14ac:dyDescent="0.2">
      <c r="A52" s="196" t="s">
        <v>121</v>
      </c>
      <c r="B52" s="197"/>
      <c r="C52" s="229">
        <f>(E51*C50)/(6356*0.6)</f>
        <v>2.4225125277778505</v>
      </c>
      <c r="D52" s="229"/>
      <c r="E52" s="1"/>
      <c r="F52" s="1"/>
      <c r="H52" s="48"/>
      <c r="I52" s="10"/>
      <c r="R52" s="10"/>
      <c r="S52" s="10"/>
      <c r="T52" s="10"/>
      <c r="V52" s="10"/>
      <c r="W52" s="10"/>
      <c r="CD52" s="10"/>
      <c r="CE52" s="10"/>
      <c r="CF52" s="10"/>
      <c r="CG52" s="10"/>
      <c r="CH52" s="10"/>
      <c r="CI52" s="10"/>
      <c r="CJ52" s="10"/>
      <c r="CK52" s="10"/>
    </row>
    <row r="53" spans="1:96" s="137" customFormat="1" ht="13.5" customHeight="1" x14ac:dyDescent="0.2">
      <c r="A53" s="196" t="s">
        <v>122</v>
      </c>
      <c r="B53" s="197"/>
      <c r="C53" s="49">
        <f>(H53/(E51*1.0845))</f>
        <v>1.230702512074183</v>
      </c>
      <c r="E53" s="230" t="s">
        <v>127</v>
      </c>
      <c r="F53" s="230"/>
      <c r="G53" s="230"/>
      <c r="H53" s="31">
        <f>IF(A12="DT",(C52*2545),0)</f>
        <v>6165.2943831946295</v>
      </c>
      <c r="I53" s="10"/>
      <c r="Q53" s="10"/>
      <c r="R53" s="10"/>
      <c r="S53" s="10"/>
      <c r="T53" s="10"/>
      <c r="U53" s="23"/>
      <c r="V53" s="10"/>
      <c r="W53" s="10"/>
      <c r="CD53" s="10"/>
      <c r="CE53" s="10"/>
      <c r="CF53" s="10"/>
      <c r="CG53" s="10"/>
      <c r="CH53" s="10"/>
      <c r="CI53" s="10"/>
      <c r="CJ53" s="10"/>
      <c r="CK53" s="10"/>
    </row>
    <row r="54" spans="1:96" s="137" customFormat="1" ht="13.5" customHeight="1" thickBot="1" x14ac:dyDescent="0.25">
      <c r="A54" s="168" t="s">
        <v>100</v>
      </c>
      <c r="B54" s="169"/>
      <c r="C54" s="169"/>
      <c r="D54" s="169"/>
      <c r="E54" s="169"/>
      <c r="F54" s="169"/>
      <c r="G54" s="169"/>
      <c r="H54" s="50">
        <f>SUM(H50:H53)</f>
        <v>106356.75938319464</v>
      </c>
      <c r="I54" s="10"/>
      <c r="Q54" s="10"/>
      <c r="R54" s="10"/>
      <c r="S54" s="10"/>
      <c r="T54" s="10"/>
      <c r="U54" s="23"/>
      <c r="V54" s="10"/>
      <c r="W54" s="10"/>
      <c r="CD54" s="10"/>
      <c r="CE54" s="10"/>
      <c r="CF54" s="10"/>
      <c r="CG54" s="10"/>
      <c r="CH54" s="10"/>
      <c r="CI54" s="10"/>
      <c r="CJ54" s="10"/>
      <c r="CK54" s="10"/>
    </row>
    <row r="55" spans="1:96" s="137" customFormat="1" ht="13.5" customHeight="1" thickBot="1" x14ac:dyDescent="0.25">
      <c r="A55" s="18"/>
      <c r="B55" s="10"/>
      <c r="C55" s="10"/>
      <c r="D55" s="10"/>
      <c r="E55" s="10"/>
      <c r="F55" s="10"/>
      <c r="G55" s="10"/>
      <c r="H55" s="10"/>
      <c r="I55" s="10"/>
      <c r="Q55" s="10"/>
      <c r="R55" s="10"/>
      <c r="S55" s="10"/>
      <c r="T55" s="10"/>
      <c r="U55" s="10"/>
      <c r="V55" s="10"/>
      <c r="W55" s="10"/>
      <c r="X55" s="10"/>
      <c r="Y55" s="10"/>
      <c r="Z55" s="10"/>
      <c r="AA55" s="10"/>
      <c r="AB55" s="10"/>
      <c r="AC55" s="10"/>
      <c r="AD55" s="10"/>
      <c r="CK55" s="10"/>
      <c r="CL55" s="10"/>
      <c r="CM55" s="10"/>
      <c r="CN55" s="10"/>
      <c r="CO55" s="10"/>
      <c r="CP55" s="10"/>
      <c r="CQ55" s="10"/>
      <c r="CR55" s="10"/>
    </row>
    <row r="56" spans="1:96" s="138" customFormat="1" ht="13.5" customHeight="1" thickBot="1" x14ac:dyDescent="0.25">
      <c r="A56" s="177" t="s">
        <v>55</v>
      </c>
      <c r="B56" s="178"/>
      <c r="C56" s="178"/>
      <c r="D56" s="178"/>
      <c r="E56" s="178"/>
      <c r="F56" s="178"/>
      <c r="G56" s="178"/>
      <c r="H56" s="179"/>
      <c r="I56" s="10"/>
      <c r="J56" s="137"/>
      <c r="K56" s="137"/>
      <c r="L56" s="137"/>
      <c r="M56" s="137"/>
      <c r="N56" s="137"/>
      <c r="O56" s="137"/>
      <c r="P56" s="137"/>
      <c r="Q56" s="10"/>
      <c r="R56" s="10"/>
      <c r="S56" s="10"/>
      <c r="T56" s="10"/>
      <c r="U56" s="10"/>
      <c r="V56" s="10"/>
      <c r="W56" s="10"/>
      <c r="X56" s="10"/>
      <c r="Y56" s="10"/>
      <c r="Z56" s="6"/>
      <c r="CG56" s="6"/>
      <c r="CH56" s="6"/>
      <c r="CI56" s="6"/>
      <c r="CJ56" s="6"/>
      <c r="CK56" s="6"/>
      <c r="CL56" s="6"/>
      <c r="CM56" s="6"/>
      <c r="CN56" s="6"/>
    </row>
    <row r="57" spans="1:96" s="138" customFormat="1" ht="13.5" customHeight="1" x14ac:dyDescent="0.2">
      <c r="A57" s="20"/>
      <c r="B57" s="223" t="s">
        <v>108</v>
      </c>
      <c r="C57" s="26" t="s">
        <v>35</v>
      </c>
      <c r="D57" s="172" t="s">
        <v>109</v>
      </c>
      <c r="E57" s="172" t="s">
        <v>111</v>
      </c>
      <c r="F57" s="223" t="s">
        <v>110</v>
      </c>
      <c r="G57" s="172" t="s">
        <v>103</v>
      </c>
      <c r="H57" s="174" t="s">
        <v>36</v>
      </c>
      <c r="I57" s="10"/>
      <c r="J57" s="137"/>
      <c r="K57" s="137"/>
      <c r="L57" s="137"/>
      <c r="M57" s="137"/>
      <c r="N57" s="137"/>
      <c r="O57" s="137"/>
      <c r="P57" s="137"/>
      <c r="Q57" s="10"/>
      <c r="R57" s="10"/>
      <c r="S57" s="10"/>
      <c r="T57" s="10"/>
      <c r="U57" s="137"/>
      <c r="V57" s="137"/>
      <c r="W57" s="137"/>
      <c r="X57" s="137"/>
      <c r="Y57" s="137"/>
      <c r="CA57" s="6"/>
      <c r="CB57" s="6"/>
      <c r="CC57" s="6"/>
      <c r="CD57" s="6"/>
      <c r="CE57" s="6"/>
      <c r="CF57" s="6"/>
      <c r="CG57" s="6"/>
      <c r="CH57" s="6"/>
    </row>
    <row r="58" spans="1:96" s="138" customFormat="1" ht="13.5" customHeight="1" x14ac:dyDescent="0.2">
      <c r="A58" s="51"/>
      <c r="B58" s="181"/>
      <c r="C58" s="21" t="s">
        <v>107</v>
      </c>
      <c r="D58" s="173"/>
      <c r="E58" s="173"/>
      <c r="F58" s="181"/>
      <c r="G58" s="173"/>
      <c r="H58" s="175"/>
      <c r="I58" s="10"/>
      <c r="J58" s="137"/>
      <c r="K58" s="137"/>
      <c r="L58" s="137"/>
      <c r="M58" s="137"/>
      <c r="N58" s="137"/>
      <c r="O58" s="137"/>
      <c r="P58" s="137"/>
      <c r="Q58" s="10"/>
      <c r="R58" s="10"/>
      <c r="S58" s="10"/>
      <c r="T58" s="10"/>
      <c r="U58" s="137"/>
      <c r="V58" s="137"/>
      <c r="W58" s="137"/>
      <c r="X58" s="137"/>
      <c r="Y58" s="137"/>
      <c r="CA58" s="6"/>
      <c r="CB58" s="6"/>
      <c r="CC58" s="6"/>
      <c r="CD58" s="6"/>
      <c r="CE58" s="6"/>
      <c r="CF58" s="6"/>
      <c r="CG58" s="6"/>
      <c r="CH58" s="6"/>
    </row>
    <row r="59" spans="1:96" s="138" customFormat="1" ht="13.5" customHeight="1" x14ac:dyDescent="0.2">
      <c r="A59" s="30" t="s">
        <v>44</v>
      </c>
      <c r="B59" s="128" t="s">
        <v>33</v>
      </c>
      <c r="C59" s="159">
        <v>10</v>
      </c>
      <c r="D59" s="10">
        <f>IF(ISERR(VLOOKUP(B59,A208:M217,C8+1)),0,VLOOKUP(B59,A208:M217,C8+1))</f>
        <v>11</v>
      </c>
      <c r="E59" s="10">
        <f>(D8-G8)-12</f>
        <v>10</v>
      </c>
      <c r="F59" s="22">
        <f>IF(ISERR(D12),0,(D12))</f>
        <v>0.1</v>
      </c>
      <c r="G59" s="22">
        <f>G17</f>
        <v>1.1000000000000001</v>
      </c>
      <c r="H59" s="31">
        <f>IF(ISERR(C59*F59*G59*(D59+E59)),0,(C59*F59*G59*(D59+E59)))</f>
        <v>23.1</v>
      </c>
      <c r="I59" s="10"/>
      <c r="J59" s="137"/>
      <c r="K59" s="137"/>
      <c r="L59" s="137"/>
      <c r="M59" s="137"/>
      <c r="N59" s="137"/>
      <c r="O59" s="137"/>
      <c r="P59" s="137"/>
      <c r="Q59" s="10"/>
      <c r="R59" s="10"/>
      <c r="S59" s="137"/>
      <c r="T59" s="137"/>
      <c r="U59" s="137"/>
      <c r="V59" s="137"/>
      <c r="W59" s="137"/>
      <c r="X59" s="137"/>
      <c r="Y59" s="137"/>
      <c r="BY59" s="6"/>
      <c r="BZ59" s="6"/>
      <c r="CA59" s="6"/>
      <c r="CB59" s="6"/>
      <c r="CC59" s="6"/>
      <c r="CD59" s="6"/>
      <c r="CE59" s="6"/>
      <c r="CF59" s="6"/>
    </row>
    <row r="60" spans="1:96" s="138" customFormat="1" ht="13.5" customHeight="1" x14ac:dyDescent="0.2">
      <c r="A60" s="30" t="s">
        <v>44</v>
      </c>
      <c r="B60" s="128" t="s">
        <v>23</v>
      </c>
      <c r="C60" s="159">
        <v>10</v>
      </c>
      <c r="D60" s="10">
        <f>IF(ISERR(VLOOKUP(B60,A208:M217,C8+1)),0,VLOOKUP(B60,A208:M217,C8+1))</f>
        <v>23</v>
      </c>
      <c r="E60" s="10">
        <f>(D8-G8)-12</f>
        <v>10</v>
      </c>
      <c r="F60" s="22">
        <f>IF(ISERR(D12),0,(D12))</f>
        <v>0.1</v>
      </c>
      <c r="G60" s="22">
        <f>G17</f>
        <v>1.1000000000000001</v>
      </c>
      <c r="H60" s="31">
        <f>IF(ISERR(C60*F60*G60*(D60+E60)),0,(C60*F60*G60*(D60+E60)))</f>
        <v>36.300000000000004</v>
      </c>
      <c r="I60" s="10"/>
      <c r="J60" s="137"/>
      <c r="K60" s="137"/>
      <c r="L60" s="137"/>
      <c r="M60" s="137"/>
      <c r="N60" s="137"/>
      <c r="O60" s="137"/>
      <c r="P60" s="137"/>
      <c r="Q60" s="137"/>
      <c r="R60" s="10"/>
      <c r="S60" s="137"/>
      <c r="T60" s="137"/>
      <c r="U60" s="137"/>
      <c r="V60" s="137"/>
      <c r="W60" s="137"/>
      <c r="X60" s="137"/>
      <c r="Y60" s="137"/>
      <c r="BY60" s="6"/>
      <c r="BZ60" s="6"/>
      <c r="CA60" s="6"/>
      <c r="CB60" s="6"/>
      <c r="CC60" s="6"/>
      <c r="CD60" s="6"/>
      <c r="CE60" s="6"/>
      <c r="CF60" s="6"/>
    </row>
    <row r="61" spans="1:96" s="138" customFormat="1" ht="13.5" customHeight="1" x14ac:dyDescent="0.2">
      <c r="A61" s="30" t="s">
        <v>44</v>
      </c>
      <c r="B61" s="128" t="s">
        <v>19</v>
      </c>
      <c r="C61" s="159">
        <v>10</v>
      </c>
      <c r="D61" s="10">
        <f>IF(ISERR(VLOOKUP(B61,A208:M217,C8+1)),0,VLOOKUP(B61,A208:M217,C8+1))</f>
        <v>13</v>
      </c>
      <c r="E61" s="10">
        <f>(D8-G8)-12</f>
        <v>10</v>
      </c>
      <c r="F61" s="22">
        <f>IF(ISERR(D12),0,(D12))</f>
        <v>0.1</v>
      </c>
      <c r="G61" s="22">
        <f>G17</f>
        <v>1.1000000000000001</v>
      </c>
      <c r="H61" s="31">
        <f>IF(ISERR(C61*F61*G61*(D61+E61)),0,(C61*F61*G61*(D61+E61)))</f>
        <v>25.3</v>
      </c>
      <c r="I61" s="10"/>
      <c r="J61" s="137"/>
      <c r="K61" s="137"/>
      <c r="L61" s="137"/>
      <c r="M61" s="137"/>
      <c r="N61" s="137"/>
      <c r="O61" s="137"/>
      <c r="P61" s="137"/>
      <c r="Q61" s="137"/>
      <c r="R61" s="10"/>
      <c r="S61" s="137"/>
      <c r="T61" s="137"/>
      <c r="U61" s="137"/>
      <c r="V61" s="137"/>
      <c r="W61" s="137"/>
      <c r="X61" s="137"/>
      <c r="Y61" s="137"/>
      <c r="BY61" s="6"/>
      <c r="BZ61" s="6"/>
      <c r="CA61" s="6"/>
      <c r="CB61" s="6"/>
      <c r="CC61" s="6"/>
      <c r="CD61" s="6"/>
      <c r="CE61" s="6"/>
      <c r="CF61" s="6"/>
    </row>
    <row r="62" spans="1:96" s="138" customFormat="1" ht="13.5" customHeight="1" x14ac:dyDescent="0.2">
      <c r="A62" s="30" t="s">
        <v>44</v>
      </c>
      <c r="B62" s="128" t="s">
        <v>27</v>
      </c>
      <c r="C62" s="159">
        <v>10</v>
      </c>
      <c r="D62" s="10">
        <f>IF(ISERR(VLOOKUP(B62,A208:M217,C8+1)),0,VLOOKUP(B62,A208:M217,C8+1))</f>
        <v>34</v>
      </c>
      <c r="E62" s="10">
        <f>(D8-G8)-12</f>
        <v>10</v>
      </c>
      <c r="F62" s="22">
        <f>IF(ISERR(D12),0,(D12))</f>
        <v>0.1</v>
      </c>
      <c r="G62" s="22">
        <f>G17</f>
        <v>1.1000000000000001</v>
      </c>
      <c r="H62" s="31">
        <f>IF(ISERR(C62*F62*G62*(D62+E62)),0,(C62*F62*G62*(D62+E62)))</f>
        <v>48.400000000000006</v>
      </c>
      <c r="I62" s="10"/>
      <c r="J62" s="137"/>
      <c r="K62" s="137"/>
      <c r="L62" s="137"/>
      <c r="M62" s="137"/>
      <c r="N62" s="137"/>
      <c r="O62" s="137"/>
      <c r="P62" s="137"/>
      <c r="Q62" s="10"/>
      <c r="R62" s="10"/>
      <c r="S62" s="137"/>
      <c r="T62" s="137"/>
      <c r="U62" s="137"/>
      <c r="V62" s="137"/>
      <c r="W62" s="137"/>
      <c r="X62" s="137"/>
      <c r="Y62" s="137"/>
      <c r="BY62" s="6"/>
      <c r="BZ62" s="6"/>
      <c r="CA62" s="6"/>
      <c r="CB62" s="6"/>
      <c r="CC62" s="6"/>
      <c r="CD62" s="6"/>
      <c r="CE62" s="6"/>
      <c r="CF62" s="6"/>
    </row>
    <row r="63" spans="1:96" s="138" customFormat="1" ht="13.5" customHeight="1" x14ac:dyDescent="0.2">
      <c r="A63" s="30" t="s">
        <v>46</v>
      </c>
      <c r="B63" s="10" t="s">
        <v>112</v>
      </c>
      <c r="C63" s="39">
        <f>C33</f>
        <v>100</v>
      </c>
      <c r="D63" s="10">
        <f>IF(ISERR(VLOOKUP(B63,A208:M217,C8+1)),0,VLOOKUP(B63,A208:M217,C8+1))</f>
        <v>43</v>
      </c>
      <c r="E63" s="10">
        <f>(D8-G8)-12</f>
        <v>10</v>
      </c>
      <c r="F63" s="22">
        <f>IF(ISERR(E12),0,(E12/2))</f>
        <v>0.04</v>
      </c>
      <c r="G63" s="22">
        <f>G17</f>
        <v>1.1000000000000001</v>
      </c>
      <c r="H63" s="31">
        <f>IF(ISERR(C63*F63*G63*(D63+E63)),0,(C63*F63*G63*(D63+E63)))</f>
        <v>233.20000000000002</v>
      </c>
      <c r="I63" s="10"/>
      <c r="J63" s="137"/>
      <c r="K63" s="137"/>
      <c r="L63" s="137"/>
      <c r="M63" s="137"/>
      <c r="N63" s="137"/>
      <c r="O63" s="137"/>
      <c r="P63" s="137"/>
      <c r="Q63" s="10"/>
      <c r="R63" s="10"/>
      <c r="S63" s="137"/>
      <c r="T63" s="137"/>
      <c r="U63" s="137"/>
      <c r="V63" s="137"/>
      <c r="W63" s="137"/>
      <c r="X63" s="137"/>
      <c r="Y63" s="137"/>
      <c r="BY63" s="6"/>
      <c r="BZ63" s="6"/>
      <c r="CA63" s="6"/>
      <c r="CB63" s="6"/>
      <c r="CC63" s="6"/>
      <c r="CD63" s="6"/>
      <c r="CE63" s="6"/>
      <c r="CF63" s="6"/>
    </row>
    <row r="64" spans="1:96" s="138" customFormat="1" ht="13.5" customHeight="1" x14ac:dyDescent="0.2">
      <c r="A64" s="30" t="s">
        <v>125</v>
      </c>
      <c r="B64" s="10" t="s">
        <v>126</v>
      </c>
      <c r="C64" s="39">
        <f>C42</f>
        <v>1000</v>
      </c>
      <c r="D64" s="53">
        <f>(D42)</f>
        <v>2</v>
      </c>
      <c r="E64" s="40">
        <v>3.4129999999999998</v>
      </c>
      <c r="F64" s="38">
        <f>(1-F42)</f>
        <v>0.19999999999999996</v>
      </c>
      <c r="G64" s="22">
        <f>G17</f>
        <v>1.1000000000000001</v>
      </c>
      <c r="H64" s="31">
        <f>IF(ISERR(C64*D64*E64*F64*G64),0,(C64*D64*E64*F64*G64))</f>
        <v>1501.7199999999996</v>
      </c>
      <c r="I64" s="10"/>
      <c r="J64" s="137"/>
      <c r="K64" s="137"/>
      <c r="L64" s="137"/>
      <c r="M64" s="137"/>
      <c r="N64" s="137"/>
      <c r="O64" s="137"/>
      <c r="P64" s="137"/>
      <c r="Q64" s="137"/>
      <c r="R64" s="137"/>
      <c r="S64" s="137"/>
      <c r="T64" s="137"/>
      <c r="U64" s="137"/>
      <c r="V64" s="23"/>
      <c r="W64" s="10"/>
      <c r="X64" s="10"/>
      <c r="CE64" s="6"/>
      <c r="CF64" s="6"/>
      <c r="CG64" s="6"/>
      <c r="CH64" s="6"/>
      <c r="CI64" s="6"/>
      <c r="CJ64" s="6"/>
      <c r="CK64" s="6"/>
      <c r="CL64" s="6"/>
    </row>
    <row r="65" spans="1:100" s="138" customFormat="1" ht="13.5" customHeight="1" x14ac:dyDescent="0.2">
      <c r="A65" s="32" t="s">
        <v>57</v>
      </c>
      <c r="B65" s="21"/>
      <c r="C65" s="54">
        <f>(C52)</f>
        <v>2.4225125277778505</v>
      </c>
      <c r="D65" s="21"/>
      <c r="E65" s="176" t="s">
        <v>124</v>
      </c>
      <c r="F65" s="176"/>
      <c r="G65" s="176"/>
      <c r="H65" s="25">
        <f>IF(A12="BT",(C52*2545),0)</f>
        <v>0</v>
      </c>
      <c r="I65" s="23"/>
      <c r="J65" s="137"/>
      <c r="K65" s="137"/>
      <c r="L65" s="137"/>
      <c r="M65" s="137"/>
      <c r="N65" s="137"/>
      <c r="O65" s="137"/>
      <c r="P65" s="137"/>
      <c r="Q65" s="23"/>
      <c r="R65" s="137"/>
      <c r="S65" s="137"/>
      <c r="T65" s="137"/>
      <c r="U65" s="137"/>
      <c r="V65" s="137"/>
      <c r="W65" s="23"/>
      <c r="X65" s="10"/>
      <c r="Y65" s="6"/>
      <c r="CF65" s="6"/>
      <c r="CG65" s="6"/>
      <c r="CH65" s="6"/>
      <c r="CI65" s="6"/>
      <c r="CJ65" s="6"/>
      <c r="CK65" s="6"/>
      <c r="CL65" s="6"/>
      <c r="CM65" s="6"/>
    </row>
    <row r="66" spans="1:100" s="138" customFormat="1" ht="13.5" customHeight="1" thickBot="1" x14ac:dyDescent="0.25">
      <c r="A66" s="168" t="s">
        <v>100</v>
      </c>
      <c r="B66" s="169"/>
      <c r="C66" s="169"/>
      <c r="D66" s="169"/>
      <c r="E66" s="169"/>
      <c r="F66" s="169"/>
      <c r="G66" s="169"/>
      <c r="H66" s="33">
        <f>SUM(H59:H65)</f>
        <v>1868.0199999999995</v>
      </c>
      <c r="I66" s="10"/>
      <c r="J66" s="137"/>
      <c r="K66" s="137"/>
      <c r="L66" s="137"/>
      <c r="M66" s="137"/>
      <c r="N66" s="137"/>
      <c r="O66" s="137"/>
      <c r="P66" s="137"/>
      <c r="Q66" s="109"/>
      <c r="R66" s="137"/>
      <c r="S66" s="137"/>
      <c r="T66" s="137"/>
      <c r="U66" s="137"/>
      <c r="V66" s="10"/>
      <c r="W66" s="23"/>
      <c r="X66" s="10"/>
      <c r="Y66" s="6"/>
      <c r="CF66" s="6"/>
      <c r="CG66" s="6"/>
      <c r="CH66" s="6"/>
      <c r="CI66" s="6"/>
      <c r="CJ66" s="6"/>
      <c r="CK66" s="6"/>
      <c r="CL66" s="6"/>
      <c r="CM66" s="6"/>
    </row>
    <row r="67" spans="1:100" s="138" customFormat="1" ht="13.5" customHeight="1" thickBot="1" x14ac:dyDescent="0.25">
      <c r="A67" s="10"/>
      <c r="B67" s="10"/>
      <c r="C67" s="10"/>
      <c r="D67" s="10"/>
      <c r="E67" s="10"/>
      <c r="F67" s="10"/>
      <c r="G67" s="10"/>
      <c r="H67" s="10"/>
      <c r="I67" s="10"/>
      <c r="J67" s="137"/>
      <c r="K67" s="137"/>
      <c r="L67" s="137"/>
      <c r="M67" s="137"/>
      <c r="N67" s="137"/>
      <c r="O67" s="137"/>
      <c r="P67" s="137"/>
      <c r="Q67" s="137"/>
      <c r="R67" s="137"/>
      <c r="S67" s="137"/>
      <c r="T67" s="137"/>
      <c r="U67" s="137"/>
      <c r="V67" s="137"/>
      <c r="W67" s="137"/>
      <c r="X67" s="137"/>
      <c r="AG67" s="6"/>
      <c r="CN67" s="6"/>
      <c r="CO67" s="6"/>
      <c r="CP67" s="6"/>
      <c r="CQ67" s="6"/>
      <c r="CR67" s="6"/>
      <c r="CS67" s="6"/>
      <c r="CT67" s="6"/>
      <c r="CU67" s="6"/>
    </row>
    <row r="68" spans="1:100" s="138" customFormat="1" ht="13.5" customHeight="1" thickBot="1" x14ac:dyDescent="0.25">
      <c r="A68" s="177" t="s">
        <v>58</v>
      </c>
      <c r="B68" s="178"/>
      <c r="C68" s="178"/>
      <c r="D68" s="178"/>
      <c r="E68" s="178"/>
      <c r="F68" s="178"/>
      <c r="G68" s="178"/>
      <c r="H68" s="179"/>
      <c r="I68" s="10"/>
      <c r="J68" s="137"/>
      <c r="K68" s="137"/>
      <c r="L68" s="137"/>
      <c r="M68" s="137"/>
      <c r="N68" s="137"/>
      <c r="O68" s="137"/>
      <c r="P68" s="137"/>
      <c r="Q68" s="10"/>
      <c r="R68" s="10"/>
      <c r="S68" s="10"/>
      <c r="T68" s="10"/>
      <c r="U68" s="10"/>
      <c r="V68" s="10"/>
      <c r="W68" s="10"/>
      <c r="X68" s="10"/>
      <c r="Y68" s="10"/>
      <c r="Z68" s="6"/>
      <c r="CG68" s="6"/>
      <c r="CH68" s="6"/>
      <c r="CI68" s="6"/>
      <c r="CJ68" s="6"/>
      <c r="CK68" s="6"/>
      <c r="CL68" s="6"/>
      <c r="CM68" s="6"/>
      <c r="CN68" s="6"/>
    </row>
    <row r="69" spans="1:100" s="138" customFormat="1" ht="13.5" customHeight="1" x14ac:dyDescent="0.2">
      <c r="A69" s="34"/>
      <c r="B69" s="137"/>
      <c r="C69" s="182" t="s">
        <v>130</v>
      </c>
      <c r="D69" s="180" t="s">
        <v>52</v>
      </c>
      <c r="E69" s="182" t="s">
        <v>131</v>
      </c>
      <c r="F69" s="182" t="s">
        <v>133</v>
      </c>
      <c r="G69" s="182" t="s">
        <v>103</v>
      </c>
      <c r="H69" s="183" t="s">
        <v>36</v>
      </c>
      <c r="I69" s="10"/>
      <c r="J69" s="137"/>
      <c r="K69" s="137"/>
      <c r="L69" s="137"/>
      <c r="M69" s="137"/>
      <c r="N69" s="137"/>
      <c r="O69" s="137"/>
      <c r="P69" s="137"/>
      <c r="Q69" s="10"/>
      <c r="R69" s="10"/>
      <c r="S69" s="10"/>
      <c r="T69" s="137"/>
      <c r="U69" s="137"/>
      <c r="V69" s="137"/>
      <c r="W69" s="137"/>
      <c r="X69" s="137"/>
      <c r="Y69" s="137"/>
      <c r="BZ69" s="6"/>
      <c r="CA69" s="6"/>
      <c r="CB69" s="6"/>
      <c r="CC69" s="6"/>
      <c r="CD69" s="6"/>
      <c r="CE69" s="6"/>
      <c r="CF69" s="6"/>
      <c r="CG69" s="6"/>
    </row>
    <row r="70" spans="1:100" s="138" customFormat="1" ht="13.5" customHeight="1" x14ac:dyDescent="0.2">
      <c r="A70" s="36"/>
      <c r="B70" s="146"/>
      <c r="C70" s="173"/>
      <c r="D70" s="181"/>
      <c r="E70" s="173"/>
      <c r="F70" s="173"/>
      <c r="G70" s="173"/>
      <c r="H70" s="175"/>
      <c r="I70" s="10"/>
      <c r="J70" s="137"/>
      <c r="K70" s="137"/>
      <c r="L70" s="137"/>
      <c r="M70" s="137"/>
      <c r="N70" s="137"/>
      <c r="O70" s="137"/>
      <c r="P70" s="137"/>
      <c r="Q70" s="10"/>
      <c r="R70" s="10"/>
      <c r="S70" s="10"/>
      <c r="T70" s="137"/>
      <c r="U70" s="137"/>
      <c r="V70" s="137"/>
      <c r="W70" s="137"/>
      <c r="X70" s="137"/>
      <c r="Y70" s="137"/>
      <c r="BZ70" s="6"/>
      <c r="CA70" s="6"/>
      <c r="CB70" s="6"/>
      <c r="CC70" s="6"/>
      <c r="CD70" s="6"/>
      <c r="CE70" s="6"/>
      <c r="CF70" s="6"/>
      <c r="CG70" s="6"/>
    </row>
    <row r="71" spans="1:100" s="138" customFormat="1" ht="13.5" customHeight="1" thickBot="1" x14ac:dyDescent="0.25">
      <c r="A71" s="213" t="s">
        <v>129</v>
      </c>
      <c r="B71" s="214"/>
      <c r="C71" s="162">
        <v>375</v>
      </c>
      <c r="D71" s="56">
        <f>CEILING(IF((C71*C41)&gt;(E51*0.2),C71*C41,E51*0.2),5)</f>
        <v>3750</v>
      </c>
      <c r="E71" s="57">
        <f>(D8-G8)</f>
        <v>22</v>
      </c>
      <c r="F71" s="58">
        <v>1.0845</v>
      </c>
      <c r="G71" s="58">
        <f>G17</f>
        <v>1.1000000000000001</v>
      </c>
      <c r="H71" s="33">
        <f>IF(ISERR(D71*E71*F71*G71),0,(D71*E71*F71*G71))</f>
        <v>98418.375000000015</v>
      </c>
      <c r="I71" s="10"/>
      <c r="J71" s="137"/>
      <c r="K71" s="137"/>
      <c r="L71" s="137"/>
      <c r="M71" s="137"/>
      <c r="N71" s="137"/>
      <c r="O71" s="137"/>
      <c r="P71" s="137"/>
      <c r="Q71" s="137"/>
      <c r="R71" s="10"/>
      <c r="S71" s="10"/>
      <c r="T71" s="137"/>
      <c r="U71" s="137"/>
      <c r="V71" s="137"/>
      <c r="W71" s="137"/>
      <c r="X71" s="137"/>
      <c r="Y71" s="137"/>
      <c r="BZ71" s="6"/>
      <c r="CA71" s="6"/>
      <c r="CB71" s="6"/>
      <c r="CC71" s="6"/>
      <c r="CD71" s="6"/>
      <c r="CE71" s="6"/>
      <c r="CF71" s="6"/>
      <c r="CG71" s="6"/>
    </row>
    <row r="72" spans="1:100" s="138" customFormat="1" ht="13.5" customHeight="1" x14ac:dyDescent="0.2">
      <c r="A72" s="10"/>
      <c r="B72" s="10"/>
      <c r="C72" s="10"/>
      <c r="D72" s="10"/>
      <c r="E72" s="10"/>
      <c r="F72" s="10"/>
      <c r="G72" s="10"/>
      <c r="H72" s="10"/>
      <c r="I72" s="10"/>
      <c r="J72" s="137"/>
      <c r="K72" s="137"/>
      <c r="L72" s="137"/>
      <c r="M72" s="137"/>
      <c r="N72" s="137"/>
      <c r="O72" s="137"/>
      <c r="P72" s="137"/>
      <c r="Q72" s="10"/>
      <c r="R72" s="10"/>
      <c r="S72" s="10"/>
      <c r="T72" s="10"/>
      <c r="U72" s="10"/>
      <c r="V72" s="10"/>
      <c r="W72" s="10"/>
      <c r="X72" s="10"/>
      <c r="Y72" s="6"/>
      <c r="Z72" s="6"/>
      <c r="AA72" s="6"/>
      <c r="AB72" s="6"/>
      <c r="AC72" s="6"/>
      <c r="AD72" s="6"/>
      <c r="AE72" s="6"/>
      <c r="AF72" s="6"/>
      <c r="AG72" s="6"/>
      <c r="AH72" s="6"/>
      <c r="CO72" s="6"/>
      <c r="CP72" s="6"/>
      <c r="CQ72" s="6"/>
      <c r="CR72" s="6"/>
      <c r="CS72" s="6"/>
      <c r="CT72" s="6"/>
      <c r="CU72" s="6"/>
      <c r="CV72" s="6"/>
    </row>
    <row r="73" spans="1:100" s="138" customFormat="1" ht="13.5" customHeight="1" x14ac:dyDescent="0.2">
      <c r="A73" s="167" t="s">
        <v>132</v>
      </c>
      <c r="B73" s="167"/>
      <c r="C73" s="167"/>
      <c r="D73" s="167"/>
      <c r="E73" s="167"/>
      <c r="F73" s="167"/>
      <c r="G73" s="167"/>
      <c r="H73" s="61">
        <f>(H53+H50+H66+H71)</f>
        <v>206643.15438319466</v>
      </c>
      <c r="I73" s="10"/>
      <c r="J73" s="137"/>
      <c r="K73" s="137"/>
      <c r="L73" s="137"/>
      <c r="M73" s="137"/>
      <c r="N73" s="137"/>
      <c r="O73" s="137"/>
      <c r="P73" s="137"/>
      <c r="Q73" s="137"/>
      <c r="R73" s="137"/>
      <c r="S73" s="137"/>
      <c r="T73" s="137"/>
      <c r="U73" s="137"/>
      <c r="V73" s="137"/>
      <c r="W73" s="137"/>
      <c r="X73" s="137"/>
      <c r="BX73" s="6"/>
      <c r="BY73" s="6"/>
      <c r="BZ73" s="6"/>
      <c r="CA73" s="6"/>
      <c r="CB73" s="6"/>
      <c r="CC73" s="6"/>
      <c r="CD73" s="6"/>
      <c r="CE73" s="6"/>
    </row>
    <row r="74" spans="1:100" s="138" customFormat="1" ht="13.5" customHeight="1" thickBo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6"/>
      <c r="Z74" s="6"/>
      <c r="AA74" s="6"/>
      <c r="AB74" s="6"/>
      <c r="AC74" s="6"/>
      <c r="AD74" s="6"/>
      <c r="AE74" s="6"/>
      <c r="AF74" s="6"/>
      <c r="AG74" s="6"/>
      <c r="AH74" s="6"/>
      <c r="CO74" s="6"/>
      <c r="CP74" s="6"/>
      <c r="CQ74" s="6"/>
      <c r="CR74" s="6"/>
      <c r="CS74" s="6"/>
      <c r="CT74" s="6"/>
      <c r="CU74" s="6"/>
      <c r="CV74" s="6"/>
    </row>
    <row r="75" spans="1:100" s="138" customFormat="1" ht="13.5" customHeight="1" thickBot="1" x14ac:dyDescent="0.25">
      <c r="A75" s="177" t="s">
        <v>61</v>
      </c>
      <c r="B75" s="178"/>
      <c r="C75" s="178"/>
      <c r="D75" s="178"/>
      <c r="E75" s="178"/>
      <c r="F75" s="178"/>
      <c r="G75" s="178"/>
      <c r="H75" s="179"/>
      <c r="I75" s="1"/>
      <c r="J75" s="137"/>
      <c r="K75" s="137"/>
      <c r="L75" s="137"/>
      <c r="M75" s="137"/>
      <c r="N75" s="10"/>
      <c r="O75" s="10"/>
      <c r="P75" s="10"/>
      <c r="Q75" s="10"/>
      <c r="R75" s="10"/>
      <c r="S75" s="10"/>
      <c r="T75" s="10"/>
      <c r="U75" s="10"/>
      <c r="V75" s="10"/>
      <c r="W75" s="10"/>
      <c r="X75" s="10"/>
      <c r="Y75" s="6"/>
      <c r="Z75" s="6"/>
      <c r="AA75" s="6"/>
      <c r="AB75" s="6"/>
      <c r="AC75" s="6"/>
      <c r="AD75" s="6"/>
      <c r="AE75" s="6"/>
      <c r="AF75" s="6"/>
      <c r="AG75" s="6"/>
      <c r="AH75" s="6"/>
      <c r="CO75" s="6"/>
      <c r="CP75" s="6"/>
      <c r="CQ75" s="6"/>
      <c r="CR75" s="6"/>
      <c r="CS75" s="6"/>
      <c r="CT75" s="6"/>
      <c r="CU75" s="6"/>
      <c r="CV75" s="6"/>
    </row>
    <row r="76" spans="1:100" s="138" customFormat="1" ht="13.5" customHeight="1" x14ac:dyDescent="0.2">
      <c r="A76" s="184"/>
      <c r="B76" s="180"/>
      <c r="C76" s="180"/>
      <c r="D76" s="182" t="s">
        <v>134</v>
      </c>
      <c r="E76" s="182" t="s">
        <v>135</v>
      </c>
      <c r="F76" s="182" t="s">
        <v>133</v>
      </c>
      <c r="G76" s="182" t="s">
        <v>103</v>
      </c>
      <c r="H76" s="183" t="s">
        <v>36</v>
      </c>
      <c r="I76" s="1"/>
      <c r="J76" s="137"/>
      <c r="K76" s="137"/>
      <c r="L76" s="137"/>
      <c r="M76" s="137"/>
      <c r="N76" s="10"/>
      <c r="O76" s="10"/>
      <c r="P76" s="10"/>
      <c r="Q76" s="10"/>
      <c r="R76" s="10"/>
      <c r="S76" s="10"/>
      <c r="T76" s="10"/>
      <c r="U76" s="10"/>
      <c r="V76" s="10"/>
      <c r="W76" s="10"/>
      <c r="X76" s="10"/>
      <c r="Y76" s="6"/>
      <c r="Z76" s="6"/>
      <c r="CG76" s="6"/>
      <c r="CH76" s="6"/>
      <c r="CI76" s="6"/>
      <c r="CJ76" s="6"/>
      <c r="CK76" s="6"/>
      <c r="CL76" s="6"/>
      <c r="CM76" s="6"/>
      <c r="CN76" s="6"/>
    </row>
    <row r="77" spans="1:100" s="138" customFormat="1" ht="13.5" customHeight="1" x14ac:dyDescent="0.2">
      <c r="A77" s="185"/>
      <c r="B77" s="181"/>
      <c r="C77" s="181"/>
      <c r="D77" s="173"/>
      <c r="E77" s="173"/>
      <c r="F77" s="173"/>
      <c r="G77" s="173"/>
      <c r="H77" s="175"/>
      <c r="I77" s="1"/>
      <c r="J77" s="137"/>
      <c r="K77" s="137"/>
      <c r="L77" s="137"/>
      <c r="M77" s="137"/>
      <c r="N77" s="10"/>
      <c r="O77" s="10"/>
      <c r="P77" s="10"/>
      <c r="Q77" s="10"/>
      <c r="R77" s="10"/>
      <c r="S77" s="10"/>
      <c r="T77" s="10"/>
      <c r="U77" s="10"/>
      <c r="V77" s="10"/>
      <c r="W77" s="10"/>
      <c r="X77" s="10"/>
      <c r="Y77" s="6"/>
      <c r="Z77" s="6"/>
      <c r="CG77" s="6"/>
      <c r="CH77" s="6"/>
      <c r="CI77" s="6"/>
      <c r="CJ77" s="6"/>
      <c r="CK77" s="6"/>
      <c r="CL77" s="6"/>
      <c r="CM77" s="6"/>
      <c r="CN77" s="6"/>
    </row>
    <row r="78" spans="1:100" s="138" customFormat="1" ht="13.5" customHeight="1" x14ac:dyDescent="0.2">
      <c r="A78" s="196" t="s">
        <v>62</v>
      </c>
      <c r="B78" s="197"/>
      <c r="C78" s="137"/>
      <c r="D78" s="62">
        <f>(D71)</f>
        <v>3750</v>
      </c>
      <c r="E78" s="62">
        <f>D152-(7000*J151)</f>
        <v>35.77092258710676</v>
      </c>
      <c r="F78" s="63">
        <v>0.68</v>
      </c>
      <c r="G78" s="63">
        <f>G17</f>
        <v>1.1000000000000001</v>
      </c>
      <c r="H78" s="115">
        <f>IF(ISERR(D78*F78*G78*E78),0,(D78*F78*G78*E78))</f>
        <v>100337.43785683447</v>
      </c>
      <c r="I78" s="1"/>
      <c r="J78" s="137"/>
      <c r="K78" s="137"/>
      <c r="L78" s="137"/>
      <c r="M78" s="137"/>
      <c r="N78" s="10"/>
      <c r="O78" s="10"/>
      <c r="P78" s="137"/>
      <c r="Q78" s="137"/>
      <c r="R78" s="137"/>
      <c r="S78" s="137"/>
      <c r="T78" s="10"/>
      <c r="U78" s="10"/>
      <c r="V78" s="10"/>
      <c r="W78" s="10"/>
      <c r="X78" s="10"/>
      <c r="Y78" s="6"/>
      <c r="Z78" s="6"/>
      <c r="CG78" s="6"/>
      <c r="CH78" s="6"/>
      <c r="CI78" s="6"/>
      <c r="CJ78" s="6"/>
      <c r="CK78" s="6"/>
      <c r="CL78" s="6"/>
      <c r="CM78" s="6"/>
      <c r="CN78" s="6"/>
    </row>
    <row r="79" spans="1:100" s="138" customFormat="1" ht="13.5" customHeight="1" x14ac:dyDescent="0.2">
      <c r="A79" s="196" t="s">
        <v>63</v>
      </c>
      <c r="B79" s="197"/>
      <c r="C79" s="137"/>
      <c r="D79" s="10">
        <f>(C46)</f>
        <v>100</v>
      </c>
      <c r="E79" s="10">
        <f>D152-(7000*J151)</f>
        <v>35.77092258710676</v>
      </c>
      <c r="F79" s="22">
        <v>0.68</v>
      </c>
      <c r="G79" s="22">
        <f>G17</f>
        <v>1.1000000000000001</v>
      </c>
      <c r="H79" s="31">
        <f>IF(ISERR(D79*F79*G79*E79),0,(D79*F79*G79*E79))</f>
        <v>2675.665009515586</v>
      </c>
      <c r="I79" s="1"/>
      <c r="J79" s="137"/>
      <c r="K79" s="137"/>
      <c r="L79" s="137"/>
      <c r="M79" s="137"/>
      <c r="N79" s="137"/>
      <c r="O79" s="137"/>
      <c r="P79" s="137"/>
      <c r="Q79" s="137"/>
      <c r="R79" s="137"/>
      <c r="S79" s="137"/>
      <c r="T79" s="137"/>
      <c r="U79" s="137"/>
      <c r="V79" s="137"/>
      <c r="W79" s="137"/>
      <c r="X79" s="137"/>
      <c r="BW79" s="6"/>
      <c r="BX79" s="6"/>
      <c r="BY79" s="6"/>
      <c r="BZ79" s="6"/>
      <c r="CA79" s="6"/>
      <c r="CB79" s="6"/>
      <c r="CC79" s="6"/>
      <c r="CD79" s="6"/>
    </row>
    <row r="80" spans="1:100" s="138" customFormat="1" ht="13.5" customHeight="1" x14ac:dyDescent="0.2">
      <c r="A80" s="194" t="s">
        <v>64</v>
      </c>
      <c r="B80" s="195"/>
      <c r="C80" s="64">
        <f>(C41)</f>
        <v>10</v>
      </c>
      <c r="D80" s="236">
        <v>200</v>
      </c>
      <c r="E80" s="236"/>
      <c r="F80" s="236"/>
      <c r="G80" s="24">
        <f>G17</f>
        <v>1.1000000000000001</v>
      </c>
      <c r="H80" s="25">
        <f>(C80*D80*G80)</f>
        <v>2200</v>
      </c>
      <c r="I80" s="1"/>
      <c r="J80" s="137"/>
      <c r="K80" s="137"/>
      <c r="L80" s="137"/>
      <c r="M80" s="137"/>
      <c r="N80" s="137"/>
      <c r="O80" s="137"/>
      <c r="P80" s="137"/>
      <c r="Q80" s="137"/>
      <c r="R80" s="137"/>
      <c r="S80" s="137"/>
      <c r="T80" s="137"/>
      <c r="U80" s="137"/>
      <c r="V80" s="137"/>
      <c r="W80" s="137"/>
      <c r="X80" s="137"/>
      <c r="BW80" s="6"/>
      <c r="BX80" s="6"/>
      <c r="BY80" s="6"/>
      <c r="BZ80" s="6"/>
      <c r="CA80" s="6"/>
      <c r="CB80" s="6"/>
      <c r="CC80" s="6"/>
      <c r="CD80" s="6"/>
    </row>
    <row r="81" spans="1:100" s="138" customFormat="1" ht="13.5" customHeight="1" thickBot="1" x14ac:dyDescent="0.25">
      <c r="A81" s="234" t="s">
        <v>100</v>
      </c>
      <c r="B81" s="235"/>
      <c r="C81" s="235"/>
      <c r="D81" s="235"/>
      <c r="E81" s="235"/>
      <c r="F81" s="235"/>
      <c r="G81" s="235"/>
      <c r="H81" s="33">
        <f>SUM(H78:H80)</f>
        <v>105213.10286635006</v>
      </c>
      <c r="I81" s="1"/>
      <c r="J81" s="137"/>
      <c r="K81" s="137"/>
      <c r="L81" s="137"/>
      <c r="M81" s="137"/>
      <c r="N81" s="137"/>
      <c r="O81" s="137"/>
      <c r="P81" s="137"/>
      <c r="Q81" s="137"/>
      <c r="R81" s="137"/>
      <c r="S81" s="137"/>
      <c r="T81" s="137"/>
      <c r="U81" s="137"/>
      <c r="V81" s="137"/>
      <c r="W81" s="137"/>
      <c r="X81" s="137"/>
      <c r="BW81" s="6"/>
      <c r="BX81" s="6"/>
      <c r="BY81" s="6"/>
      <c r="BZ81" s="6"/>
      <c r="CA81" s="6"/>
      <c r="CB81" s="6"/>
      <c r="CC81" s="6"/>
      <c r="CD81" s="6"/>
    </row>
    <row r="82" spans="1:100" s="138" customFormat="1" ht="13.5" customHeight="1" x14ac:dyDescent="0.2">
      <c r="A82" s="10"/>
      <c r="B82" s="10"/>
      <c r="C82" s="10"/>
      <c r="D82" s="10"/>
      <c r="E82" s="10"/>
      <c r="F82" s="10"/>
      <c r="G82" s="10"/>
      <c r="H82" s="10"/>
      <c r="I82" s="10"/>
      <c r="J82" s="137"/>
      <c r="K82" s="137"/>
      <c r="L82" s="137"/>
      <c r="M82" s="137"/>
      <c r="N82" s="137"/>
      <c r="O82" s="137"/>
      <c r="P82" s="137"/>
      <c r="Q82" s="137"/>
      <c r="R82" s="137"/>
      <c r="S82" s="137"/>
      <c r="T82" s="137"/>
      <c r="U82" s="137"/>
      <c r="V82" s="137"/>
      <c r="W82" s="137"/>
      <c r="X82" s="137"/>
      <c r="BW82" s="6"/>
      <c r="BX82" s="6"/>
      <c r="BY82" s="6"/>
      <c r="BZ82" s="6"/>
      <c r="CA82" s="6"/>
      <c r="CB82" s="6"/>
      <c r="CC82" s="6"/>
      <c r="CD82" s="6"/>
    </row>
    <row r="83" spans="1:100" s="138" customFormat="1" ht="13.5" customHeight="1" x14ac:dyDescent="0.2">
      <c r="A83" s="167" t="s">
        <v>136</v>
      </c>
      <c r="B83" s="167"/>
      <c r="C83" s="167"/>
      <c r="D83" s="167"/>
      <c r="E83" s="167"/>
      <c r="F83" s="167"/>
      <c r="G83" s="167"/>
      <c r="H83" s="61">
        <f>(H81)</f>
        <v>105213.10286635006</v>
      </c>
      <c r="I83" s="10"/>
      <c r="J83" s="137"/>
      <c r="K83" s="137"/>
      <c r="L83" s="137"/>
      <c r="M83" s="137"/>
      <c r="N83" s="10"/>
      <c r="O83" s="137"/>
      <c r="P83" s="137"/>
      <c r="Q83" s="137"/>
      <c r="R83" s="137"/>
      <c r="S83" s="137"/>
      <c r="T83" s="137"/>
      <c r="U83" s="137"/>
      <c r="V83" s="137"/>
      <c r="W83" s="137"/>
      <c r="X83" s="137"/>
      <c r="BW83" s="6"/>
      <c r="BX83" s="6"/>
      <c r="BY83" s="6"/>
      <c r="BZ83" s="6"/>
      <c r="CA83" s="6"/>
      <c r="CB83" s="6"/>
      <c r="CC83" s="6"/>
      <c r="CD83" s="6"/>
    </row>
    <row r="84" spans="1:100" s="138" customFormat="1" ht="13.5" customHeight="1" x14ac:dyDescent="0.2">
      <c r="A84" s="6"/>
      <c r="B84" s="6"/>
      <c r="C84" s="6"/>
      <c r="D84" s="6"/>
      <c r="E84" s="6"/>
      <c r="F84" s="6"/>
      <c r="G84" s="6"/>
      <c r="H84" s="6"/>
      <c r="I84" s="6"/>
      <c r="J84" s="137"/>
      <c r="K84" s="137"/>
      <c r="L84" s="137"/>
      <c r="M84" s="137"/>
      <c r="N84" s="10"/>
      <c r="O84" s="137"/>
      <c r="P84" s="10"/>
      <c r="Q84" s="137"/>
      <c r="R84" s="137"/>
      <c r="S84" s="137"/>
      <c r="T84" s="137"/>
      <c r="U84" s="137"/>
      <c r="V84" s="137"/>
      <c r="W84" s="137"/>
      <c r="X84" s="137"/>
      <c r="BW84" s="6"/>
      <c r="BX84" s="6"/>
      <c r="BY84" s="6"/>
      <c r="BZ84" s="6"/>
      <c r="CA84" s="6"/>
      <c r="CB84" s="6"/>
      <c r="CC84" s="6"/>
      <c r="CD84" s="6"/>
    </row>
    <row r="85" spans="1:100" s="138" customFormat="1" ht="13.5" customHeight="1" x14ac:dyDescent="0.2">
      <c r="A85" s="65" t="s">
        <v>139</v>
      </c>
      <c r="B85" s="147"/>
      <c r="C85" s="148"/>
      <c r="D85" s="66">
        <f>(H53+H50)/(H53+H50+H80)</f>
        <v>0.97973410396091309</v>
      </c>
      <c r="E85" s="167" t="s">
        <v>137</v>
      </c>
      <c r="F85" s="167"/>
      <c r="G85" s="167"/>
      <c r="H85" s="61">
        <f>(H73+H83)</f>
        <v>311856.25724954472</v>
      </c>
      <c r="I85" s="10"/>
      <c r="J85" s="1"/>
      <c r="K85" s="131"/>
      <c r="L85" s="137"/>
      <c r="M85" s="110"/>
      <c r="N85" s="10"/>
      <c r="O85" s="137"/>
      <c r="P85" s="137"/>
      <c r="Q85" s="137"/>
      <c r="R85" s="137"/>
      <c r="S85" s="137"/>
      <c r="T85" s="137"/>
      <c r="U85" s="137"/>
      <c r="V85" s="137"/>
      <c r="W85" s="137"/>
      <c r="X85" s="137"/>
      <c r="Z85" s="6"/>
      <c r="CG85" s="6"/>
      <c r="CH85" s="6"/>
      <c r="CI85" s="6"/>
      <c r="CJ85" s="6"/>
      <c r="CK85" s="6"/>
      <c r="CL85" s="6"/>
      <c r="CM85" s="6"/>
      <c r="CN85" s="6"/>
    </row>
    <row r="86" spans="1:100" s="138" customFormat="1" ht="13.5" customHeight="1" x14ac:dyDescent="0.2">
      <c r="A86" s="65" t="s">
        <v>140</v>
      </c>
      <c r="B86" s="147"/>
      <c r="C86" s="148"/>
      <c r="D86" s="66">
        <f>(H73/(H73+H83))</f>
        <v>0.66262308220367239</v>
      </c>
      <c r="E86" s="167" t="s">
        <v>138</v>
      </c>
      <c r="F86" s="167"/>
      <c r="G86" s="167"/>
      <c r="H86" s="67">
        <f>(H85/12000)</f>
        <v>25.988021437462059</v>
      </c>
      <c r="I86" s="10"/>
      <c r="J86" s="1"/>
      <c r="K86" s="137"/>
      <c r="L86" s="137"/>
      <c r="M86" s="110"/>
      <c r="N86" s="10"/>
      <c r="O86" s="137"/>
      <c r="P86" s="137"/>
      <c r="Q86" s="137"/>
      <c r="R86" s="137"/>
      <c r="S86" s="137"/>
      <c r="T86" s="137"/>
      <c r="U86" s="137"/>
      <c r="V86" s="137"/>
      <c r="W86" s="137"/>
      <c r="X86" s="137"/>
      <c r="Z86" s="6"/>
      <c r="CG86" s="6"/>
      <c r="CH86" s="6"/>
      <c r="CI86" s="6"/>
      <c r="CJ86" s="6"/>
      <c r="CK86" s="6"/>
      <c r="CL86" s="6"/>
      <c r="CM86" s="6"/>
      <c r="CN86" s="6"/>
    </row>
    <row r="87" spans="1:100" s="138" customFormat="1" ht="13.5" customHeight="1" x14ac:dyDescent="0.2">
      <c r="A87" s="65" t="s">
        <v>143</v>
      </c>
      <c r="B87" s="149"/>
      <c r="C87" s="148"/>
      <c r="D87" s="68">
        <f>(D88+(H85/(4.5*E51)))</f>
        <v>35.413950024430861</v>
      </c>
      <c r="E87" s="232" t="s">
        <v>141</v>
      </c>
      <c r="F87" s="232"/>
      <c r="G87" s="232"/>
      <c r="H87" s="150">
        <f>IF(A12="DT",(((E51-D71)*G8)+(D71*D8))/E51,((((E51-D71)*G8)+(D71*D8))/E51)+E65)</f>
        <v>89.860054247135722</v>
      </c>
      <c r="J87" s="137"/>
      <c r="K87" s="137"/>
      <c r="L87" s="137"/>
      <c r="M87" s="137"/>
      <c r="N87" s="10"/>
      <c r="O87" s="137"/>
      <c r="P87" s="137"/>
      <c r="Q87" s="137"/>
      <c r="R87" s="137"/>
      <c r="S87" s="137"/>
      <c r="T87" s="137"/>
      <c r="U87" s="137"/>
      <c r="V87" s="137"/>
      <c r="W87" s="137"/>
      <c r="X87" s="137"/>
      <c r="AC87" s="10"/>
      <c r="CJ87" s="6"/>
      <c r="CK87" s="6"/>
      <c r="CL87" s="6"/>
      <c r="CM87" s="6"/>
      <c r="CN87" s="6"/>
      <c r="CO87" s="6"/>
      <c r="CP87" s="6"/>
      <c r="CQ87" s="6"/>
    </row>
    <row r="88" spans="1:100" ht="13.5" customHeight="1" x14ac:dyDescent="0.2">
      <c r="A88" s="65" t="s">
        <v>144</v>
      </c>
      <c r="B88" s="149"/>
      <c r="C88" s="151"/>
      <c r="D88" s="68">
        <f>(P155)</f>
        <v>20.411203433762623</v>
      </c>
      <c r="E88" s="232" t="s">
        <v>142</v>
      </c>
      <c r="F88" s="232"/>
      <c r="G88" s="232"/>
      <c r="H88" s="150">
        <f>IF(A12="DT",(G8-C51-C53),(G8-C51))</f>
        <v>50.769297487925819</v>
      </c>
      <c r="I88" s="2"/>
      <c r="J88" s="130"/>
      <c r="K88" s="130"/>
      <c r="L88" s="130"/>
      <c r="M88" s="130"/>
      <c r="N88" s="10"/>
      <c r="O88" s="18"/>
      <c r="P88" s="18"/>
      <c r="Q88" s="18"/>
      <c r="R88" s="18"/>
      <c r="S88" s="18"/>
      <c r="T88" s="18"/>
      <c r="U88" s="18"/>
      <c r="V88" s="18"/>
      <c r="W88" s="18"/>
      <c r="X88" s="18"/>
      <c r="Y88" s="2"/>
      <c r="Z88" s="2"/>
      <c r="AA88" s="2"/>
      <c r="AB88" s="2"/>
      <c r="AC88" s="2"/>
      <c r="AD88" s="2"/>
      <c r="AE88" s="2"/>
      <c r="AF88" s="2"/>
      <c r="AG88" s="2"/>
      <c r="AH88" s="18"/>
      <c r="CO88" s="2"/>
      <c r="CP88" s="2"/>
      <c r="CQ88" s="2"/>
      <c r="CR88" s="2"/>
      <c r="CS88" s="2"/>
      <c r="CT88" s="2"/>
      <c r="CU88" s="2"/>
      <c r="CV88" s="2"/>
    </row>
    <row r="89" spans="1:100" ht="13.5" customHeight="1" thickBot="1" x14ac:dyDescent="0.25">
      <c r="G89" s="2"/>
      <c r="H89" s="2"/>
      <c r="I89" s="2"/>
      <c r="J89" s="130"/>
      <c r="K89" s="18"/>
      <c r="L89" s="18"/>
      <c r="M89" s="18"/>
      <c r="N89" s="18"/>
      <c r="O89" s="18"/>
      <c r="P89" s="18"/>
      <c r="Q89" s="18"/>
      <c r="R89" s="18"/>
      <c r="S89" s="18"/>
      <c r="T89" s="18"/>
      <c r="U89" s="18"/>
      <c r="V89" s="18"/>
      <c r="W89" s="18"/>
      <c r="X89" s="130"/>
      <c r="Y89" s="2"/>
      <c r="Z89" s="2"/>
      <c r="AA89" s="2"/>
      <c r="AB89" s="2"/>
      <c r="AC89" s="2"/>
      <c r="AD89" s="2"/>
      <c r="AE89" s="2"/>
      <c r="AF89" s="2"/>
      <c r="AG89" s="2"/>
      <c r="AH89" s="18"/>
      <c r="CO89" s="2"/>
      <c r="CP89" s="2"/>
      <c r="CQ89" s="2"/>
      <c r="CR89" s="2"/>
      <c r="CS89" s="2"/>
      <c r="CT89" s="2"/>
      <c r="CU89" s="2"/>
      <c r="CV89" s="2"/>
    </row>
    <row r="90" spans="1:100" ht="13.5" customHeight="1" thickBot="1" x14ac:dyDescent="0.25">
      <c r="B90" s="224" t="s">
        <v>45</v>
      </c>
      <c r="C90" s="225"/>
      <c r="D90" s="225"/>
      <c r="E90" s="225"/>
      <c r="F90" s="225"/>
      <c r="G90" s="225"/>
      <c r="H90" s="226"/>
      <c r="P90" s="130"/>
      <c r="Q90" s="130"/>
      <c r="R90" s="130"/>
      <c r="S90" s="130"/>
      <c r="T90" s="18"/>
      <c r="U90" s="18"/>
      <c r="V90" s="130"/>
      <c r="W90" s="130"/>
      <c r="X90" s="130"/>
      <c r="CB90" s="2"/>
      <c r="CC90" s="2"/>
      <c r="CD90" s="2"/>
      <c r="CE90" s="2"/>
      <c r="CF90" s="2"/>
      <c r="CG90" s="2"/>
      <c r="CH90" s="2"/>
      <c r="CI90" s="2"/>
    </row>
    <row r="91" spans="1:100" ht="13.5" customHeight="1" x14ac:dyDescent="0.2">
      <c r="B91" s="222"/>
      <c r="C91" s="223" t="s">
        <v>108</v>
      </c>
      <c r="D91" s="26" t="s">
        <v>35</v>
      </c>
      <c r="E91" s="172" t="s">
        <v>109</v>
      </c>
      <c r="F91" s="223" t="s">
        <v>110</v>
      </c>
      <c r="G91" s="172" t="s">
        <v>103</v>
      </c>
      <c r="H91" s="174" t="s">
        <v>36</v>
      </c>
      <c r="P91" s="130"/>
      <c r="Q91" s="130"/>
      <c r="R91" s="130"/>
      <c r="S91" s="130"/>
      <c r="T91" s="18"/>
      <c r="U91" s="18"/>
      <c r="V91" s="130"/>
      <c r="W91" s="130"/>
      <c r="X91" s="130"/>
      <c r="CB91" s="2"/>
      <c r="CC91" s="2"/>
      <c r="CD91" s="2"/>
      <c r="CE91" s="2"/>
      <c r="CF91" s="2"/>
      <c r="CG91" s="2"/>
      <c r="CH91" s="2"/>
      <c r="CI91" s="2"/>
    </row>
    <row r="92" spans="1:100" ht="13.5" customHeight="1" x14ac:dyDescent="0.2">
      <c r="B92" s="185"/>
      <c r="C92" s="181"/>
      <c r="D92" s="21" t="s">
        <v>107</v>
      </c>
      <c r="E92" s="173"/>
      <c r="F92" s="181"/>
      <c r="G92" s="173"/>
      <c r="H92" s="175"/>
      <c r="P92" s="130"/>
      <c r="Q92" s="130"/>
      <c r="R92" s="130"/>
      <c r="S92" s="130"/>
      <c r="T92" s="18"/>
      <c r="U92" s="18"/>
      <c r="V92" s="130"/>
      <c r="W92" s="130"/>
      <c r="X92" s="130"/>
      <c r="CB92" s="2"/>
      <c r="CC92" s="2"/>
      <c r="CD92" s="2"/>
      <c r="CE92" s="2"/>
      <c r="CF92" s="2"/>
      <c r="CG92" s="2"/>
      <c r="CH92" s="2"/>
      <c r="CI92" s="2"/>
    </row>
    <row r="93" spans="1:100" ht="13.5" customHeight="1" x14ac:dyDescent="0.2">
      <c r="B93" s="30" t="s">
        <v>44</v>
      </c>
      <c r="C93" s="10" t="str">
        <f t="shared" ref="C93:D96" si="1">B29</f>
        <v>N</v>
      </c>
      <c r="D93" s="137">
        <f t="shared" si="1"/>
        <v>100</v>
      </c>
      <c r="E93" s="10">
        <f>(G8-F8)</f>
        <v>60</v>
      </c>
      <c r="F93" s="22">
        <f>D12</f>
        <v>0.1</v>
      </c>
      <c r="G93" s="157">
        <v>1.2</v>
      </c>
      <c r="H93" s="31">
        <f>(D93*E93*F93*G93)</f>
        <v>720</v>
      </c>
      <c r="P93" s="130"/>
      <c r="Q93" s="130"/>
      <c r="R93" s="130"/>
      <c r="S93" s="130"/>
      <c r="T93" s="18"/>
      <c r="U93" s="18"/>
      <c r="V93" s="130"/>
      <c r="W93" s="130"/>
      <c r="X93" s="130"/>
      <c r="CB93" s="2"/>
      <c r="CC93" s="2"/>
      <c r="CD93" s="2"/>
      <c r="CE93" s="2"/>
      <c r="CF93" s="2"/>
      <c r="CG93" s="2"/>
      <c r="CH93" s="2"/>
      <c r="CI93" s="2"/>
    </row>
    <row r="94" spans="1:100" ht="13.5" customHeight="1" x14ac:dyDescent="0.2">
      <c r="B94" s="30" t="s">
        <v>44</v>
      </c>
      <c r="C94" s="10" t="str">
        <f t="shared" si="1"/>
        <v>S</v>
      </c>
      <c r="D94" s="10">
        <f t="shared" si="1"/>
        <v>100</v>
      </c>
      <c r="E94" s="10">
        <f>(G8-F8)</f>
        <v>60</v>
      </c>
      <c r="F94" s="22">
        <f>D12</f>
        <v>0.1</v>
      </c>
      <c r="G94" s="22">
        <f>G93</f>
        <v>1.2</v>
      </c>
      <c r="H94" s="31">
        <f>(D94*E94*F94*G94)</f>
        <v>720</v>
      </c>
      <c r="P94" s="130"/>
      <c r="Q94" s="130"/>
      <c r="R94" s="130"/>
      <c r="S94" s="130"/>
      <c r="T94" s="18"/>
      <c r="U94" s="18"/>
      <c r="V94" s="130"/>
      <c r="W94" s="130"/>
      <c r="X94" s="130"/>
      <c r="CB94" s="2"/>
      <c r="CC94" s="2"/>
      <c r="CD94" s="2"/>
      <c r="CE94" s="2"/>
      <c r="CF94" s="2"/>
      <c r="CG94" s="2"/>
      <c r="CH94" s="2"/>
      <c r="CI94" s="2"/>
    </row>
    <row r="95" spans="1:100" ht="13.5" customHeight="1" x14ac:dyDescent="0.2">
      <c r="B95" s="30" t="s">
        <v>44</v>
      </c>
      <c r="C95" s="10" t="str">
        <f t="shared" si="1"/>
        <v>E</v>
      </c>
      <c r="D95" s="10">
        <f t="shared" si="1"/>
        <v>100</v>
      </c>
      <c r="E95" s="10">
        <f>(G8-F8)</f>
        <v>60</v>
      </c>
      <c r="F95" s="22">
        <f>D12</f>
        <v>0.1</v>
      </c>
      <c r="G95" s="22">
        <f>G93</f>
        <v>1.2</v>
      </c>
      <c r="H95" s="31">
        <f>(D95*E95*F95*G95)</f>
        <v>720</v>
      </c>
      <c r="P95" s="130"/>
      <c r="Q95" s="130"/>
      <c r="R95" s="130"/>
      <c r="S95" s="130"/>
      <c r="T95" s="18"/>
      <c r="U95" s="18"/>
      <c r="V95" s="130"/>
      <c r="W95" s="130"/>
      <c r="X95" s="130"/>
      <c r="CB95" s="2"/>
      <c r="CC95" s="2"/>
      <c r="CD95" s="2"/>
      <c r="CE95" s="2"/>
      <c r="CF95" s="2"/>
      <c r="CG95" s="2"/>
      <c r="CH95" s="2"/>
      <c r="CI95" s="2"/>
    </row>
    <row r="96" spans="1:100" ht="13.5" customHeight="1" x14ac:dyDescent="0.2">
      <c r="B96" s="30" t="s">
        <v>44</v>
      </c>
      <c r="C96" s="10" t="str">
        <f t="shared" si="1"/>
        <v>W</v>
      </c>
      <c r="D96" s="10">
        <f t="shared" si="1"/>
        <v>100</v>
      </c>
      <c r="E96" s="10">
        <f>(G8-F8)</f>
        <v>60</v>
      </c>
      <c r="F96" s="22">
        <f>D12</f>
        <v>0.1</v>
      </c>
      <c r="G96" s="22">
        <f>G93</f>
        <v>1.2</v>
      </c>
      <c r="H96" s="31">
        <f>(D96*E96*F96*G96)</f>
        <v>720</v>
      </c>
      <c r="P96" s="130"/>
      <c r="Q96" s="130"/>
      <c r="R96" s="130"/>
      <c r="S96" s="130"/>
      <c r="T96" s="18"/>
      <c r="U96" s="18"/>
      <c r="V96" s="130"/>
      <c r="W96" s="130"/>
      <c r="X96" s="130"/>
      <c r="CB96" s="2"/>
      <c r="CC96" s="2"/>
      <c r="CD96" s="2"/>
      <c r="CE96" s="2"/>
      <c r="CF96" s="2"/>
      <c r="CG96" s="2"/>
      <c r="CH96" s="2"/>
      <c r="CI96" s="2"/>
    </row>
    <row r="97" spans="2:100" ht="13.5" customHeight="1" x14ac:dyDescent="0.2">
      <c r="B97" s="30" t="s">
        <v>46</v>
      </c>
      <c r="C97" s="233" t="s">
        <v>47</v>
      </c>
      <c r="D97" s="233"/>
      <c r="E97" s="233"/>
      <c r="F97" s="233"/>
      <c r="G97" s="233"/>
      <c r="H97" s="31"/>
      <c r="P97" s="130"/>
      <c r="Q97" s="130"/>
      <c r="R97" s="130"/>
      <c r="S97" s="130"/>
      <c r="T97" s="18"/>
      <c r="U97" s="18"/>
      <c r="V97" s="130"/>
      <c r="W97" s="130"/>
      <c r="X97" s="130"/>
      <c r="CB97" s="2"/>
      <c r="CC97" s="2"/>
      <c r="CD97" s="2"/>
      <c r="CE97" s="2"/>
      <c r="CF97" s="2"/>
      <c r="CG97" s="2"/>
      <c r="CH97" s="2"/>
      <c r="CI97" s="2"/>
    </row>
    <row r="98" spans="2:100" ht="13.5" customHeight="1" x14ac:dyDescent="0.2">
      <c r="B98" s="30" t="s">
        <v>48</v>
      </c>
      <c r="C98" s="137"/>
      <c r="D98" s="10">
        <f>(C34)</f>
        <v>700</v>
      </c>
      <c r="E98" s="10">
        <f>(G8-F8)</f>
        <v>60</v>
      </c>
      <c r="F98" s="22">
        <f>F12</f>
        <v>1.1299999999999999</v>
      </c>
      <c r="G98" s="22">
        <f>G93</f>
        <v>1.2</v>
      </c>
      <c r="H98" s="31">
        <f>(D98*E98*F98*G98)</f>
        <v>56951.999999999993</v>
      </c>
      <c r="P98" s="130"/>
      <c r="Q98" s="130"/>
      <c r="R98" s="130"/>
      <c r="S98" s="130"/>
      <c r="T98" s="18"/>
      <c r="U98" s="18"/>
      <c r="V98" s="130"/>
      <c r="W98" s="130"/>
      <c r="X98" s="130"/>
      <c r="CB98" s="2"/>
      <c r="CC98" s="2"/>
      <c r="CD98" s="2"/>
      <c r="CE98" s="2"/>
      <c r="CF98" s="2"/>
      <c r="CG98" s="2"/>
      <c r="CH98" s="2"/>
      <c r="CI98" s="2"/>
    </row>
    <row r="99" spans="2:100" ht="13.5" customHeight="1" x14ac:dyDescent="0.2">
      <c r="B99" s="32" t="s">
        <v>49</v>
      </c>
      <c r="C99" s="146"/>
      <c r="D99" s="21">
        <f>(C35)</f>
        <v>100</v>
      </c>
      <c r="E99" s="21">
        <f>(G8-F8)</f>
        <v>60</v>
      </c>
      <c r="F99" s="24">
        <f>F35</f>
        <v>0.2</v>
      </c>
      <c r="G99" s="24">
        <f>G93</f>
        <v>1.2</v>
      </c>
      <c r="H99" s="25">
        <f>(D99*E99*F99*G99)</f>
        <v>1440</v>
      </c>
      <c r="P99" s="130"/>
      <c r="Q99" s="130"/>
      <c r="R99" s="130"/>
      <c r="S99" s="130"/>
      <c r="T99" s="18"/>
      <c r="U99" s="18"/>
      <c r="V99" s="130"/>
      <c r="W99" s="130"/>
      <c r="X99" s="130"/>
      <c r="CB99" s="2"/>
      <c r="CC99" s="2"/>
      <c r="CD99" s="2"/>
      <c r="CE99" s="2"/>
      <c r="CF99" s="2"/>
      <c r="CG99" s="2"/>
      <c r="CH99" s="2"/>
      <c r="CI99" s="2"/>
    </row>
    <row r="100" spans="2:100" ht="13.5" customHeight="1" thickBot="1" x14ac:dyDescent="0.25">
      <c r="B100" s="168" t="s">
        <v>100</v>
      </c>
      <c r="C100" s="169"/>
      <c r="D100" s="169"/>
      <c r="E100" s="169"/>
      <c r="F100" s="169"/>
      <c r="G100" s="169"/>
      <c r="H100" s="33">
        <f>SUM(H93:H99)</f>
        <v>61271.999999999993</v>
      </c>
      <c r="P100" s="130"/>
      <c r="Q100" s="130"/>
      <c r="R100" s="130"/>
      <c r="S100" s="130"/>
      <c r="T100" s="18"/>
      <c r="U100" s="18"/>
      <c r="V100" s="18"/>
      <c r="W100" s="18"/>
      <c r="X100" s="18"/>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row>
    <row r="101" spans="2:100" ht="13.5" customHeight="1" thickBot="1" x14ac:dyDescent="0.25">
      <c r="B101" s="1"/>
      <c r="C101" s="1"/>
      <c r="D101" s="10"/>
      <c r="E101" s="10"/>
      <c r="F101" s="10"/>
      <c r="G101" s="10"/>
      <c r="H101" s="10"/>
      <c r="P101" s="130"/>
      <c r="Q101" s="130"/>
      <c r="R101" s="130"/>
      <c r="S101" s="130"/>
      <c r="T101" s="18"/>
      <c r="U101" s="18"/>
      <c r="V101" s="18"/>
      <c r="W101" s="18"/>
      <c r="X101" s="18"/>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row>
    <row r="102" spans="2:100" ht="13.5" customHeight="1" thickBot="1" x14ac:dyDescent="0.25">
      <c r="B102" s="177" t="s">
        <v>51</v>
      </c>
      <c r="C102" s="178"/>
      <c r="D102" s="178"/>
      <c r="E102" s="178"/>
      <c r="F102" s="178"/>
      <c r="G102" s="178"/>
      <c r="H102" s="179"/>
      <c r="P102" s="130"/>
      <c r="Q102" s="130"/>
      <c r="R102" s="130"/>
      <c r="S102" s="130"/>
      <c r="T102" s="18"/>
      <c r="U102" s="18"/>
      <c r="V102" s="18"/>
      <c r="W102" s="18"/>
      <c r="X102" s="18"/>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row>
    <row r="103" spans="2:100" ht="13.5" customHeight="1" x14ac:dyDescent="0.2">
      <c r="B103" s="34"/>
      <c r="C103" s="35"/>
      <c r="D103" s="137"/>
      <c r="E103" s="180" t="s">
        <v>52</v>
      </c>
      <c r="F103" s="182" t="s">
        <v>131</v>
      </c>
      <c r="G103" s="182" t="s">
        <v>133</v>
      </c>
      <c r="H103" s="183" t="s">
        <v>36</v>
      </c>
      <c r="P103" s="130"/>
      <c r="Q103" s="130"/>
      <c r="R103" s="130"/>
      <c r="S103" s="130"/>
      <c r="T103" s="18"/>
      <c r="U103" s="18"/>
      <c r="V103" s="18"/>
      <c r="W103" s="18"/>
      <c r="X103" s="18"/>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row>
    <row r="104" spans="2:100" ht="13.5" customHeight="1" x14ac:dyDescent="0.2">
      <c r="B104" s="36"/>
      <c r="C104" s="37"/>
      <c r="D104" s="146"/>
      <c r="E104" s="181"/>
      <c r="F104" s="173"/>
      <c r="G104" s="173"/>
      <c r="H104" s="175"/>
      <c r="P104" s="130"/>
      <c r="Q104" s="130"/>
      <c r="R104" s="130"/>
      <c r="S104" s="130"/>
      <c r="T104" s="18"/>
      <c r="U104" s="18"/>
      <c r="V104" s="18"/>
      <c r="W104" s="18"/>
      <c r="X104" s="18"/>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row>
    <row r="105" spans="2:100" ht="13.5" customHeight="1" x14ac:dyDescent="0.2">
      <c r="B105" s="140"/>
      <c r="C105" s="137"/>
      <c r="D105" s="137"/>
      <c r="E105" s="137"/>
      <c r="F105" s="137"/>
      <c r="G105" s="137"/>
      <c r="H105" s="52"/>
      <c r="P105" s="130"/>
      <c r="Q105" s="130"/>
      <c r="R105" s="130"/>
      <c r="S105" s="130"/>
      <c r="T105" s="18"/>
      <c r="U105" s="18"/>
      <c r="V105" s="18"/>
      <c r="W105" s="18"/>
      <c r="X105" s="18"/>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row>
    <row r="106" spans="2:100" ht="13.5" customHeight="1" x14ac:dyDescent="0.2">
      <c r="B106" s="140"/>
      <c r="C106" s="137"/>
      <c r="D106" s="137"/>
      <c r="E106" s="137"/>
      <c r="F106" s="137"/>
      <c r="G106" s="137"/>
      <c r="H106" s="52"/>
      <c r="P106" s="130"/>
      <c r="Q106" s="130"/>
      <c r="R106" s="18"/>
      <c r="S106" s="18"/>
      <c r="T106" s="18"/>
      <c r="U106" s="18"/>
      <c r="V106" s="18"/>
      <c r="W106" s="18"/>
      <c r="X106" s="18"/>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2:100" ht="13.5" customHeight="1" x14ac:dyDescent="0.2">
      <c r="B107" s="140"/>
      <c r="C107" s="137"/>
      <c r="D107" s="137"/>
      <c r="E107" s="137"/>
      <c r="F107" s="137"/>
      <c r="G107" s="137"/>
      <c r="H107" s="52"/>
      <c r="P107" s="130"/>
      <c r="Q107" s="130"/>
      <c r="R107" s="130"/>
      <c r="S107" s="130"/>
      <c r="T107" s="130"/>
      <c r="U107" s="130"/>
      <c r="V107" s="130"/>
      <c r="W107" s="130"/>
      <c r="X107" s="130"/>
      <c r="AI107" s="2"/>
      <c r="AJ107" s="2"/>
      <c r="AK107" s="2"/>
      <c r="AL107" s="2"/>
      <c r="AM107" s="2"/>
      <c r="AN107" s="2"/>
      <c r="AO107" s="2"/>
      <c r="AP107" s="2"/>
      <c r="AQ107" s="2"/>
      <c r="AR107" s="2"/>
      <c r="AS107" s="2"/>
      <c r="AT107" s="2"/>
      <c r="AU107" s="2"/>
      <c r="AV107" s="2"/>
      <c r="AW107" s="2"/>
      <c r="AX107" s="2"/>
      <c r="BL107" s="78"/>
      <c r="BZ107" s="78"/>
    </row>
    <row r="108" spans="2:100" s="138" customFormat="1" ht="13.5" customHeight="1" x14ac:dyDescent="0.2">
      <c r="B108" s="140"/>
      <c r="C108" s="137"/>
      <c r="D108" s="137"/>
      <c r="E108" s="137"/>
      <c r="F108" s="137"/>
      <c r="G108" s="137"/>
      <c r="H108" s="52"/>
      <c r="P108" s="137"/>
      <c r="Q108" s="137"/>
      <c r="R108" s="137"/>
      <c r="S108" s="137"/>
      <c r="T108" s="137"/>
      <c r="U108" s="137"/>
      <c r="V108" s="137"/>
      <c r="W108" s="137"/>
      <c r="X108" s="137"/>
      <c r="AD108" s="6"/>
      <c r="AS108" s="6"/>
      <c r="BL108" s="79"/>
      <c r="BZ108" s="79"/>
    </row>
    <row r="109" spans="2:100" s="138" customFormat="1" ht="13.5" customHeight="1" x14ac:dyDescent="0.2">
      <c r="B109" s="140"/>
      <c r="C109" s="137"/>
      <c r="D109" s="137"/>
      <c r="E109" s="137"/>
      <c r="F109" s="137"/>
      <c r="G109" s="137"/>
      <c r="H109" s="52"/>
      <c r="P109" s="137"/>
      <c r="Q109" s="137"/>
      <c r="R109" s="137"/>
      <c r="S109" s="137"/>
      <c r="T109" s="137"/>
      <c r="U109" s="137"/>
      <c r="V109" s="137"/>
      <c r="W109" s="137"/>
      <c r="X109" s="137"/>
      <c r="AD109" s="6"/>
      <c r="AS109" s="6"/>
      <c r="BL109" s="79"/>
      <c r="BZ109" s="79"/>
    </row>
    <row r="110" spans="2:100" s="138" customFormat="1" ht="13.5" customHeight="1" x14ac:dyDescent="0.2">
      <c r="B110" s="194" t="s">
        <v>53</v>
      </c>
      <c r="C110" s="195"/>
      <c r="D110" s="146"/>
      <c r="E110" s="41">
        <f>(C46)</f>
        <v>100</v>
      </c>
      <c r="F110" s="42">
        <f>(G8-F8)</f>
        <v>60</v>
      </c>
      <c r="G110" s="24">
        <v>1.0845</v>
      </c>
      <c r="H110" s="43">
        <f>IF(ISERR(E110*F110*G110),0,(E110*F110*G110))</f>
        <v>6507</v>
      </c>
      <c r="P110" s="137"/>
      <c r="Q110" s="137"/>
      <c r="R110" s="137"/>
      <c r="S110" s="137"/>
      <c r="T110" s="137"/>
      <c r="U110" s="137"/>
      <c r="V110" s="137"/>
      <c r="W110" s="137"/>
      <c r="X110" s="137"/>
      <c r="AD110" s="6"/>
      <c r="AS110" s="6"/>
      <c r="BL110" s="79"/>
      <c r="BZ110" s="79"/>
    </row>
    <row r="111" spans="2:100" s="138" customFormat="1" ht="13.5" customHeight="1" thickBot="1" x14ac:dyDescent="0.25">
      <c r="B111" s="237" t="s">
        <v>153</v>
      </c>
      <c r="C111" s="238"/>
      <c r="D111" s="238"/>
      <c r="E111" s="238"/>
      <c r="F111" s="238"/>
      <c r="G111" s="238"/>
      <c r="H111" s="152">
        <f>SUM(H105:H110)</f>
        <v>6507</v>
      </c>
      <c r="P111" s="137"/>
      <c r="Q111" s="137"/>
      <c r="R111" s="137"/>
      <c r="S111" s="137"/>
      <c r="T111" s="137"/>
      <c r="U111" s="137"/>
      <c r="V111" s="137"/>
      <c r="W111" s="137"/>
      <c r="X111" s="137"/>
      <c r="AD111" s="6"/>
      <c r="AS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row>
    <row r="112" spans="2:100" s="138" customFormat="1" ht="13.5" customHeight="1" thickBot="1" x14ac:dyDescent="0.25">
      <c r="B112" s="10"/>
      <c r="C112" s="10"/>
      <c r="D112" s="10"/>
      <c r="E112" s="10"/>
      <c r="F112" s="10"/>
      <c r="G112" s="10"/>
      <c r="H112" s="10"/>
      <c r="P112" s="137"/>
      <c r="Q112" s="137"/>
      <c r="R112" s="137"/>
      <c r="S112" s="137"/>
      <c r="T112" s="137"/>
      <c r="U112" s="137"/>
      <c r="V112" s="137"/>
      <c r="W112" s="137"/>
      <c r="X112" s="137"/>
      <c r="AD112" s="6"/>
      <c r="AS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row>
    <row r="113" spans="2:92" s="138" customFormat="1" ht="13.5" customHeight="1" thickBot="1" x14ac:dyDescent="0.25">
      <c r="B113" s="177" t="s">
        <v>54</v>
      </c>
      <c r="C113" s="178"/>
      <c r="D113" s="178"/>
      <c r="E113" s="178"/>
      <c r="F113" s="178"/>
      <c r="G113" s="178"/>
      <c r="H113" s="179"/>
      <c r="P113" s="137"/>
      <c r="Q113" s="137"/>
      <c r="R113" s="137"/>
      <c r="S113" s="137"/>
      <c r="T113" s="137"/>
      <c r="U113" s="137"/>
      <c r="V113" s="137"/>
      <c r="W113" s="137"/>
      <c r="X113" s="137"/>
      <c r="AD113" s="6"/>
      <c r="AS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row>
    <row r="114" spans="2:92" s="138" customFormat="1" ht="13.5" customHeight="1" x14ac:dyDescent="0.2">
      <c r="B114" s="196" t="s">
        <v>101</v>
      </c>
      <c r="C114" s="197"/>
      <c r="D114" s="44">
        <f>C50</f>
        <v>2</v>
      </c>
      <c r="E114" s="227" t="s">
        <v>128</v>
      </c>
      <c r="F114" s="227"/>
      <c r="G114" s="227"/>
      <c r="H114" s="31">
        <f>H100+H111</f>
        <v>67779</v>
      </c>
      <c r="P114" s="137"/>
      <c r="Q114" s="137"/>
      <c r="R114" s="137"/>
      <c r="S114" s="137"/>
      <c r="T114" s="137"/>
      <c r="U114" s="137"/>
      <c r="V114" s="137"/>
      <c r="W114" s="137"/>
      <c r="X114" s="137"/>
      <c r="AD114" s="6"/>
      <c r="AS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row>
    <row r="115" spans="2:92" s="138" customFormat="1" ht="13.5" customHeight="1" x14ac:dyDescent="0.2">
      <c r="B115" s="196" t="s">
        <v>123</v>
      </c>
      <c r="C115" s="197"/>
      <c r="D115" s="240">
        <f>C51</f>
        <v>20</v>
      </c>
      <c r="E115" s="240"/>
      <c r="F115" s="117">
        <f>(H50/(1.0845*D115))</f>
        <v>4619.2468879668049</v>
      </c>
      <c r="G115" s="46"/>
      <c r="H115" s="47"/>
      <c r="P115" s="137"/>
      <c r="Q115" s="137"/>
      <c r="R115" s="137"/>
      <c r="S115" s="137"/>
      <c r="T115" s="137"/>
      <c r="U115" s="137"/>
      <c r="V115" s="137"/>
      <c r="W115" s="137"/>
      <c r="X115" s="137"/>
      <c r="AD115" s="6"/>
      <c r="AS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row>
    <row r="116" spans="2:92" s="138" customFormat="1" ht="13.5" customHeight="1" x14ac:dyDescent="0.2">
      <c r="B116" s="196" t="s">
        <v>121</v>
      </c>
      <c r="C116" s="197"/>
      <c r="D116" s="229">
        <f>C52</f>
        <v>2.4225125277778505</v>
      </c>
      <c r="E116" s="229"/>
      <c r="F116" s="1"/>
      <c r="G116" s="137"/>
      <c r="H116" s="48"/>
      <c r="P116" s="137"/>
      <c r="Q116" s="137"/>
      <c r="R116" s="137"/>
      <c r="S116" s="137"/>
      <c r="T116" s="137"/>
      <c r="U116" s="137"/>
      <c r="V116" s="137"/>
      <c r="W116" s="137"/>
      <c r="X116" s="137"/>
      <c r="AD116" s="6"/>
      <c r="AS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row>
    <row r="117" spans="2:92" s="138" customFormat="1" ht="13.5" customHeight="1" x14ac:dyDescent="0.2">
      <c r="B117" s="196" t="s">
        <v>122</v>
      </c>
      <c r="C117" s="197"/>
      <c r="D117" s="110">
        <f>C53</f>
        <v>1.230702512074183</v>
      </c>
      <c r="E117" s="230" t="s">
        <v>127</v>
      </c>
      <c r="F117" s="230"/>
      <c r="G117" s="230"/>
      <c r="H117" s="31">
        <f>-H53</f>
        <v>-6165.2943831946295</v>
      </c>
      <c r="P117" s="137"/>
      <c r="Q117" s="137"/>
      <c r="R117" s="137"/>
      <c r="S117" s="137"/>
      <c r="T117" s="137"/>
      <c r="U117" s="137"/>
      <c r="V117" s="137"/>
      <c r="W117" s="137"/>
      <c r="X117" s="137"/>
      <c r="AD117" s="6"/>
      <c r="AS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row>
    <row r="118" spans="2:92" s="138" customFormat="1" ht="13.5" customHeight="1" thickBot="1" x14ac:dyDescent="0.25">
      <c r="B118" s="168" t="s">
        <v>100</v>
      </c>
      <c r="C118" s="169"/>
      <c r="D118" s="169"/>
      <c r="E118" s="169"/>
      <c r="F118" s="169"/>
      <c r="G118" s="169"/>
      <c r="H118" s="50">
        <f>SUM(H114:H117)</f>
        <v>61613.705616805368</v>
      </c>
      <c r="P118" s="137"/>
      <c r="Q118" s="137"/>
      <c r="R118" s="137"/>
      <c r="S118" s="137"/>
      <c r="T118" s="137"/>
      <c r="U118" s="137"/>
      <c r="V118" s="137"/>
      <c r="W118" s="137"/>
      <c r="X118" s="137"/>
      <c r="AD118" s="6"/>
      <c r="AS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row>
    <row r="119" spans="2:92" s="138" customFormat="1" ht="13.5" customHeight="1" thickBot="1" x14ac:dyDescent="0.25">
      <c r="B119" s="10"/>
      <c r="C119" s="10"/>
      <c r="D119" s="10"/>
      <c r="E119" s="10"/>
      <c r="F119" s="10"/>
      <c r="G119" s="10"/>
      <c r="H119" s="10"/>
      <c r="P119" s="137"/>
      <c r="Q119" s="137"/>
      <c r="R119" s="137"/>
      <c r="S119" s="137"/>
      <c r="T119" s="137"/>
      <c r="U119" s="137"/>
      <c r="V119" s="137"/>
      <c r="W119" s="137"/>
      <c r="X119" s="137"/>
      <c r="AD119" s="6"/>
      <c r="AS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row>
    <row r="120" spans="2:92" s="138" customFormat="1" ht="13.5" customHeight="1" thickBot="1" x14ac:dyDescent="0.25">
      <c r="B120" s="241" t="s">
        <v>56</v>
      </c>
      <c r="C120" s="242"/>
      <c r="D120" s="242"/>
      <c r="E120" s="242"/>
      <c r="F120" s="242"/>
      <c r="G120" s="242"/>
      <c r="H120" s="243"/>
      <c r="P120" s="137"/>
      <c r="Q120" s="137"/>
      <c r="R120" s="137"/>
      <c r="S120" s="137"/>
      <c r="T120" s="137"/>
      <c r="U120" s="137"/>
      <c r="V120" s="137"/>
      <c r="W120" s="137"/>
      <c r="X120" s="137"/>
      <c r="AD120" s="6"/>
      <c r="AS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row>
    <row r="121" spans="2:92" s="138" customFormat="1" ht="13.5" customHeight="1" x14ac:dyDescent="0.2">
      <c r="B121" s="222"/>
      <c r="C121" s="223" t="s">
        <v>108</v>
      </c>
      <c r="D121" s="26" t="s">
        <v>35</v>
      </c>
      <c r="E121" s="182" t="s">
        <v>131</v>
      </c>
      <c r="F121" s="223" t="s">
        <v>110</v>
      </c>
      <c r="G121" s="172" t="s">
        <v>103</v>
      </c>
      <c r="H121" s="174" t="s">
        <v>36</v>
      </c>
      <c r="P121" s="137"/>
      <c r="Q121" s="137"/>
      <c r="R121" s="137"/>
      <c r="S121" s="137"/>
      <c r="T121" s="137"/>
      <c r="U121" s="137"/>
      <c r="V121" s="137"/>
      <c r="W121" s="137"/>
      <c r="X121" s="137"/>
      <c r="AD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row>
    <row r="122" spans="2:92" s="138" customFormat="1" ht="13.5" customHeight="1" x14ac:dyDescent="0.2">
      <c r="B122" s="244"/>
      <c r="C122" s="181"/>
      <c r="D122" s="21" t="s">
        <v>107</v>
      </c>
      <c r="E122" s="173"/>
      <c r="F122" s="181"/>
      <c r="G122" s="173"/>
      <c r="H122" s="175"/>
      <c r="P122" s="137"/>
      <c r="Q122" s="137"/>
      <c r="R122" s="137"/>
      <c r="S122" s="137"/>
      <c r="T122" s="137"/>
      <c r="U122" s="137"/>
      <c r="V122" s="137"/>
      <c r="W122" s="137"/>
      <c r="X122" s="137"/>
      <c r="AD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row>
    <row r="123" spans="2:92" s="138" customFormat="1" ht="13.5" customHeight="1" x14ac:dyDescent="0.2">
      <c r="B123" s="30" t="s">
        <v>44</v>
      </c>
      <c r="C123" s="137" t="str">
        <f t="shared" ref="C123:D127" si="2">B59</f>
        <v>N</v>
      </c>
      <c r="D123" s="39">
        <f t="shared" si="2"/>
        <v>10</v>
      </c>
      <c r="E123" s="10">
        <f>(G8-F8)</f>
        <v>60</v>
      </c>
      <c r="F123" s="22">
        <f>D12</f>
        <v>0.1</v>
      </c>
      <c r="G123" s="22">
        <f>G93</f>
        <v>1.2</v>
      </c>
      <c r="H123" s="52">
        <f t="shared" ref="H123:H128" si="3">D123*E123*F123*G123</f>
        <v>72</v>
      </c>
      <c r="P123" s="137"/>
      <c r="Q123" s="137"/>
      <c r="R123" s="137"/>
      <c r="S123" s="137"/>
      <c r="T123" s="137"/>
      <c r="U123" s="137"/>
      <c r="V123" s="137"/>
      <c r="W123" s="137"/>
      <c r="X123" s="137"/>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row>
    <row r="124" spans="2:92" s="138" customFormat="1" ht="13.5" customHeight="1" x14ac:dyDescent="0.2">
      <c r="B124" s="30" t="s">
        <v>44</v>
      </c>
      <c r="C124" s="137" t="str">
        <f t="shared" si="2"/>
        <v>S</v>
      </c>
      <c r="D124" s="39">
        <f t="shared" si="2"/>
        <v>10</v>
      </c>
      <c r="E124" s="10">
        <f>(G8-F8)</f>
        <v>60</v>
      </c>
      <c r="F124" s="22">
        <f>D12</f>
        <v>0.1</v>
      </c>
      <c r="G124" s="22">
        <f>G93</f>
        <v>1.2</v>
      </c>
      <c r="H124" s="52">
        <f t="shared" si="3"/>
        <v>72</v>
      </c>
      <c r="P124" s="137"/>
      <c r="Q124" s="137"/>
      <c r="R124" s="137"/>
      <c r="S124" s="137"/>
      <c r="T124" s="137"/>
      <c r="U124" s="137"/>
      <c r="V124" s="137"/>
      <c r="W124" s="137"/>
      <c r="X124" s="137"/>
      <c r="AC124" s="6"/>
      <c r="AD124" s="6"/>
      <c r="AR124" s="6"/>
      <c r="AS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row>
    <row r="125" spans="2:92" s="138" customFormat="1" ht="13.5" customHeight="1" x14ac:dyDescent="0.2">
      <c r="B125" s="30" t="s">
        <v>44</v>
      </c>
      <c r="C125" s="137" t="str">
        <f t="shared" si="2"/>
        <v>E</v>
      </c>
      <c r="D125" s="39">
        <f t="shared" si="2"/>
        <v>10</v>
      </c>
      <c r="E125" s="10">
        <f>(G8-F8)</f>
        <v>60</v>
      </c>
      <c r="F125" s="22">
        <f>D12</f>
        <v>0.1</v>
      </c>
      <c r="G125" s="22">
        <f>G93</f>
        <v>1.2</v>
      </c>
      <c r="H125" s="52">
        <f t="shared" si="3"/>
        <v>72</v>
      </c>
      <c r="P125" s="137"/>
      <c r="Q125" s="137"/>
      <c r="R125" s="137"/>
      <c r="S125" s="137"/>
      <c r="T125" s="137"/>
      <c r="U125" s="137"/>
      <c r="V125" s="137"/>
      <c r="W125" s="137"/>
      <c r="X125" s="137"/>
      <c r="AD125" s="6"/>
      <c r="AR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row>
    <row r="126" spans="2:92" s="138" customFormat="1" ht="13.5" customHeight="1" x14ac:dyDescent="0.2">
      <c r="B126" s="30" t="s">
        <v>44</v>
      </c>
      <c r="C126" s="137" t="str">
        <f t="shared" si="2"/>
        <v>W</v>
      </c>
      <c r="D126" s="39">
        <f t="shared" si="2"/>
        <v>10</v>
      </c>
      <c r="E126" s="10">
        <f>(G8-F8)</f>
        <v>60</v>
      </c>
      <c r="F126" s="22">
        <f>D12</f>
        <v>0.1</v>
      </c>
      <c r="G126" s="22">
        <f>G93</f>
        <v>1.2</v>
      </c>
      <c r="H126" s="52">
        <f t="shared" si="3"/>
        <v>72</v>
      </c>
      <c r="P126" s="137"/>
      <c r="Q126" s="137"/>
      <c r="R126" s="137"/>
      <c r="S126" s="137"/>
      <c r="T126" s="137"/>
      <c r="U126" s="137"/>
      <c r="V126" s="137"/>
      <c r="W126" s="137"/>
      <c r="X126" s="137"/>
      <c r="AD126" s="6"/>
      <c r="AR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row>
    <row r="127" spans="2:92" s="138" customFormat="1" ht="13.5" customHeight="1" x14ac:dyDescent="0.2">
      <c r="B127" s="30" t="s">
        <v>46</v>
      </c>
      <c r="C127" s="137" t="str">
        <f t="shared" si="2"/>
        <v>HORIZ.</v>
      </c>
      <c r="D127" s="39">
        <f t="shared" si="2"/>
        <v>100</v>
      </c>
      <c r="E127" s="10">
        <f>(G8-F8)</f>
        <v>60</v>
      </c>
      <c r="F127" s="22">
        <f>E12</f>
        <v>0.08</v>
      </c>
      <c r="G127" s="22">
        <f>G93</f>
        <v>1.2</v>
      </c>
      <c r="H127" s="52">
        <f t="shared" si="3"/>
        <v>576</v>
      </c>
      <c r="P127" s="137"/>
      <c r="Q127" s="137"/>
      <c r="R127" s="137"/>
      <c r="S127" s="137"/>
      <c r="T127" s="137"/>
      <c r="U127" s="137"/>
      <c r="V127" s="137"/>
      <c r="W127" s="137"/>
      <c r="X127" s="137"/>
      <c r="AD127" s="6"/>
      <c r="AR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row>
    <row r="128" spans="2:92" s="138" customFormat="1" ht="13.5" customHeight="1" x14ac:dyDescent="0.2">
      <c r="B128" s="30" t="s">
        <v>125</v>
      </c>
      <c r="C128" s="10" t="s">
        <v>126</v>
      </c>
      <c r="D128" s="39">
        <f>C64</f>
        <v>1000</v>
      </c>
      <c r="E128" s="53">
        <f>D64</f>
        <v>2</v>
      </c>
      <c r="F128" s="40">
        <v>3.4129999999999998</v>
      </c>
      <c r="G128" s="38">
        <f>F64</f>
        <v>0.19999999999999996</v>
      </c>
      <c r="H128" s="52">
        <f t="shared" si="3"/>
        <v>1365.1999999999996</v>
      </c>
      <c r="P128" s="137"/>
      <c r="Q128" s="137"/>
      <c r="R128" s="137"/>
      <c r="S128" s="137"/>
      <c r="T128" s="137"/>
      <c r="U128" s="137"/>
      <c r="V128" s="137"/>
      <c r="W128" s="137"/>
      <c r="X128" s="137"/>
      <c r="AD128" s="6"/>
      <c r="AR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row>
    <row r="129" spans="1:92" s="138" customFormat="1" ht="13.5" customHeight="1" x14ac:dyDescent="0.2">
      <c r="B129" s="32" t="s">
        <v>57</v>
      </c>
      <c r="C129" s="21"/>
      <c r="D129" s="54">
        <f>(D116)</f>
        <v>2.4225125277778505</v>
      </c>
      <c r="E129" s="176" t="s">
        <v>124</v>
      </c>
      <c r="F129" s="176"/>
      <c r="G129" s="176"/>
      <c r="H129" s="43">
        <f>-H65</f>
        <v>0</v>
      </c>
      <c r="P129" s="137"/>
      <c r="Q129" s="137"/>
      <c r="R129" s="137"/>
      <c r="S129" s="137"/>
      <c r="T129" s="137"/>
      <c r="U129" s="137"/>
      <c r="V129" s="137"/>
      <c r="W129" s="137"/>
      <c r="X129" s="137"/>
      <c r="AD129" s="79"/>
      <c r="AR129" s="79"/>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row>
    <row r="130" spans="1:92" s="138" customFormat="1" ht="13.5" customHeight="1" thickBot="1" x14ac:dyDescent="0.25">
      <c r="B130" s="168" t="s">
        <v>100</v>
      </c>
      <c r="C130" s="169"/>
      <c r="D130" s="169"/>
      <c r="E130" s="169"/>
      <c r="F130" s="169"/>
      <c r="G130" s="169"/>
      <c r="H130" s="55">
        <f>SUM(H123:H129)</f>
        <v>2229.1999999999998</v>
      </c>
      <c r="P130" s="137"/>
      <c r="Q130" s="137"/>
      <c r="R130" s="137"/>
      <c r="S130" s="137"/>
      <c r="T130" s="137"/>
      <c r="U130" s="137"/>
      <c r="V130" s="137"/>
      <c r="W130" s="137"/>
      <c r="X130" s="137"/>
      <c r="AD130" s="79"/>
      <c r="AR130" s="79"/>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row>
    <row r="131" spans="1:92" s="138" customFormat="1" ht="13.5" customHeight="1" thickBot="1" x14ac:dyDescent="0.25">
      <c r="B131" s="10"/>
      <c r="C131" s="10"/>
      <c r="D131" s="10"/>
      <c r="E131" s="10"/>
      <c r="F131" s="10"/>
      <c r="G131" s="10"/>
      <c r="H131" s="10"/>
      <c r="P131" s="137"/>
      <c r="Q131" s="137"/>
      <c r="R131" s="137"/>
      <c r="S131" s="137"/>
      <c r="T131" s="137"/>
      <c r="U131" s="137"/>
      <c r="V131" s="137"/>
      <c r="W131" s="137"/>
      <c r="X131" s="137"/>
      <c r="AD131" s="79"/>
      <c r="AR131" s="79"/>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row>
    <row r="132" spans="1:92" s="138" customFormat="1" ht="13.5" customHeight="1" thickBot="1" x14ac:dyDescent="0.25">
      <c r="B132" s="177" t="s">
        <v>59</v>
      </c>
      <c r="C132" s="178"/>
      <c r="D132" s="178"/>
      <c r="E132" s="178"/>
      <c r="F132" s="178"/>
      <c r="G132" s="178"/>
      <c r="H132" s="179"/>
      <c r="P132" s="137"/>
      <c r="Q132" s="137"/>
      <c r="R132" s="137"/>
      <c r="S132" s="137"/>
      <c r="T132" s="137"/>
      <c r="U132" s="137"/>
      <c r="V132" s="137"/>
      <c r="W132" s="137"/>
      <c r="X132" s="137"/>
      <c r="AD132" s="79"/>
      <c r="AR132" s="79"/>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row>
    <row r="133" spans="1:92" s="138" customFormat="1" ht="13.5" customHeight="1" x14ac:dyDescent="0.2">
      <c r="B133" s="184"/>
      <c r="C133" s="180"/>
      <c r="D133" s="180" t="s">
        <v>52</v>
      </c>
      <c r="E133" s="182" t="s">
        <v>131</v>
      </c>
      <c r="F133" s="182" t="s">
        <v>133</v>
      </c>
      <c r="G133" s="182" t="s">
        <v>103</v>
      </c>
      <c r="H133" s="183" t="s">
        <v>36</v>
      </c>
      <c r="P133" s="137"/>
      <c r="Q133" s="137"/>
      <c r="R133" s="137"/>
      <c r="S133" s="137"/>
      <c r="T133" s="137"/>
      <c r="U133" s="137"/>
      <c r="V133" s="137"/>
      <c r="W133" s="137"/>
      <c r="X133" s="137"/>
      <c r="AD133" s="79"/>
      <c r="AR133" s="79"/>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row>
    <row r="134" spans="1:92" s="138" customFormat="1" ht="13.5" customHeight="1" x14ac:dyDescent="0.2">
      <c r="B134" s="185"/>
      <c r="C134" s="181"/>
      <c r="D134" s="181"/>
      <c r="E134" s="173"/>
      <c r="F134" s="173"/>
      <c r="G134" s="173"/>
      <c r="H134" s="175"/>
      <c r="P134" s="137"/>
      <c r="Q134" s="137"/>
      <c r="R134" s="137"/>
      <c r="S134" s="137"/>
      <c r="T134" s="137"/>
      <c r="U134" s="137"/>
      <c r="V134" s="137"/>
      <c r="W134" s="137"/>
      <c r="X134" s="137"/>
      <c r="AD134" s="79"/>
      <c r="AR134" s="79"/>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row>
    <row r="135" spans="1:92" s="138" customFormat="1" ht="13.5" customHeight="1" thickBot="1" x14ac:dyDescent="0.25">
      <c r="B135" s="111" t="s">
        <v>60</v>
      </c>
      <c r="C135" s="153"/>
      <c r="D135" s="56">
        <f>(D71)</f>
        <v>3750</v>
      </c>
      <c r="E135" s="57">
        <f>(G8-F8)</f>
        <v>60</v>
      </c>
      <c r="F135" s="58">
        <v>1.0845</v>
      </c>
      <c r="G135" s="58">
        <f>G93</f>
        <v>1.2</v>
      </c>
      <c r="H135" s="112">
        <f>IF(ISERR(D135*E135*F135*G135),0,(D135*E135*F135*G135))</f>
        <v>292815</v>
      </c>
      <c r="P135" s="137"/>
      <c r="Q135" s="137"/>
      <c r="R135" s="137"/>
      <c r="S135" s="137"/>
      <c r="T135" s="137"/>
      <c r="U135" s="137"/>
      <c r="V135" s="137"/>
      <c r="W135" s="137"/>
      <c r="X135" s="137"/>
      <c r="AD135" s="79"/>
      <c r="AR135" s="79"/>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row>
    <row r="136" spans="1:92" s="138" customFormat="1" ht="13.5" customHeight="1" x14ac:dyDescent="0.2">
      <c r="B136" s="10"/>
      <c r="C136" s="10"/>
      <c r="D136" s="10"/>
      <c r="E136" s="10"/>
      <c r="F136" s="10"/>
      <c r="G136" s="10"/>
      <c r="H136" s="10"/>
      <c r="P136" s="137"/>
      <c r="Q136" s="137"/>
      <c r="R136" s="137"/>
      <c r="S136" s="137"/>
      <c r="T136" s="137"/>
      <c r="U136" s="137"/>
      <c r="V136" s="137"/>
      <c r="W136" s="137"/>
      <c r="X136" s="137"/>
      <c r="AD136" s="79"/>
      <c r="AR136" s="79"/>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row>
    <row r="137" spans="1:92" s="138" customFormat="1" ht="13.5" customHeight="1" x14ac:dyDescent="0.2">
      <c r="B137" s="167" t="s">
        <v>154</v>
      </c>
      <c r="C137" s="167"/>
      <c r="D137" s="167"/>
      <c r="E137" s="167"/>
      <c r="F137" s="167"/>
      <c r="G137" s="167"/>
      <c r="H137" s="61">
        <f>(G114+W66+H135)</f>
        <v>292815</v>
      </c>
      <c r="P137" s="137"/>
      <c r="Q137" s="137"/>
      <c r="R137" s="137"/>
      <c r="S137" s="137"/>
      <c r="T137" s="137"/>
      <c r="U137" s="137"/>
      <c r="V137" s="137"/>
      <c r="W137" s="137"/>
      <c r="X137" s="137"/>
      <c r="AC137" s="6"/>
      <c r="AD137" s="6"/>
      <c r="AR137" s="6"/>
      <c r="AS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row>
    <row r="138" spans="1:92" s="138" customFormat="1" x14ac:dyDescent="0.2">
      <c r="J138" s="137"/>
      <c r="K138" s="137"/>
      <c r="L138" s="137"/>
      <c r="M138" s="137"/>
      <c r="N138" s="137"/>
      <c r="O138" s="137"/>
      <c r="P138" s="137"/>
      <c r="Q138" s="137"/>
      <c r="R138" s="137"/>
      <c r="S138" s="137"/>
      <c r="T138" s="137"/>
      <c r="U138" s="137"/>
      <c r="V138" s="137"/>
      <c r="W138" s="137"/>
      <c r="X138" s="137"/>
      <c r="AC138" s="6"/>
      <c r="AD138" s="6"/>
      <c r="AR138" s="6"/>
      <c r="AS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row>
    <row r="140" spans="1:92" ht="12.75" hidden="1" thickBot="1" x14ac:dyDescent="0.25">
      <c r="A140" s="177" t="s">
        <v>65</v>
      </c>
      <c r="B140" s="178"/>
      <c r="C140" s="178"/>
      <c r="D140" s="178"/>
      <c r="E140" s="179"/>
      <c r="F140" s="2"/>
      <c r="G140" s="177" t="s">
        <v>66</v>
      </c>
      <c r="H140" s="178"/>
      <c r="I140" s="178"/>
      <c r="J140" s="178"/>
      <c r="K140" s="179"/>
      <c r="L140" s="2"/>
      <c r="M140" s="177" t="s">
        <v>67</v>
      </c>
      <c r="N140" s="178"/>
      <c r="O140" s="178"/>
      <c r="P140" s="178"/>
      <c r="Q140" s="179"/>
    </row>
    <row r="141" spans="1:92" hidden="1" x14ac:dyDescent="0.2">
      <c r="A141" s="30" t="s">
        <v>68</v>
      </c>
      <c r="B141" s="1">
        <f>1*D8</f>
        <v>94</v>
      </c>
      <c r="C141" s="69" t="s">
        <v>69</v>
      </c>
      <c r="D141" s="3">
        <f>1*E8</f>
        <v>74</v>
      </c>
      <c r="E141" s="48"/>
      <c r="F141" s="2"/>
      <c r="G141" s="30" t="s">
        <v>68</v>
      </c>
      <c r="H141" s="1">
        <f>1*G8</f>
        <v>72</v>
      </c>
      <c r="I141" s="69" t="s">
        <v>69</v>
      </c>
      <c r="J141" s="3">
        <f>1*H8</f>
        <v>60.08</v>
      </c>
      <c r="K141" s="48"/>
      <c r="L141" s="2"/>
      <c r="M141" s="30" t="s">
        <v>68</v>
      </c>
      <c r="N141" s="3">
        <f>H88</f>
        <v>50.769297487925819</v>
      </c>
      <c r="O141" s="69" t="s">
        <v>69</v>
      </c>
      <c r="P141" s="3">
        <f>N141-0.5</f>
        <v>50.269297487925819</v>
      </c>
      <c r="Q141" s="70"/>
    </row>
    <row r="142" spans="1:92" hidden="1" x14ac:dyDescent="0.2">
      <c r="A142" s="30" t="s">
        <v>70</v>
      </c>
      <c r="B142" s="1">
        <f>((B141-32)*5/9)+273.16</f>
        <v>307.60444444444448</v>
      </c>
      <c r="C142" s="69" t="s">
        <v>70</v>
      </c>
      <c r="D142" s="3">
        <f>((D141-32)*5/9)+273.16</f>
        <v>296.49333333333334</v>
      </c>
      <c r="E142" s="48"/>
      <c r="F142" s="2"/>
      <c r="G142" s="30" t="s">
        <v>70</v>
      </c>
      <c r="H142" s="3">
        <f>((H141-32)*5/9)+273.16</f>
        <v>295.38222222222225</v>
      </c>
      <c r="I142" s="69" t="s">
        <v>70</v>
      </c>
      <c r="J142" s="3">
        <f>((J141-32)*5/9)+273.16</f>
        <v>288.76000000000005</v>
      </c>
      <c r="K142" s="48"/>
      <c r="L142" s="2"/>
      <c r="M142" s="30" t="s">
        <v>70</v>
      </c>
      <c r="N142" s="1">
        <f>((N141-32)*5/9)+273.16</f>
        <v>283.58738749329217</v>
      </c>
      <c r="O142" s="69" t="s">
        <v>70</v>
      </c>
      <c r="P142" s="1">
        <f>((P141-32)*5/9)+273.16</f>
        <v>283.3096097155144</v>
      </c>
      <c r="Q142" s="70"/>
    </row>
    <row r="143" spans="1:92" hidden="1" x14ac:dyDescent="0.2">
      <c r="A143" s="30" t="s">
        <v>71</v>
      </c>
      <c r="B143" s="71">
        <f>(1/(B142/273.16))</f>
        <v>0.88802358006675242</v>
      </c>
      <c r="C143" s="69" t="s">
        <v>71</v>
      </c>
      <c r="D143" s="71">
        <f>(1/(D142/273.16))</f>
        <v>0.9213023339479246</v>
      </c>
      <c r="E143" s="48">
        <f>(2830-1.44*D141)</f>
        <v>2723.44</v>
      </c>
      <c r="F143" s="2"/>
      <c r="G143" s="30" t="s">
        <v>71</v>
      </c>
      <c r="H143" s="71">
        <f>(1/(H142/273.16))</f>
        <v>0.92476790899926276</v>
      </c>
      <c r="I143" s="69" t="s">
        <v>71</v>
      </c>
      <c r="J143" s="71">
        <f>(1/(J142/273.16))</f>
        <v>0.94597589693863404</v>
      </c>
      <c r="K143" s="48">
        <f>2830-(1.44*J141)</f>
        <v>2743.4848000000002</v>
      </c>
      <c r="L143" s="2"/>
      <c r="M143" s="30" t="s">
        <v>71</v>
      </c>
      <c r="N143" s="71">
        <f>(1/(N142/273.16))</f>
        <v>0.963230425776468</v>
      </c>
      <c r="O143" s="69" t="s">
        <v>71</v>
      </c>
      <c r="P143" s="71">
        <f>(1/(P142/273.16))</f>
        <v>0.96417484840805046</v>
      </c>
      <c r="Q143" s="48">
        <f>(2830-1.44*P141)</f>
        <v>2757.6122116173869</v>
      </c>
    </row>
    <row r="144" spans="1:92" hidden="1" x14ac:dyDescent="0.2">
      <c r="A144" s="30" t="s">
        <v>72</v>
      </c>
      <c r="B144" s="71">
        <f>((B143-1)*-1)</f>
        <v>0.11197641993324758</v>
      </c>
      <c r="C144" s="69" t="s">
        <v>72</v>
      </c>
      <c r="D144" s="71">
        <f>((D143-1)*-1)</f>
        <v>7.8697666052075399E-2</v>
      </c>
      <c r="E144" s="48"/>
      <c r="F144" s="2"/>
      <c r="G144" s="30" t="s">
        <v>72</v>
      </c>
      <c r="H144" s="71">
        <f>((H143-1)*-1)</f>
        <v>7.5232091000737245E-2</v>
      </c>
      <c r="I144" s="69" t="s">
        <v>72</v>
      </c>
      <c r="J144" s="71">
        <f>((J143-1)*-1)</f>
        <v>5.4024103061365958E-2</v>
      </c>
      <c r="K144" s="48"/>
      <c r="L144" s="2"/>
      <c r="M144" s="30" t="s">
        <v>72</v>
      </c>
      <c r="N144" s="71">
        <f>((N143-1)*-1)</f>
        <v>3.6769574223531998E-2</v>
      </c>
      <c r="O144" s="69" t="s">
        <v>72</v>
      </c>
      <c r="P144" s="71">
        <f>((P143-1)*-1)</f>
        <v>3.5825151591949544E-2</v>
      </c>
      <c r="Q144" s="70"/>
    </row>
    <row r="145" spans="1:17" hidden="1" x14ac:dyDescent="0.2">
      <c r="A145" s="30" t="s">
        <v>73</v>
      </c>
      <c r="B145" s="71">
        <f>((1/B143)-1)</f>
        <v>0.12609622362148354</v>
      </c>
      <c r="C145" s="69" t="s">
        <v>73</v>
      </c>
      <c r="D145" s="71">
        <f>((1/D143)-1)</f>
        <v>8.5420022453263078E-2</v>
      </c>
      <c r="E145" s="48"/>
      <c r="F145" s="2"/>
      <c r="G145" s="30" t="s">
        <v>73</v>
      </c>
      <c r="H145" s="71">
        <f>((1/H143)-1)</f>
        <v>8.1352402336440921E-2</v>
      </c>
      <c r="I145" s="69" t="s">
        <v>73</v>
      </c>
      <c r="J145" s="71">
        <f>((1/J143)-1)</f>
        <v>5.7109386440181709E-2</v>
      </c>
      <c r="K145" s="48"/>
      <c r="L145" s="2"/>
      <c r="M145" s="30" t="s">
        <v>73</v>
      </c>
      <c r="N145" s="71">
        <f>((1/N143)-1)</f>
        <v>3.8173186020252325E-2</v>
      </c>
      <c r="O145" s="69" t="s">
        <v>73</v>
      </c>
      <c r="P145" s="71">
        <f>((1/P143)-1)</f>
        <v>3.7156280991046842E-2</v>
      </c>
      <c r="Q145" s="70"/>
    </row>
    <row r="146" spans="1:17" hidden="1" x14ac:dyDescent="0.2">
      <c r="A146" s="30" t="s">
        <v>74</v>
      </c>
      <c r="B146" s="71">
        <f>(10.79586*B144)</f>
        <v>1.2088817529005502</v>
      </c>
      <c r="C146" s="69" t="s">
        <v>74</v>
      </c>
      <c r="D146" s="71">
        <f>(10.79586*D144)</f>
        <v>0.84960898502495863</v>
      </c>
      <c r="E146" s="48"/>
      <c r="F146" s="2"/>
      <c r="G146" s="30" t="s">
        <v>74</v>
      </c>
      <c r="H146" s="71">
        <f>(10.79586*H144)</f>
        <v>0.81219512195121912</v>
      </c>
      <c r="I146" s="69" t="s">
        <v>74</v>
      </c>
      <c r="J146" s="71">
        <f>(10.79586*J144)</f>
        <v>0.58323665327607821</v>
      </c>
      <c r="K146" s="48"/>
      <c r="L146" s="2"/>
      <c r="M146" s="30" t="s">
        <v>74</v>
      </c>
      <c r="N146" s="71">
        <f>(10.79586*N144)</f>
        <v>0.39695917557686011</v>
      </c>
      <c r="O146" s="69" t="s">
        <v>74</v>
      </c>
      <c r="P146" s="71">
        <f>(10.79586*P144)</f>
        <v>0.3867633210654644</v>
      </c>
      <c r="Q146" s="70"/>
    </row>
    <row r="147" spans="1:17" hidden="1" x14ac:dyDescent="0.2">
      <c r="A147" s="30" t="s">
        <v>75</v>
      </c>
      <c r="B147" s="71">
        <f>10^(B146+(((LOG(B143))*(1/LOG(10)))*5.02808)+((1+(-1*(10^(-8.29692*B145))))*0.000150474)+(((10^(4.76955*B144))-1)*0.00042873)-1.05235)</f>
        <v>0.79137193924299665</v>
      </c>
      <c r="C147" s="69" t="s">
        <v>75</v>
      </c>
      <c r="D147" s="71">
        <f>10^(D146+(((LOG(D143))*(1/LOG(10)))*5.02808)+((1+(-1*(10^(-8.29692*D145))))*0.000150474)+(((10^(4.76955*D144))-1)*0.00042873)-1.05235)</f>
        <v>0.41589153111572535</v>
      </c>
      <c r="E147" s="48"/>
      <c r="F147" s="2"/>
      <c r="G147" s="30" t="s">
        <v>75</v>
      </c>
      <c r="H147" s="71">
        <f>10^(H146+(((LOG(H143))*(1/LOG(10)))*5.02808)+((1+(-1*(10^(-8.29692*H145))))*0.000150474)+(((10^(4.76955*H144))-1)*0.00042873)-1.05235)</f>
        <v>0.38879844574435479</v>
      </c>
      <c r="I147" s="69" t="s">
        <v>75</v>
      </c>
      <c r="J147" s="71">
        <f>10^(J146+(((LOG(J143))*(1/LOG(10)))*5.02808)+((1+(-1*(10^(-8.29692*J145))))*0.000150474)+(((10^(4.76955*J144))-1)*0.00042873)-1.05235)</f>
        <v>0.25707326417876647</v>
      </c>
      <c r="K147" s="48"/>
      <c r="L147" s="2"/>
      <c r="M147" s="30" t="s">
        <v>75</v>
      </c>
      <c r="N147" s="71">
        <f>10^(N146+(((LOG(N143))*(1/LOG(10)))*5.02808)+((1+(-1*(10^(-8.29692*N145))))*0.000150474)+(((10^(4.76955*N144))-1)*0.00042873)-1.05235)</f>
        <v>0.18327131317211728</v>
      </c>
      <c r="O147" s="69" t="s">
        <v>75</v>
      </c>
      <c r="P147" s="71">
        <f>10^(P146+(((LOG(P143))*(1/LOG(10)))*5.02808)+((1+(-1*(10^(-8.29692*P145))))*0.000150474)+(((10^(4.76955*P144))-1)*0.00042873)-1.05235)</f>
        <v>0.17989975404648065</v>
      </c>
      <c r="Q147" s="70"/>
    </row>
    <row r="148" spans="1:17" hidden="1" x14ac:dyDescent="0.2">
      <c r="A148" s="30" t="s">
        <v>76</v>
      </c>
      <c r="B148" s="71">
        <f>1*B147</f>
        <v>0.79137193924299665</v>
      </c>
      <c r="C148" s="69" t="s">
        <v>77</v>
      </c>
      <c r="D148" s="71">
        <f>1*D147</f>
        <v>0.41589153111572535</v>
      </c>
      <c r="E148" s="48"/>
      <c r="F148" s="2"/>
      <c r="G148" s="30" t="s">
        <v>76</v>
      </c>
      <c r="H148" s="71">
        <f>1*H147</f>
        <v>0.38879844574435479</v>
      </c>
      <c r="I148" s="69" t="s">
        <v>77</v>
      </c>
      <c r="J148" s="71">
        <f>1*J147</f>
        <v>0.25707326417876647</v>
      </c>
      <c r="K148" s="48"/>
      <c r="L148" s="2"/>
      <c r="M148" s="30" t="s">
        <v>76</v>
      </c>
      <c r="N148" s="71">
        <f>1*N147</f>
        <v>0.18327131317211728</v>
      </c>
      <c r="O148" s="69" t="s">
        <v>77</v>
      </c>
      <c r="P148" s="71">
        <f>1*P147</f>
        <v>0.17989975404648065</v>
      </c>
      <c r="Q148" s="70"/>
    </row>
    <row r="149" spans="1:17" hidden="1" x14ac:dyDescent="0.2">
      <c r="A149" s="30" t="s">
        <v>28</v>
      </c>
      <c r="B149" s="1" t="s">
        <v>28</v>
      </c>
      <c r="C149" s="69" t="s">
        <v>78</v>
      </c>
      <c r="D149" s="71">
        <f>(D148-((14.7-D148)*(B141-D141))/(E143))</f>
        <v>0.31099398632763181</v>
      </c>
      <c r="E149" s="48"/>
      <c r="F149" s="2"/>
      <c r="G149" s="30" t="s">
        <v>28</v>
      </c>
      <c r="H149" s="1" t="s">
        <v>28</v>
      </c>
      <c r="I149" s="69" t="s">
        <v>78</v>
      </c>
      <c r="J149" s="71">
        <f>(J148-((14.7-J148)*(H141-J141))/(K143))</f>
        <v>0.19432107153276051</v>
      </c>
      <c r="K149" s="48"/>
      <c r="L149" s="2"/>
      <c r="M149" s="30" t="s">
        <v>28</v>
      </c>
      <c r="N149" s="1" t="s">
        <v>28</v>
      </c>
      <c r="O149" s="69" t="s">
        <v>78</v>
      </c>
      <c r="P149" s="71">
        <f>(P148-((14.7-P148)*(N141-P141))/(Q143))</f>
        <v>0.17726702342090853</v>
      </c>
      <c r="Q149" s="70"/>
    </row>
    <row r="150" spans="1:17" hidden="1" x14ac:dyDescent="0.2">
      <c r="A150" s="30" t="s">
        <v>28</v>
      </c>
      <c r="B150" s="1" t="s">
        <v>28</v>
      </c>
      <c r="C150" s="69" t="s">
        <v>79</v>
      </c>
      <c r="D150" s="71">
        <f>100*(D149/B148)</f>
        <v>39.298081079943223</v>
      </c>
      <c r="E150" s="48"/>
      <c r="F150" s="2"/>
      <c r="G150" s="30" t="s">
        <v>28</v>
      </c>
      <c r="H150" s="1" t="s">
        <v>28</v>
      </c>
      <c r="I150" s="69" t="s">
        <v>79</v>
      </c>
      <c r="J150" s="71">
        <f>100*(J149/H148)</f>
        <v>49.979899266503686</v>
      </c>
      <c r="K150" s="48"/>
      <c r="L150" s="2"/>
      <c r="M150" s="30" t="s">
        <v>28</v>
      </c>
      <c r="N150" s="1" t="s">
        <v>28</v>
      </c>
      <c r="O150" s="69" t="s">
        <v>79</v>
      </c>
      <c r="P150" s="3">
        <f>100*(P149/N148)</f>
        <v>96.723824559728072</v>
      </c>
      <c r="Q150" s="70"/>
    </row>
    <row r="151" spans="1:17" hidden="1" x14ac:dyDescent="0.2">
      <c r="A151" s="30"/>
      <c r="B151" s="1" t="s">
        <v>28</v>
      </c>
      <c r="C151" s="69" t="s">
        <v>80</v>
      </c>
      <c r="D151" s="71">
        <f>(D149/(14.7-D149))*0.62189</f>
        <v>1.3441098709217253E-2</v>
      </c>
      <c r="E151" s="48"/>
      <c r="F151" s="2"/>
      <c r="G151" s="30"/>
      <c r="H151" s="1" t="s">
        <v>28</v>
      </c>
      <c r="I151" s="69" t="s">
        <v>80</v>
      </c>
      <c r="J151" s="71">
        <f>(J149/(14.7-J149))*0.62189</f>
        <v>8.3309669110591452E-3</v>
      </c>
      <c r="K151" s="48"/>
      <c r="L151" s="2"/>
      <c r="M151" s="30"/>
      <c r="N151" s="1" t="s">
        <v>28</v>
      </c>
      <c r="O151" s="69" t="s">
        <v>80</v>
      </c>
      <c r="P151" s="71">
        <f>(P149/(14.7-P149))*0.62189</f>
        <v>7.5908983090864886E-3</v>
      </c>
      <c r="Q151" s="70"/>
    </row>
    <row r="152" spans="1:17" hidden="1" x14ac:dyDescent="0.2">
      <c r="A152" s="30"/>
      <c r="B152" s="1"/>
      <c r="C152" s="69" t="s">
        <v>81</v>
      </c>
      <c r="D152" s="3">
        <f>7000*D151</f>
        <v>94.087690964520775</v>
      </c>
      <c r="E152" s="48"/>
      <c r="F152" s="2"/>
      <c r="G152" s="30"/>
      <c r="H152" s="1"/>
      <c r="I152" s="69" t="s">
        <v>81</v>
      </c>
      <c r="J152" s="3">
        <f>7000*J151</f>
        <v>58.316768377414014</v>
      </c>
      <c r="K152" s="48"/>
      <c r="L152" s="2"/>
      <c r="M152" s="30"/>
      <c r="N152" s="1"/>
      <c r="O152" s="69" t="s">
        <v>81</v>
      </c>
      <c r="P152" s="3">
        <f>7000*P151</f>
        <v>53.136288163605421</v>
      </c>
      <c r="Q152" s="70"/>
    </row>
    <row r="153" spans="1:17" hidden="1" x14ac:dyDescent="0.2">
      <c r="A153" s="30"/>
      <c r="B153" s="1"/>
      <c r="C153" s="69" t="s">
        <v>82</v>
      </c>
      <c r="D153" s="3">
        <f>((B141+460)*0.3705)/14.7</f>
        <v>13.963061224489797</v>
      </c>
      <c r="E153" s="48"/>
      <c r="F153" s="2"/>
      <c r="G153" s="30"/>
      <c r="H153" s="1"/>
      <c r="I153" s="69" t="s">
        <v>82</v>
      </c>
      <c r="J153" s="3">
        <f>((H141+460)*0.3705)/14.7</f>
        <v>13.408571428571429</v>
      </c>
      <c r="K153" s="48"/>
      <c r="L153" s="2"/>
      <c r="M153" s="30"/>
      <c r="N153" s="1"/>
      <c r="O153" s="69" t="s">
        <v>82</v>
      </c>
      <c r="P153" s="3">
        <f>((N141+460)*0.3705)/14.7</f>
        <v>12.873471069338539</v>
      </c>
      <c r="Q153" s="70"/>
    </row>
    <row r="154" spans="1:17" hidden="1" x14ac:dyDescent="0.2">
      <c r="A154" s="30"/>
      <c r="B154" s="1"/>
      <c r="C154" s="69" t="s">
        <v>83</v>
      </c>
      <c r="D154" s="3">
        <f>(((((D153*14.7/(14.7-B148))-D153)*D151)/0.62189/B148*(14.7-B148))+D153)</f>
        <v>14.264849135858706</v>
      </c>
      <c r="E154" s="48"/>
      <c r="F154" s="2"/>
      <c r="G154" s="30"/>
      <c r="H154" s="1"/>
      <c r="I154" s="69" t="s">
        <v>83</v>
      </c>
      <c r="J154" s="3">
        <f>(((((J153*14.7/(14.7-H148))-J153)*J151)/0.62189/H148*(14.7-H148))+J153)</f>
        <v>13.588195421393314</v>
      </c>
      <c r="K154" s="48"/>
      <c r="L154" s="2"/>
      <c r="M154" s="30"/>
      <c r="N154" s="1"/>
      <c r="O154" s="69" t="s">
        <v>83</v>
      </c>
      <c r="P154" s="3">
        <f>(((((P153*14.7/(14.7-N148))-P153)*P151)/0.62189/N148*(14.7-N148))+P153)</f>
        <v>13.030606912931965</v>
      </c>
      <c r="Q154" s="70"/>
    </row>
    <row r="155" spans="1:17" ht="12.75" hidden="1" thickBot="1" x14ac:dyDescent="0.25">
      <c r="A155" s="72"/>
      <c r="B155" s="73"/>
      <c r="C155" s="74" t="s">
        <v>84</v>
      </c>
      <c r="D155" s="75">
        <f>(0.24*B141)+(D151*(1061.2+(0.444*B141)))</f>
        <v>37.38467164594924</v>
      </c>
      <c r="E155" s="76"/>
      <c r="F155" s="2"/>
      <c r="G155" s="72"/>
      <c r="H155" s="73"/>
      <c r="I155" s="74" t="s">
        <v>84</v>
      </c>
      <c r="J155" s="75">
        <f>(0.24*H141)+(J151*(1061.2+(0.444*H141)))</f>
        <v>26.387146436228704</v>
      </c>
      <c r="K155" s="76"/>
      <c r="L155" s="2"/>
      <c r="M155" s="72"/>
      <c r="N155" s="73"/>
      <c r="O155" s="74" t="s">
        <v>84</v>
      </c>
      <c r="P155" s="75">
        <f>(0.24*N141)+(P151*(1061.2+(0.444*N141)))</f>
        <v>20.411203433762623</v>
      </c>
      <c r="Q155" s="77"/>
    </row>
    <row r="156" spans="1:17" hidden="1" x14ac:dyDescent="0.2">
      <c r="A156" s="2"/>
      <c r="B156" s="2"/>
      <c r="C156" s="2"/>
      <c r="D156" s="2"/>
      <c r="E156" s="2"/>
      <c r="F156" s="2"/>
      <c r="G156" s="2"/>
      <c r="H156" s="2"/>
      <c r="I156" s="2"/>
      <c r="J156" s="2"/>
      <c r="K156" s="2"/>
      <c r="L156" s="2"/>
      <c r="M156" s="2"/>
      <c r="N156" s="2"/>
      <c r="O156" s="2"/>
      <c r="P156" s="2"/>
      <c r="Q156" s="2"/>
    </row>
    <row r="157" spans="1:17" ht="12.75" hidden="1" thickBot="1" x14ac:dyDescent="0.25"/>
    <row r="158" spans="1:17" ht="12.75" hidden="1" thickBot="1" x14ac:dyDescent="0.25">
      <c r="A158" s="209" t="s">
        <v>145</v>
      </c>
      <c r="B158" s="210"/>
      <c r="C158" s="210"/>
      <c r="D158" s="210"/>
      <c r="E158" s="210"/>
      <c r="F158" s="210"/>
      <c r="G158" s="210"/>
      <c r="H158" s="210"/>
      <c r="I158" s="210"/>
      <c r="J158" s="210"/>
      <c r="K158" s="210"/>
      <c r="L158" s="210"/>
      <c r="M158" s="210"/>
      <c r="N158" s="211"/>
      <c r="O158" s="6"/>
      <c r="P158" s="138"/>
      <c r="Q158" s="138"/>
    </row>
    <row r="159" spans="1:17" hidden="1" x14ac:dyDescent="0.2">
      <c r="A159" s="28"/>
      <c r="B159" s="80"/>
      <c r="C159" s="81" t="s">
        <v>8</v>
      </c>
      <c r="D159" s="6" t="s">
        <v>8</v>
      </c>
      <c r="E159" s="6" t="s">
        <v>8</v>
      </c>
      <c r="F159" s="6" t="s">
        <v>8</v>
      </c>
      <c r="G159" s="6" t="s">
        <v>8</v>
      </c>
      <c r="H159" s="6" t="s">
        <v>8</v>
      </c>
      <c r="I159" s="6" t="s">
        <v>9</v>
      </c>
      <c r="J159" s="6" t="s">
        <v>9</v>
      </c>
      <c r="K159" s="6" t="s">
        <v>9</v>
      </c>
      <c r="L159" s="6" t="s">
        <v>9</v>
      </c>
      <c r="M159" s="6" t="s">
        <v>9</v>
      </c>
      <c r="N159" s="29" t="s">
        <v>10</v>
      </c>
      <c r="O159" s="6"/>
      <c r="P159" s="138"/>
      <c r="Q159" s="138"/>
    </row>
    <row r="160" spans="1:17" hidden="1" x14ac:dyDescent="0.2">
      <c r="A160" s="82"/>
      <c r="B160" s="83"/>
      <c r="C160" s="84">
        <v>1</v>
      </c>
      <c r="D160" s="85">
        <v>2</v>
      </c>
      <c r="E160" s="85">
        <v>3</v>
      </c>
      <c r="F160" s="85">
        <v>4</v>
      </c>
      <c r="G160" s="85">
        <v>5</v>
      </c>
      <c r="H160" s="85">
        <v>6</v>
      </c>
      <c r="I160" s="85">
        <v>7</v>
      </c>
      <c r="J160" s="85">
        <v>8</v>
      </c>
      <c r="K160" s="85">
        <v>9</v>
      </c>
      <c r="L160" s="85">
        <v>10</v>
      </c>
      <c r="M160" s="85">
        <v>11</v>
      </c>
      <c r="N160" s="86">
        <v>12</v>
      </c>
      <c r="O160" s="6"/>
      <c r="P160" s="138"/>
      <c r="Q160" s="138"/>
    </row>
    <row r="161" spans="1:17" hidden="1" x14ac:dyDescent="0.2">
      <c r="A161" s="28" t="s">
        <v>14</v>
      </c>
      <c r="B161" s="80">
        <v>1</v>
      </c>
      <c r="C161" s="81">
        <v>77</v>
      </c>
      <c r="D161" s="6">
        <v>79</v>
      </c>
      <c r="E161" s="6">
        <v>80</v>
      </c>
      <c r="F161" s="6">
        <v>79</v>
      </c>
      <c r="G161" s="6">
        <v>78</v>
      </c>
      <c r="H161" s="6">
        <v>78</v>
      </c>
      <c r="I161" s="6">
        <v>67</v>
      </c>
      <c r="J161" s="6">
        <v>68</v>
      </c>
      <c r="K161" s="6">
        <v>69</v>
      </c>
      <c r="L161" s="6">
        <v>71</v>
      </c>
      <c r="M161" s="6">
        <v>73</v>
      </c>
      <c r="N161" s="29">
        <v>75</v>
      </c>
      <c r="O161" s="6"/>
      <c r="P161" s="138"/>
      <c r="Q161" s="138"/>
    </row>
    <row r="162" spans="1:17" hidden="1" x14ac:dyDescent="0.2">
      <c r="A162" s="28" t="s">
        <v>16</v>
      </c>
      <c r="B162" s="80">
        <v>2</v>
      </c>
      <c r="C162" s="81">
        <v>77</v>
      </c>
      <c r="D162" s="6">
        <v>79</v>
      </c>
      <c r="E162" s="6">
        <v>80</v>
      </c>
      <c r="F162" s="6">
        <v>79</v>
      </c>
      <c r="G162" s="6">
        <v>78</v>
      </c>
      <c r="H162" s="6">
        <v>78</v>
      </c>
      <c r="I162" s="6">
        <v>67</v>
      </c>
      <c r="J162" s="6">
        <v>68</v>
      </c>
      <c r="K162" s="6">
        <v>69</v>
      </c>
      <c r="L162" s="6">
        <v>71</v>
      </c>
      <c r="M162" s="6">
        <v>73</v>
      </c>
      <c r="N162" s="29">
        <v>75</v>
      </c>
      <c r="O162" s="6"/>
      <c r="P162" s="138"/>
      <c r="Q162" s="138"/>
    </row>
    <row r="163" spans="1:17" hidden="1" x14ac:dyDescent="0.2">
      <c r="A163" s="28" t="s">
        <v>18</v>
      </c>
      <c r="B163" s="80">
        <v>3</v>
      </c>
      <c r="C163" s="81">
        <v>77</v>
      </c>
      <c r="D163" s="6">
        <v>79</v>
      </c>
      <c r="E163" s="6">
        <v>80</v>
      </c>
      <c r="F163" s="6">
        <v>79</v>
      </c>
      <c r="G163" s="6">
        <v>78</v>
      </c>
      <c r="H163" s="6">
        <v>78</v>
      </c>
      <c r="I163" s="6">
        <v>67</v>
      </c>
      <c r="J163" s="6">
        <v>68</v>
      </c>
      <c r="K163" s="6">
        <v>69</v>
      </c>
      <c r="L163" s="6">
        <v>71</v>
      </c>
      <c r="M163" s="6">
        <v>73</v>
      </c>
      <c r="N163" s="29">
        <v>75</v>
      </c>
      <c r="O163" s="6"/>
      <c r="P163" s="138"/>
      <c r="Q163" s="138"/>
    </row>
    <row r="164" spans="1:17" hidden="1" x14ac:dyDescent="0.2">
      <c r="A164" s="28" t="s">
        <v>20</v>
      </c>
      <c r="B164" s="80">
        <v>4</v>
      </c>
      <c r="C164" s="81">
        <v>81</v>
      </c>
      <c r="D164" s="6">
        <v>83</v>
      </c>
      <c r="E164" s="6">
        <v>84</v>
      </c>
      <c r="F164" s="6">
        <v>83</v>
      </c>
      <c r="G164" s="6">
        <v>82</v>
      </c>
      <c r="H164" s="6">
        <v>82</v>
      </c>
      <c r="I164" s="6">
        <v>71</v>
      </c>
      <c r="J164" s="6">
        <v>72</v>
      </c>
      <c r="K164" s="6">
        <v>73</v>
      </c>
      <c r="L164" s="6">
        <v>75</v>
      </c>
      <c r="M164" s="6">
        <v>77</v>
      </c>
      <c r="N164" s="29">
        <v>79</v>
      </c>
      <c r="O164" s="6"/>
      <c r="P164" s="138"/>
      <c r="Q164" s="138"/>
    </row>
    <row r="165" spans="1:17" hidden="1" x14ac:dyDescent="0.2">
      <c r="A165" s="28" t="s">
        <v>22</v>
      </c>
      <c r="B165" s="80">
        <v>5</v>
      </c>
      <c r="C165" s="81">
        <v>89</v>
      </c>
      <c r="D165" s="6">
        <v>91</v>
      </c>
      <c r="E165" s="6">
        <v>92</v>
      </c>
      <c r="F165" s="6">
        <v>91</v>
      </c>
      <c r="G165" s="6">
        <v>90</v>
      </c>
      <c r="H165" s="6">
        <v>90</v>
      </c>
      <c r="I165" s="6">
        <v>79</v>
      </c>
      <c r="J165" s="6">
        <v>80</v>
      </c>
      <c r="K165" s="6">
        <v>81</v>
      </c>
      <c r="L165" s="6">
        <v>83</v>
      </c>
      <c r="M165" s="6">
        <v>85</v>
      </c>
      <c r="N165" s="29">
        <v>87</v>
      </c>
      <c r="O165" s="6"/>
      <c r="P165" s="138"/>
      <c r="Q165" s="138"/>
    </row>
    <row r="166" spans="1:17" hidden="1" x14ac:dyDescent="0.2">
      <c r="A166" s="28" t="s">
        <v>24</v>
      </c>
      <c r="B166" s="80">
        <v>6</v>
      </c>
      <c r="C166" s="81">
        <v>94</v>
      </c>
      <c r="D166" s="6">
        <v>96</v>
      </c>
      <c r="E166" s="6">
        <v>96</v>
      </c>
      <c r="F166" s="6">
        <v>96</v>
      </c>
      <c r="G166" s="6">
        <v>95</v>
      </c>
      <c r="H166" s="6">
        <v>95</v>
      </c>
      <c r="I166" s="6">
        <v>84</v>
      </c>
      <c r="J166" s="6">
        <v>85</v>
      </c>
      <c r="K166" s="6">
        <v>86</v>
      </c>
      <c r="L166" s="6">
        <v>88</v>
      </c>
      <c r="M166" s="6">
        <v>90</v>
      </c>
      <c r="N166" s="29">
        <v>92</v>
      </c>
      <c r="O166" s="6"/>
      <c r="P166" s="138"/>
      <c r="Q166" s="138"/>
    </row>
    <row r="167" spans="1:17" hidden="1" x14ac:dyDescent="0.2">
      <c r="A167" s="28" t="s">
        <v>26</v>
      </c>
      <c r="B167" s="80">
        <v>7</v>
      </c>
      <c r="C167" s="81">
        <v>96</v>
      </c>
      <c r="D167" s="6">
        <v>96</v>
      </c>
      <c r="E167" s="6">
        <v>96</v>
      </c>
      <c r="F167" s="6">
        <v>96</v>
      </c>
      <c r="G167" s="6">
        <v>96</v>
      </c>
      <c r="H167" s="6">
        <v>98</v>
      </c>
      <c r="I167" s="6">
        <v>87</v>
      </c>
      <c r="J167" s="6">
        <v>88</v>
      </c>
      <c r="K167" s="6">
        <v>89</v>
      </c>
      <c r="L167" s="6">
        <v>91</v>
      </c>
      <c r="M167" s="6">
        <v>93</v>
      </c>
      <c r="N167" s="29">
        <v>95</v>
      </c>
      <c r="O167" s="6"/>
      <c r="P167" s="138"/>
      <c r="Q167" s="138"/>
    </row>
    <row r="168" spans="1:17" hidden="1" x14ac:dyDescent="0.2">
      <c r="A168" s="28" t="s">
        <v>30</v>
      </c>
      <c r="B168" s="80">
        <v>8</v>
      </c>
      <c r="C168" s="81">
        <v>96</v>
      </c>
      <c r="D168" s="6">
        <v>96</v>
      </c>
      <c r="E168" s="6">
        <v>96</v>
      </c>
      <c r="F168" s="6">
        <v>96</v>
      </c>
      <c r="G168" s="6">
        <v>96</v>
      </c>
      <c r="H168" s="6">
        <v>98</v>
      </c>
      <c r="I168" s="6">
        <v>87</v>
      </c>
      <c r="J168" s="6">
        <v>88</v>
      </c>
      <c r="K168" s="6">
        <v>89</v>
      </c>
      <c r="L168" s="6">
        <v>91</v>
      </c>
      <c r="M168" s="6">
        <v>93</v>
      </c>
      <c r="N168" s="29">
        <v>92</v>
      </c>
      <c r="O168" s="6"/>
      <c r="P168" s="138"/>
      <c r="Q168" s="138"/>
    </row>
    <row r="169" spans="1:17" hidden="1" x14ac:dyDescent="0.2">
      <c r="A169" s="28" t="s">
        <v>32</v>
      </c>
      <c r="B169" s="80">
        <v>9</v>
      </c>
      <c r="C169" s="81">
        <v>93</v>
      </c>
      <c r="D169" s="6">
        <v>95</v>
      </c>
      <c r="E169" s="6">
        <v>96</v>
      </c>
      <c r="F169" s="6">
        <v>95</v>
      </c>
      <c r="G169" s="6">
        <v>94</v>
      </c>
      <c r="H169" s="6">
        <v>94</v>
      </c>
      <c r="I169" s="6">
        <v>83</v>
      </c>
      <c r="J169" s="6">
        <v>84</v>
      </c>
      <c r="K169" s="6">
        <v>85</v>
      </c>
      <c r="L169" s="6">
        <v>87</v>
      </c>
      <c r="M169" s="6">
        <v>89</v>
      </c>
      <c r="N169" s="29">
        <v>91</v>
      </c>
      <c r="O169" s="6"/>
      <c r="P169" s="138"/>
      <c r="Q169" s="138"/>
    </row>
    <row r="170" spans="1:17" hidden="1" x14ac:dyDescent="0.2">
      <c r="A170" s="28" t="s">
        <v>37</v>
      </c>
      <c r="B170" s="80">
        <v>10</v>
      </c>
      <c r="C170" s="81">
        <v>85</v>
      </c>
      <c r="D170" s="6">
        <v>87</v>
      </c>
      <c r="E170" s="6">
        <v>88</v>
      </c>
      <c r="F170" s="6">
        <v>87</v>
      </c>
      <c r="G170" s="6">
        <v>86</v>
      </c>
      <c r="H170" s="6">
        <v>86</v>
      </c>
      <c r="I170" s="6">
        <v>75</v>
      </c>
      <c r="J170" s="6">
        <v>76</v>
      </c>
      <c r="K170" s="6">
        <v>77</v>
      </c>
      <c r="L170" s="6">
        <v>79</v>
      </c>
      <c r="M170" s="6">
        <v>81</v>
      </c>
      <c r="N170" s="29">
        <v>83</v>
      </c>
      <c r="O170" s="6"/>
      <c r="P170" s="138"/>
      <c r="Q170" s="138"/>
    </row>
    <row r="171" spans="1:17" hidden="1" x14ac:dyDescent="0.2">
      <c r="A171" s="28" t="s">
        <v>39</v>
      </c>
      <c r="B171" s="80">
        <v>11</v>
      </c>
      <c r="C171" s="81">
        <v>77</v>
      </c>
      <c r="D171" s="6">
        <v>79</v>
      </c>
      <c r="E171" s="6">
        <v>80</v>
      </c>
      <c r="F171" s="6">
        <v>79</v>
      </c>
      <c r="G171" s="6">
        <v>78</v>
      </c>
      <c r="H171" s="6">
        <v>78</v>
      </c>
      <c r="I171" s="6">
        <v>67</v>
      </c>
      <c r="J171" s="6">
        <v>68</v>
      </c>
      <c r="K171" s="6">
        <v>69</v>
      </c>
      <c r="L171" s="6">
        <v>71</v>
      </c>
      <c r="M171" s="6">
        <v>73</v>
      </c>
      <c r="N171" s="29">
        <v>75</v>
      </c>
      <c r="O171" s="6"/>
      <c r="P171" s="138"/>
      <c r="Q171" s="138"/>
    </row>
    <row r="172" spans="1:17" ht="12.75" hidden="1" thickBot="1" x14ac:dyDescent="0.25">
      <c r="A172" s="59" t="s">
        <v>40</v>
      </c>
      <c r="B172" s="87">
        <v>12</v>
      </c>
      <c r="C172" s="88">
        <v>77</v>
      </c>
      <c r="D172" s="27">
        <v>79</v>
      </c>
      <c r="E172" s="27">
        <v>80</v>
      </c>
      <c r="F172" s="27">
        <v>79</v>
      </c>
      <c r="G172" s="27">
        <v>78</v>
      </c>
      <c r="H172" s="27">
        <v>78</v>
      </c>
      <c r="I172" s="27">
        <v>67</v>
      </c>
      <c r="J172" s="27">
        <v>68</v>
      </c>
      <c r="K172" s="27">
        <v>69</v>
      </c>
      <c r="L172" s="27">
        <v>71</v>
      </c>
      <c r="M172" s="27">
        <v>73</v>
      </c>
      <c r="N172" s="89">
        <v>75</v>
      </c>
      <c r="O172" s="6"/>
      <c r="P172" s="138"/>
      <c r="Q172" s="138"/>
    </row>
    <row r="173" spans="1:17" ht="12.75" hidden="1" thickBot="1" x14ac:dyDescent="0.25">
      <c r="A173" s="6"/>
      <c r="B173" s="6"/>
      <c r="C173" s="6"/>
      <c r="D173" s="6"/>
      <c r="E173" s="6"/>
      <c r="F173" s="6"/>
      <c r="G173" s="6"/>
      <c r="H173" s="6"/>
      <c r="I173" s="6"/>
      <c r="J173" s="6"/>
      <c r="K173" s="6"/>
      <c r="L173" s="6"/>
      <c r="M173" s="6"/>
      <c r="N173" s="6"/>
      <c r="O173" s="6"/>
      <c r="P173" s="138"/>
      <c r="Q173" s="138"/>
    </row>
    <row r="174" spans="1:17" ht="12.75" hidden="1" thickBot="1" x14ac:dyDescent="0.25">
      <c r="A174" s="209" t="s">
        <v>0</v>
      </c>
      <c r="B174" s="210"/>
      <c r="C174" s="210"/>
      <c r="D174" s="210"/>
      <c r="E174" s="210"/>
      <c r="F174" s="210"/>
      <c r="G174" s="210"/>
      <c r="H174" s="210"/>
      <c r="I174" s="210"/>
      <c r="J174" s="210"/>
      <c r="K174" s="210"/>
      <c r="L174" s="210"/>
      <c r="M174" s="210"/>
      <c r="N174" s="211"/>
      <c r="O174" s="6"/>
      <c r="P174" s="138"/>
      <c r="Q174" s="138"/>
    </row>
    <row r="175" spans="1:17" hidden="1" x14ac:dyDescent="0.2">
      <c r="A175" s="28"/>
      <c r="B175" s="80"/>
      <c r="C175" s="81" t="s">
        <v>8</v>
      </c>
      <c r="D175" s="6" t="s">
        <v>8</v>
      </c>
      <c r="E175" s="6" t="s">
        <v>8</v>
      </c>
      <c r="F175" s="6" t="s">
        <v>8</v>
      </c>
      <c r="G175" s="6" t="s">
        <v>8</v>
      </c>
      <c r="H175" s="6" t="s">
        <v>8</v>
      </c>
      <c r="I175" s="6" t="s">
        <v>9</v>
      </c>
      <c r="J175" s="6" t="s">
        <v>9</v>
      </c>
      <c r="K175" s="6" t="s">
        <v>9</v>
      </c>
      <c r="L175" s="6" t="s">
        <v>9</v>
      </c>
      <c r="M175" s="6" t="s">
        <v>9</v>
      </c>
      <c r="N175" s="29" t="s">
        <v>10</v>
      </c>
      <c r="O175" s="6"/>
      <c r="P175" s="138"/>
      <c r="Q175" s="138"/>
    </row>
    <row r="176" spans="1:17" hidden="1" x14ac:dyDescent="0.2">
      <c r="A176" s="82"/>
      <c r="B176" s="83"/>
      <c r="C176" s="90">
        <v>1</v>
      </c>
      <c r="D176" s="91">
        <v>2</v>
      </c>
      <c r="E176" s="91">
        <v>3</v>
      </c>
      <c r="F176" s="91">
        <v>4</v>
      </c>
      <c r="G176" s="91">
        <v>5</v>
      </c>
      <c r="H176" s="91">
        <v>6</v>
      </c>
      <c r="I176" s="91">
        <v>7</v>
      </c>
      <c r="J176" s="91">
        <v>8</v>
      </c>
      <c r="K176" s="91">
        <v>9</v>
      </c>
      <c r="L176" s="91">
        <v>10</v>
      </c>
      <c r="M176" s="91">
        <v>11</v>
      </c>
      <c r="N176" s="92">
        <v>12</v>
      </c>
      <c r="O176" s="6"/>
      <c r="P176" s="138"/>
      <c r="Q176" s="138"/>
    </row>
    <row r="177" spans="1:17" hidden="1" x14ac:dyDescent="0.2">
      <c r="A177" s="28" t="s">
        <v>14</v>
      </c>
      <c r="B177" s="80">
        <v>1</v>
      </c>
      <c r="C177" s="81">
        <v>69</v>
      </c>
      <c r="D177" s="6">
        <v>69</v>
      </c>
      <c r="E177" s="6">
        <v>69</v>
      </c>
      <c r="F177" s="6">
        <v>69</v>
      </c>
      <c r="G177" s="6">
        <v>69</v>
      </c>
      <c r="H177" s="6">
        <v>68</v>
      </c>
      <c r="I177" s="6">
        <v>65</v>
      </c>
      <c r="J177" s="6">
        <v>66</v>
      </c>
      <c r="K177" s="6">
        <v>66</v>
      </c>
      <c r="L177" s="6">
        <v>67</v>
      </c>
      <c r="M177" s="6">
        <v>67</v>
      </c>
      <c r="N177" s="29">
        <v>68</v>
      </c>
      <c r="O177" s="6"/>
      <c r="P177" s="138"/>
      <c r="Q177" s="138"/>
    </row>
    <row r="178" spans="1:17" hidden="1" x14ac:dyDescent="0.2">
      <c r="A178" s="28" t="s">
        <v>16</v>
      </c>
      <c r="B178" s="80">
        <v>2</v>
      </c>
      <c r="C178" s="81">
        <v>69</v>
      </c>
      <c r="D178" s="6">
        <v>69</v>
      </c>
      <c r="E178" s="6">
        <v>69</v>
      </c>
      <c r="F178" s="6">
        <v>69</v>
      </c>
      <c r="G178" s="6">
        <v>69</v>
      </c>
      <c r="H178" s="6">
        <v>68</v>
      </c>
      <c r="I178" s="6">
        <v>65</v>
      </c>
      <c r="J178" s="6">
        <v>66</v>
      </c>
      <c r="K178" s="6">
        <v>66</v>
      </c>
      <c r="L178" s="6">
        <v>67</v>
      </c>
      <c r="M178" s="6">
        <v>67</v>
      </c>
      <c r="N178" s="29">
        <v>68</v>
      </c>
      <c r="O178" s="6"/>
      <c r="P178" s="138"/>
      <c r="Q178" s="138"/>
    </row>
    <row r="179" spans="1:17" hidden="1" x14ac:dyDescent="0.2">
      <c r="A179" s="28" t="s">
        <v>18</v>
      </c>
      <c r="B179" s="80">
        <v>3</v>
      </c>
      <c r="C179" s="81">
        <v>69</v>
      </c>
      <c r="D179" s="6">
        <v>69</v>
      </c>
      <c r="E179" s="6">
        <v>69</v>
      </c>
      <c r="F179" s="6">
        <v>69</v>
      </c>
      <c r="G179" s="6">
        <v>69</v>
      </c>
      <c r="H179" s="6">
        <v>68</v>
      </c>
      <c r="I179" s="6">
        <v>65</v>
      </c>
      <c r="J179" s="6">
        <v>66</v>
      </c>
      <c r="K179" s="6">
        <v>66</v>
      </c>
      <c r="L179" s="6">
        <v>67</v>
      </c>
      <c r="M179" s="6">
        <v>67</v>
      </c>
      <c r="N179" s="29">
        <v>68</v>
      </c>
      <c r="O179" s="6"/>
      <c r="P179" s="138"/>
      <c r="Q179" s="138"/>
    </row>
    <row r="180" spans="1:17" hidden="1" x14ac:dyDescent="0.2">
      <c r="A180" s="28" t="s">
        <v>20</v>
      </c>
      <c r="B180" s="80">
        <v>4</v>
      </c>
      <c r="C180" s="81">
        <v>71</v>
      </c>
      <c r="D180" s="6">
        <v>71</v>
      </c>
      <c r="E180" s="6">
        <v>71</v>
      </c>
      <c r="F180" s="6">
        <v>71</v>
      </c>
      <c r="G180" s="6">
        <v>71</v>
      </c>
      <c r="H180" s="6">
        <v>70</v>
      </c>
      <c r="I180" s="6">
        <v>67</v>
      </c>
      <c r="J180" s="6">
        <v>68</v>
      </c>
      <c r="K180" s="6">
        <v>68</v>
      </c>
      <c r="L180" s="6">
        <v>69</v>
      </c>
      <c r="M180" s="6">
        <v>69</v>
      </c>
      <c r="N180" s="29">
        <v>70</v>
      </c>
      <c r="O180" s="6"/>
      <c r="P180" s="138"/>
      <c r="Q180" s="138"/>
    </row>
    <row r="181" spans="1:17" hidden="1" x14ac:dyDescent="0.2">
      <c r="A181" s="28" t="s">
        <v>22</v>
      </c>
      <c r="B181" s="80">
        <v>5</v>
      </c>
      <c r="C181" s="81">
        <v>76</v>
      </c>
      <c r="D181" s="6">
        <v>76</v>
      </c>
      <c r="E181" s="6">
        <v>76</v>
      </c>
      <c r="F181" s="6">
        <v>76</v>
      </c>
      <c r="G181" s="6">
        <v>76</v>
      </c>
      <c r="H181" s="6">
        <v>75</v>
      </c>
      <c r="I181" s="6">
        <v>73</v>
      </c>
      <c r="J181" s="6">
        <v>73</v>
      </c>
      <c r="K181" s="6">
        <v>73</v>
      </c>
      <c r="L181" s="6">
        <v>74</v>
      </c>
      <c r="M181" s="6">
        <v>74</v>
      </c>
      <c r="N181" s="29">
        <v>75</v>
      </c>
      <c r="O181" s="6"/>
      <c r="P181" s="138"/>
      <c r="Q181" s="138"/>
    </row>
    <row r="182" spans="1:17" hidden="1" x14ac:dyDescent="0.2">
      <c r="A182" s="28" t="s">
        <v>24</v>
      </c>
      <c r="B182" s="80">
        <v>6</v>
      </c>
      <c r="C182" s="81">
        <v>78</v>
      </c>
      <c r="D182" s="6">
        <v>78</v>
      </c>
      <c r="E182" s="6">
        <v>78</v>
      </c>
      <c r="F182" s="6">
        <v>78</v>
      </c>
      <c r="G182" s="6">
        <v>78</v>
      </c>
      <c r="H182" s="6">
        <v>77</v>
      </c>
      <c r="I182" s="6">
        <v>75</v>
      </c>
      <c r="J182" s="6">
        <v>75</v>
      </c>
      <c r="K182" s="6">
        <v>75</v>
      </c>
      <c r="L182" s="6">
        <v>76</v>
      </c>
      <c r="M182" s="6">
        <v>76</v>
      </c>
      <c r="N182" s="29">
        <v>77</v>
      </c>
      <c r="O182" s="6"/>
      <c r="P182" s="138"/>
      <c r="Q182" s="138"/>
    </row>
    <row r="183" spans="1:17" hidden="1" x14ac:dyDescent="0.2">
      <c r="A183" s="28" t="s">
        <v>26</v>
      </c>
      <c r="B183" s="80">
        <v>7</v>
      </c>
      <c r="C183" s="81">
        <v>80</v>
      </c>
      <c r="D183" s="6">
        <v>80</v>
      </c>
      <c r="E183" s="6">
        <v>80</v>
      </c>
      <c r="F183" s="6">
        <v>80</v>
      </c>
      <c r="G183" s="6">
        <v>80</v>
      </c>
      <c r="H183" s="6">
        <v>79</v>
      </c>
      <c r="I183" s="6">
        <v>77</v>
      </c>
      <c r="J183" s="6">
        <v>77</v>
      </c>
      <c r="K183" s="6">
        <v>77</v>
      </c>
      <c r="L183" s="6">
        <v>78</v>
      </c>
      <c r="M183" s="6">
        <v>78</v>
      </c>
      <c r="N183" s="29">
        <v>79</v>
      </c>
      <c r="O183" s="6"/>
      <c r="P183" s="138"/>
      <c r="Q183" s="138"/>
    </row>
    <row r="184" spans="1:17" hidden="1" x14ac:dyDescent="0.2">
      <c r="A184" s="28" t="s">
        <v>30</v>
      </c>
      <c r="B184" s="80">
        <v>8</v>
      </c>
      <c r="C184" s="81">
        <v>80</v>
      </c>
      <c r="D184" s="6">
        <v>80</v>
      </c>
      <c r="E184" s="6">
        <v>80</v>
      </c>
      <c r="F184" s="6">
        <v>80</v>
      </c>
      <c r="G184" s="6">
        <v>80</v>
      </c>
      <c r="H184" s="6">
        <v>79</v>
      </c>
      <c r="I184" s="6">
        <v>77</v>
      </c>
      <c r="J184" s="6">
        <v>77</v>
      </c>
      <c r="K184" s="6">
        <v>77</v>
      </c>
      <c r="L184" s="6">
        <v>78</v>
      </c>
      <c r="M184" s="6">
        <v>78</v>
      </c>
      <c r="N184" s="29">
        <v>79</v>
      </c>
      <c r="O184" s="6"/>
      <c r="P184" s="138"/>
      <c r="Q184" s="138"/>
    </row>
    <row r="185" spans="1:17" hidden="1" x14ac:dyDescent="0.2">
      <c r="A185" s="28" t="s">
        <v>32</v>
      </c>
      <c r="B185" s="80">
        <v>9</v>
      </c>
      <c r="C185" s="81">
        <v>78</v>
      </c>
      <c r="D185" s="6">
        <v>78</v>
      </c>
      <c r="E185" s="6">
        <v>78</v>
      </c>
      <c r="F185" s="6">
        <v>78</v>
      </c>
      <c r="G185" s="6">
        <v>78</v>
      </c>
      <c r="H185" s="6">
        <v>77</v>
      </c>
      <c r="I185" s="6">
        <v>75</v>
      </c>
      <c r="J185" s="6">
        <v>75</v>
      </c>
      <c r="K185" s="6">
        <v>75</v>
      </c>
      <c r="L185" s="6">
        <v>76</v>
      </c>
      <c r="M185" s="6">
        <v>76</v>
      </c>
      <c r="N185" s="29">
        <v>77</v>
      </c>
      <c r="O185" s="6"/>
      <c r="P185" s="138"/>
      <c r="Q185" s="138"/>
    </row>
    <row r="186" spans="1:17" hidden="1" x14ac:dyDescent="0.2">
      <c r="A186" s="28" t="s">
        <v>37</v>
      </c>
      <c r="B186" s="80">
        <v>10</v>
      </c>
      <c r="C186" s="81">
        <v>74</v>
      </c>
      <c r="D186" s="6">
        <v>74</v>
      </c>
      <c r="E186" s="6">
        <v>74</v>
      </c>
      <c r="F186" s="6">
        <v>74</v>
      </c>
      <c r="G186" s="6">
        <v>74</v>
      </c>
      <c r="H186" s="6">
        <v>73</v>
      </c>
      <c r="I186" s="6">
        <v>70</v>
      </c>
      <c r="J186" s="6">
        <v>71</v>
      </c>
      <c r="K186" s="6">
        <v>71</v>
      </c>
      <c r="L186" s="6">
        <v>72</v>
      </c>
      <c r="M186" s="6">
        <v>72</v>
      </c>
      <c r="N186" s="29">
        <v>73</v>
      </c>
      <c r="O186" s="6"/>
      <c r="P186" s="138"/>
      <c r="Q186" s="138"/>
    </row>
    <row r="187" spans="1:17" hidden="1" x14ac:dyDescent="0.2">
      <c r="A187" s="28" t="s">
        <v>39</v>
      </c>
      <c r="B187" s="80">
        <v>11</v>
      </c>
      <c r="C187" s="81">
        <v>69</v>
      </c>
      <c r="D187" s="6">
        <v>69</v>
      </c>
      <c r="E187" s="6">
        <v>69</v>
      </c>
      <c r="F187" s="6">
        <v>69</v>
      </c>
      <c r="G187" s="6">
        <v>69</v>
      </c>
      <c r="H187" s="6">
        <v>68</v>
      </c>
      <c r="I187" s="6">
        <v>65</v>
      </c>
      <c r="J187" s="6">
        <v>66</v>
      </c>
      <c r="K187" s="6">
        <v>66</v>
      </c>
      <c r="L187" s="6">
        <v>67</v>
      </c>
      <c r="M187" s="6">
        <v>67</v>
      </c>
      <c r="N187" s="29">
        <v>68</v>
      </c>
      <c r="O187" s="6"/>
      <c r="P187" s="138"/>
      <c r="Q187" s="138"/>
    </row>
    <row r="188" spans="1:17" ht="12.75" hidden="1" thickBot="1" x14ac:dyDescent="0.25">
      <c r="A188" s="59" t="s">
        <v>40</v>
      </c>
      <c r="B188" s="87">
        <v>12</v>
      </c>
      <c r="C188" s="88">
        <v>69</v>
      </c>
      <c r="D188" s="27">
        <v>69</v>
      </c>
      <c r="E188" s="27">
        <v>69</v>
      </c>
      <c r="F188" s="27">
        <v>69</v>
      </c>
      <c r="G188" s="27">
        <v>69</v>
      </c>
      <c r="H188" s="27">
        <v>68</v>
      </c>
      <c r="I188" s="27">
        <v>65</v>
      </c>
      <c r="J188" s="27">
        <v>66</v>
      </c>
      <c r="K188" s="27">
        <v>66</v>
      </c>
      <c r="L188" s="27">
        <v>67</v>
      </c>
      <c r="M188" s="27">
        <v>67</v>
      </c>
      <c r="N188" s="89">
        <v>68</v>
      </c>
      <c r="O188" s="6"/>
      <c r="P188" s="138"/>
      <c r="Q188" s="138"/>
    </row>
    <row r="189" spans="1:17" ht="12.75" hidden="1" thickBot="1" x14ac:dyDescent="0.25">
      <c r="A189" s="138"/>
      <c r="B189" s="138"/>
      <c r="C189" s="138"/>
      <c r="D189" s="138"/>
      <c r="E189" s="138"/>
      <c r="F189" s="138"/>
      <c r="G189" s="138"/>
      <c r="H189" s="138"/>
      <c r="I189" s="138"/>
      <c r="J189" s="138"/>
      <c r="K189" s="138"/>
      <c r="L189" s="6"/>
      <c r="M189" s="6"/>
      <c r="N189" s="6"/>
      <c r="O189" s="6"/>
      <c r="P189" s="138"/>
      <c r="Q189" s="138"/>
    </row>
    <row r="190" spans="1:17" ht="12.75" hidden="1" thickBot="1" x14ac:dyDescent="0.25">
      <c r="A190" s="209" t="s">
        <v>1</v>
      </c>
      <c r="B190" s="210"/>
      <c r="C190" s="210"/>
      <c r="D190" s="210"/>
      <c r="E190" s="210"/>
      <c r="F190" s="210"/>
      <c r="G190" s="210"/>
      <c r="H190" s="210"/>
      <c r="I190" s="210"/>
      <c r="J190" s="210"/>
      <c r="K190" s="210"/>
      <c r="L190" s="210"/>
      <c r="M190" s="210"/>
      <c r="N190" s="211"/>
      <c r="O190" s="6"/>
      <c r="P190" s="138"/>
      <c r="Q190" s="138"/>
    </row>
    <row r="191" spans="1:17" hidden="1" x14ac:dyDescent="0.2">
      <c r="A191" s="28"/>
      <c r="B191" s="80"/>
      <c r="C191" s="81" t="s">
        <v>8</v>
      </c>
      <c r="D191" s="6" t="s">
        <v>8</v>
      </c>
      <c r="E191" s="6" t="s">
        <v>8</v>
      </c>
      <c r="F191" s="6" t="s">
        <v>8</v>
      </c>
      <c r="G191" s="6" t="s">
        <v>8</v>
      </c>
      <c r="H191" s="6" t="s">
        <v>8</v>
      </c>
      <c r="I191" s="6" t="s">
        <v>9</v>
      </c>
      <c r="J191" s="6" t="s">
        <v>9</v>
      </c>
      <c r="K191" s="6" t="s">
        <v>9</v>
      </c>
      <c r="L191" s="6" t="s">
        <v>9</v>
      </c>
      <c r="M191" s="6" t="s">
        <v>9</v>
      </c>
      <c r="N191" s="29" t="s">
        <v>10</v>
      </c>
      <c r="O191" s="6"/>
      <c r="P191" s="138"/>
      <c r="Q191" s="138"/>
    </row>
    <row r="192" spans="1:17" hidden="1" x14ac:dyDescent="0.2">
      <c r="A192" s="82"/>
      <c r="B192" s="83"/>
      <c r="C192" s="84">
        <v>1</v>
      </c>
      <c r="D192" s="85">
        <v>2</v>
      </c>
      <c r="E192" s="85">
        <v>3</v>
      </c>
      <c r="F192" s="85">
        <v>4</v>
      </c>
      <c r="G192" s="85">
        <v>5</v>
      </c>
      <c r="H192" s="85">
        <v>6</v>
      </c>
      <c r="I192" s="85">
        <v>7</v>
      </c>
      <c r="J192" s="85">
        <v>8</v>
      </c>
      <c r="K192" s="85">
        <v>9</v>
      </c>
      <c r="L192" s="85">
        <v>10</v>
      </c>
      <c r="M192" s="85">
        <v>11</v>
      </c>
      <c r="N192" s="86">
        <v>12</v>
      </c>
      <c r="O192" s="6"/>
      <c r="P192" s="138"/>
      <c r="Q192" s="138"/>
    </row>
    <row r="193" spans="1:17" hidden="1" x14ac:dyDescent="0.2">
      <c r="A193" s="28" t="s">
        <v>14</v>
      </c>
      <c r="B193" s="80">
        <v>1</v>
      </c>
      <c r="C193" s="81">
        <v>94</v>
      </c>
      <c r="D193" s="6">
        <v>90</v>
      </c>
      <c r="E193" s="6">
        <v>89</v>
      </c>
      <c r="F193" s="6">
        <v>90</v>
      </c>
      <c r="G193" s="6">
        <v>92</v>
      </c>
      <c r="H193" s="6">
        <v>87</v>
      </c>
      <c r="I193" s="6">
        <v>90</v>
      </c>
      <c r="J193" s="6">
        <v>93</v>
      </c>
      <c r="K193" s="6">
        <v>91</v>
      </c>
      <c r="L193" s="6">
        <v>93</v>
      </c>
      <c r="M193" s="6">
        <v>90</v>
      </c>
      <c r="N193" s="29">
        <v>92</v>
      </c>
      <c r="O193" s="6"/>
      <c r="P193" s="138"/>
      <c r="Q193" s="138"/>
    </row>
    <row r="194" spans="1:17" hidden="1" x14ac:dyDescent="0.2">
      <c r="A194" s="28" t="s">
        <v>16</v>
      </c>
      <c r="B194" s="80">
        <v>2</v>
      </c>
      <c r="C194" s="81">
        <v>94</v>
      </c>
      <c r="D194" s="6">
        <v>90</v>
      </c>
      <c r="E194" s="6">
        <v>89</v>
      </c>
      <c r="F194" s="6">
        <v>90</v>
      </c>
      <c r="G194" s="6">
        <v>92</v>
      </c>
      <c r="H194" s="6">
        <v>87</v>
      </c>
      <c r="I194" s="6">
        <v>90</v>
      </c>
      <c r="J194" s="6">
        <v>93</v>
      </c>
      <c r="K194" s="6">
        <v>91</v>
      </c>
      <c r="L194" s="6">
        <v>93</v>
      </c>
      <c r="M194" s="6">
        <v>90</v>
      </c>
      <c r="N194" s="29">
        <v>92</v>
      </c>
      <c r="O194" s="6"/>
      <c r="P194" s="138"/>
      <c r="Q194" s="138"/>
    </row>
    <row r="195" spans="1:17" hidden="1" x14ac:dyDescent="0.2">
      <c r="A195" s="28" t="s">
        <v>18</v>
      </c>
      <c r="B195" s="80">
        <v>3</v>
      </c>
      <c r="C195" s="81">
        <v>94</v>
      </c>
      <c r="D195" s="6">
        <v>90</v>
      </c>
      <c r="E195" s="6">
        <v>89</v>
      </c>
      <c r="F195" s="6">
        <v>90</v>
      </c>
      <c r="G195" s="6">
        <v>92</v>
      </c>
      <c r="H195" s="6">
        <v>87</v>
      </c>
      <c r="I195" s="6">
        <v>90</v>
      </c>
      <c r="J195" s="6">
        <v>93</v>
      </c>
      <c r="K195" s="6">
        <v>91</v>
      </c>
      <c r="L195" s="6">
        <v>93</v>
      </c>
      <c r="M195" s="6">
        <v>90</v>
      </c>
      <c r="N195" s="29">
        <v>92</v>
      </c>
      <c r="O195" s="6"/>
      <c r="P195" s="138"/>
      <c r="Q195" s="138"/>
    </row>
    <row r="196" spans="1:17" hidden="1" x14ac:dyDescent="0.2">
      <c r="A196" s="28" t="s">
        <v>20</v>
      </c>
      <c r="B196" s="80">
        <v>4</v>
      </c>
      <c r="C196" s="81">
        <v>98</v>
      </c>
      <c r="D196" s="6">
        <v>95</v>
      </c>
      <c r="E196" s="6">
        <v>93</v>
      </c>
      <c r="F196" s="6">
        <v>95</v>
      </c>
      <c r="G196" s="6">
        <v>97</v>
      </c>
      <c r="H196" s="6">
        <v>91</v>
      </c>
      <c r="I196" s="6">
        <v>93</v>
      </c>
      <c r="J196" s="6">
        <v>97</v>
      </c>
      <c r="K196" s="6">
        <v>95</v>
      </c>
      <c r="L196" s="6">
        <v>97</v>
      </c>
      <c r="M196" s="6">
        <v>94</v>
      </c>
      <c r="N196" s="29">
        <v>96</v>
      </c>
      <c r="O196" s="6"/>
      <c r="P196" s="138"/>
      <c r="Q196" s="138"/>
    </row>
    <row r="197" spans="1:17" hidden="1" x14ac:dyDescent="0.2">
      <c r="A197" s="28" t="s">
        <v>22</v>
      </c>
      <c r="B197" s="80">
        <v>5</v>
      </c>
      <c r="C197" s="81">
        <v>115</v>
      </c>
      <c r="D197" s="6">
        <v>111</v>
      </c>
      <c r="E197" s="6">
        <v>110</v>
      </c>
      <c r="F197" s="6">
        <v>118</v>
      </c>
      <c r="G197" s="6">
        <v>113</v>
      </c>
      <c r="H197" s="6">
        <v>116</v>
      </c>
      <c r="I197" s="6">
        <v>113</v>
      </c>
      <c r="J197" s="6">
        <v>111</v>
      </c>
      <c r="K197" s="6">
        <v>110</v>
      </c>
      <c r="L197" s="6">
        <v>113</v>
      </c>
      <c r="M197" s="6">
        <v>109</v>
      </c>
      <c r="N197" s="29">
        <v>112</v>
      </c>
      <c r="O197" s="6"/>
      <c r="P197" s="138"/>
      <c r="Q197" s="138"/>
    </row>
    <row r="198" spans="1:17" hidden="1" x14ac:dyDescent="0.2">
      <c r="A198" s="28" t="s">
        <v>24</v>
      </c>
      <c r="B198" s="80">
        <v>6</v>
      </c>
      <c r="C198" s="81">
        <v>119</v>
      </c>
      <c r="D198" s="6">
        <v>116</v>
      </c>
      <c r="E198" s="6">
        <v>116</v>
      </c>
      <c r="F198" s="6">
        <v>116</v>
      </c>
      <c r="G198" s="6">
        <v>118</v>
      </c>
      <c r="H198" s="6">
        <v>111</v>
      </c>
      <c r="I198" s="6">
        <v>117</v>
      </c>
      <c r="J198" s="6">
        <v>115</v>
      </c>
      <c r="K198" s="6">
        <v>113</v>
      </c>
      <c r="L198" s="6">
        <v>116</v>
      </c>
      <c r="M198" s="6">
        <v>113</v>
      </c>
      <c r="N198" s="29">
        <v>116</v>
      </c>
      <c r="O198" s="6"/>
      <c r="P198" s="138"/>
      <c r="Q198" s="138"/>
    </row>
    <row r="199" spans="1:17" hidden="1" x14ac:dyDescent="0.2">
      <c r="A199" s="28" t="s">
        <v>26</v>
      </c>
      <c r="B199" s="80">
        <v>7</v>
      </c>
      <c r="C199" s="81">
        <v>129</v>
      </c>
      <c r="D199" s="6">
        <v>129</v>
      </c>
      <c r="E199" s="6">
        <v>129</v>
      </c>
      <c r="F199" s="6">
        <v>129</v>
      </c>
      <c r="G199" s="6">
        <v>129</v>
      </c>
      <c r="H199" s="6">
        <v>123</v>
      </c>
      <c r="I199" s="6">
        <v>124</v>
      </c>
      <c r="J199" s="6">
        <v>123</v>
      </c>
      <c r="K199" s="6">
        <v>121</v>
      </c>
      <c r="L199" s="6">
        <v>124</v>
      </c>
      <c r="M199" s="6">
        <v>121</v>
      </c>
      <c r="N199" s="29">
        <v>124</v>
      </c>
      <c r="O199" s="138"/>
      <c r="P199" s="138"/>
      <c r="Q199" s="138"/>
    </row>
    <row r="200" spans="1:17" hidden="1" x14ac:dyDescent="0.2">
      <c r="A200" s="28" t="s">
        <v>30</v>
      </c>
      <c r="B200" s="80">
        <v>8</v>
      </c>
      <c r="C200" s="81">
        <v>129</v>
      </c>
      <c r="D200" s="6">
        <v>129</v>
      </c>
      <c r="E200" s="6">
        <v>129</v>
      </c>
      <c r="F200" s="6">
        <v>129</v>
      </c>
      <c r="G200" s="6">
        <v>129</v>
      </c>
      <c r="H200" s="6">
        <v>123</v>
      </c>
      <c r="I200" s="6">
        <v>124</v>
      </c>
      <c r="J200" s="6">
        <v>123</v>
      </c>
      <c r="K200" s="6">
        <v>121</v>
      </c>
      <c r="L200" s="6">
        <v>124</v>
      </c>
      <c r="M200" s="6">
        <v>121</v>
      </c>
      <c r="N200" s="29">
        <v>124</v>
      </c>
      <c r="O200" s="138"/>
      <c r="P200" s="138"/>
      <c r="Q200" s="138"/>
    </row>
    <row r="201" spans="1:17" hidden="1" x14ac:dyDescent="0.2">
      <c r="A201" s="28" t="s">
        <v>32</v>
      </c>
      <c r="B201" s="80">
        <v>9</v>
      </c>
      <c r="C201" s="81">
        <v>121</v>
      </c>
      <c r="D201" s="6">
        <v>118</v>
      </c>
      <c r="E201" s="6">
        <v>116</v>
      </c>
      <c r="F201" s="6">
        <v>118</v>
      </c>
      <c r="G201" s="6">
        <v>119</v>
      </c>
      <c r="H201" s="6">
        <v>113</v>
      </c>
      <c r="I201" s="6">
        <v>119</v>
      </c>
      <c r="J201" s="6">
        <v>117</v>
      </c>
      <c r="K201" s="6">
        <v>115</v>
      </c>
      <c r="L201" s="6">
        <v>118</v>
      </c>
      <c r="M201" s="6">
        <v>115</v>
      </c>
      <c r="N201" s="29">
        <v>118</v>
      </c>
      <c r="O201" s="138"/>
      <c r="P201" s="138"/>
      <c r="Q201" s="138"/>
    </row>
    <row r="202" spans="1:17" hidden="1" x14ac:dyDescent="0.2">
      <c r="A202" s="28" t="s">
        <v>37</v>
      </c>
      <c r="B202" s="80">
        <v>10</v>
      </c>
      <c r="C202" s="81">
        <v>109</v>
      </c>
      <c r="D202" s="6">
        <v>106</v>
      </c>
      <c r="E202" s="6">
        <v>104</v>
      </c>
      <c r="F202" s="6">
        <v>106</v>
      </c>
      <c r="G202" s="6">
        <v>107</v>
      </c>
      <c r="H202" s="6">
        <v>101</v>
      </c>
      <c r="I202" s="6">
        <v>102</v>
      </c>
      <c r="J202" s="6">
        <v>106</v>
      </c>
      <c r="K202" s="6">
        <v>105</v>
      </c>
      <c r="L202" s="6">
        <v>107</v>
      </c>
      <c r="M202" s="6">
        <v>104</v>
      </c>
      <c r="N202" s="29">
        <v>106</v>
      </c>
      <c r="O202" s="138"/>
      <c r="P202" s="138"/>
      <c r="Q202" s="138"/>
    </row>
    <row r="203" spans="1:17" hidden="1" x14ac:dyDescent="0.2">
      <c r="A203" s="28" t="s">
        <v>39</v>
      </c>
      <c r="B203" s="80">
        <v>11</v>
      </c>
      <c r="C203" s="81">
        <v>94</v>
      </c>
      <c r="D203" s="6">
        <v>90</v>
      </c>
      <c r="E203" s="6">
        <v>89</v>
      </c>
      <c r="F203" s="6">
        <v>90</v>
      </c>
      <c r="G203" s="6">
        <v>92</v>
      </c>
      <c r="H203" s="6">
        <v>87</v>
      </c>
      <c r="I203" s="6">
        <v>90</v>
      </c>
      <c r="J203" s="6">
        <v>93</v>
      </c>
      <c r="K203" s="6">
        <v>91</v>
      </c>
      <c r="L203" s="6">
        <v>93</v>
      </c>
      <c r="M203" s="6">
        <v>90</v>
      </c>
      <c r="N203" s="29">
        <v>92</v>
      </c>
      <c r="O203" s="138"/>
      <c r="P203" s="138"/>
      <c r="Q203" s="138"/>
    </row>
    <row r="204" spans="1:17" ht="12.75" hidden="1" thickBot="1" x14ac:dyDescent="0.25">
      <c r="A204" s="59" t="s">
        <v>40</v>
      </c>
      <c r="B204" s="87">
        <v>12</v>
      </c>
      <c r="C204" s="88">
        <v>94</v>
      </c>
      <c r="D204" s="27">
        <v>90</v>
      </c>
      <c r="E204" s="27">
        <v>89</v>
      </c>
      <c r="F204" s="27">
        <v>90</v>
      </c>
      <c r="G204" s="27">
        <v>92</v>
      </c>
      <c r="H204" s="27">
        <v>87</v>
      </c>
      <c r="I204" s="27">
        <v>90</v>
      </c>
      <c r="J204" s="27">
        <v>93</v>
      </c>
      <c r="K204" s="27">
        <v>91</v>
      </c>
      <c r="L204" s="27">
        <v>93</v>
      </c>
      <c r="M204" s="27">
        <v>90</v>
      </c>
      <c r="N204" s="89">
        <v>92</v>
      </c>
      <c r="O204" s="138"/>
      <c r="P204" s="138"/>
      <c r="Q204" s="138"/>
    </row>
    <row r="205" spans="1:17" ht="12.75" hidden="1" thickBot="1" x14ac:dyDescent="0.25">
      <c r="A205" s="138"/>
      <c r="B205" s="138"/>
      <c r="C205" s="138"/>
      <c r="D205" s="138"/>
      <c r="E205" s="138"/>
      <c r="F205" s="138"/>
      <c r="G205" s="138"/>
      <c r="H205" s="138"/>
      <c r="I205" s="138"/>
      <c r="J205" s="138"/>
      <c r="K205" s="138"/>
      <c r="L205" s="138"/>
      <c r="M205" s="138"/>
      <c r="N205" s="138"/>
      <c r="O205" s="138"/>
      <c r="P205" s="138"/>
      <c r="Q205" s="138"/>
    </row>
    <row r="206" spans="1:17" ht="12.75" hidden="1" thickBot="1" x14ac:dyDescent="0.25">
      <c r="A206" s="177" t="s">
        <v>152</v>
      </c>
      <c r="B206" s="178"/>
      <c r="C206" s="178"/>
      <c r="D206" s="178"/>
      <c r="E206" s="178"/>
      <c r="F206" s="178"/>
      <c r="G206" s="178"/>
      <c r="H206" s="178"/>
      <c r="I206" s="178"/>
      <c r="J206" s="178"/>
      <c r="K206" s="178"/>
      <c r="L206" s="178"/>
      <c r="M206" s="179"/>
      <c r="N206" s="138"/>
      <c r="O206" s="138"/>
      <c r="P206" s="138"/>
      <c r="Q206" s="138"/>
    </row>
    <row r="207" spans="1:17" hidden="1" x14ac:dyDescent="0.2">
      <c r="A207" s="93"/>
      <c r="B207" s="81" t="s">
        <v>8</v>
      </c>
      <c r="C207" s="6" t="s">
        <v>8</v>
      </c>
      <c r="D207" s="6" t="s">
        <v>8</v>
      </c>
      <c r="E207" s="6" t="s">
        <v>8</v>
      </c>
      <c r="F207" s="6" t="s">
        <v>8</v>
      </c>
      <c r="G207" s="6" t="s">
        <v>8</v>
      </c>
      <c r="H207" s="6" t="s">
        <v>9</v>
      </c>
      <c r="I207" s="6" t="s">
        <v>9</v>
      </c>
      <c r="J207" s="6" t="s">
        <v>9</v>
      </c>
      <c r="K207" s="6" t="s">
        <v>9</v>
      </c>
      <c r="L207" s="6" t="s">
        <v>9</v>
      </c>
      <c r="M207" s="29" t="s">
        <v>10</v>
      </c>
      <c r="N207" s="138"/>
      <c r="O207" s="138"/>
      <c r="P207" s="138"/>
      <c r="Q207" s="138"/>
    </row>
    <row r="208" spans="1:17" hidden="1" x14ac:dyDescent="0.2">
      <c r="A208" s="94"/>
      <c r="B208" s="90">
        <v>1</v>
      </c>
      <c r="C208" s="91">
        <v>2</v>
      </c>
      <c r="D208" s="85">
        <v>3</v>
      </c>
      <c r="E208" s="91">
        <v>4</v>
      </c>
      <c r="F208" s="85">
        <v>5</v>
      </c>
      <c r="G208" s="91">
        <v>6</v>
      </c>
      <c r="H208" s="91">
        <v>7</v>
      </c>
      <c r="I208" s="91">
        <v>8</v>
      </c>
      <c r="J208" s="91">
        <v>9</v>
      </c>
      <c r="K208" s="91">
        <v>10</v>
      </c>
      <c r="L208" s="91">
        <v>11</v>
      </c>
      <c r="M208" s="92">
        <v>12</v>
      </c>
      <c r="N208" s="138"/>
      <c r="O208" s="138"/>
      <c r="P208" s="138"/>
      <c r="Q208" s="138"/>
    </row>
    <row r="209" spans="1:13" hidden="1" x14ac:dyDescent="0.2">
      <c r="A209" s="95" t="s">
        <v>17</v>
      </c>
      <c r="B209" s="81">
        <v>15</v>
      </c>
      <c r="C209" s="6">
        <v>10</v>
      </c>
      <c r="D209" s="6">
        <v>11</v>
      </c>
      <c r="E209" s="6">
        <v>12</v>
      </c>
      <c r="F209" s="6">
        <v>13</v>
      </c>
      <c r="G209" s="6">
        <v>14</v>
      </c>
      <c r="H209" s="6">
        <v>-2</v>
      </c>
      <c r="I209" s="6">
        <v>-2</v>
      </c>
      <c r="J209" s="6">
        <v>5</v>
      </c>
      <c r="K209" s="6">
        <v>24</v>
      </c>
      <c r="L209" s="6">
        <v>22</v>
      </c>
      <c r="M209" s="29">
        <v>20</v>
      </c>
    </row>
    <row r="210" spans="1:13" hidden="1" x14ac:dyDescent="0.2">
      <c r="A210" s="95" t="s">
        <v>19</v>
      </c>
      <c r="B210" s="81">
        <v>19</v>
      </c>
      <c r="C210" s="6">
        <v>14</v>
      </c>
      <c r="D210" s="6">
        <v>13</v>
      </c>
      <c r="E210" s="6">
        <v>12</v>
      </c>
      <c r="F210" s="6">
        <v>13</v>
      </c>
      <c r="G210" s="6">
        <v>14</v>
      </c>
      <c r="H210" s="6">
        <v>-1</v>
      </c>
      <c r="I210" s="6">
        <v>0</v>
      </c>
      <c r="J210" s="6">
        <v>21</v>
      </c>
      <c r="K210" s="6">
        <v>30</v>
      </c>
      <c r="L210" s="6">
        <v>31</v>
      </c>
      <c r="M210" s="29">
        <v>31</v>
      </c>
    </row>
    <row r="211" spans="1:13" hidden="1" x14ac:dyDescent="0.2">
      <c r="A211" s="95" t="s">
        <v>21</v>
      </c>
      <c r="B211" s="81">
        <v>26</v>
      </c>
      <c r="C211" s="6">
        <v>25</v>
      </c>
      <c r="D211" s="6">
        <v>21</v>
      </c>
      <c r="E211" s="6">
        <v>18</v>
      </c>
      <c r="F211" s="6">
        <v>15</v>
      </c>
      <c r="G211" s="6">
        <v>14</v>
      </c>
      <c r="H211" s="6">
        <v>1</v>
      </c>
      <c r="I211" s="6">
        <v>0</v>
      </c>
      <c r="J211" s="6">
        <v>13</v>
      </c>
      <c r="K211" s="6">
        <v>20</v>
      </c>
      <c r="L211" s="6">
        <v>24</v>
      </c>
      <c r="M211" s="29">
        <v>28</v>
      </c>
    </row>
    <row r="212" spans="1:13" hidden="1" x14ac:dyDescent="0.2">
      <c r="A212" s="95" t="s">
        <v>23</v>
      </c>
      <c r="B212" s="81">
        <v>20</v>
      </c>
      <c r="C212" s="6">
        <v>24</v>
      </c>
      <c r="D212" s="6">
        <v>25</v>
      </c>
      <c r="E212" s="6">
        <v>26</v>
      </c>
      <c r="F212" s="6">
        <v>23</v>
      </c>
      <c r="G212" s="6">
        <v>20</v>
      </c>
      <c r="H212" s="6">
        <v>-3</v>
      </c>
      <c r="I212" s="6">
        <v>-4</v>
      </c>
      <c r="J212" s="6">
        <v>-3</v>
      </c>
      <c r="K212" s="6">
        <v>-2</v>
      </c>
      <c r="L212" s="6">
        <v>7</v>
      </c>
      <c r="M212" s="29">
        <v>12</v>
      </c>
    </row>
    <row r="213" spans="1:13" hidden="1" x14ac:dyDescent="0.2">
      <c r="A213" s="95" t="s">
        <v>25</v>
      </c>
      <c r="B213" s="81">
        <v>8</v>
      </c>
      <c r="C213" s="6">
        <v>12</v>
      </c>
      <c r="D213" s="6">
        <v>24</v>
      </c>
      <c r="E213" s="6">
        <v>32</v>
      </c>
      <c r="F213" s="6">
        <v>35</v>
      </c>
      <c r="G213" s="6">
        <v>36</v>
      </c>
      <c r="H213" s="6">
        <v>1</v>
      </c>
      <c r="I213" s="6">
        <v>0</v>
      </c>
      <c r="J213" s="6">
        <v>0</v>
      </c>
      <c r="K213" s="6">
        <v>0</v>
      </c>
      <c r="L213" s="6">
        <v>1</v>
      </c>
      <c r="M213" s="29">
        <v>2</v>
      </c>
    </row>
    <row r="214" spans="1:13" hidden="1" x14ac:dyDescent="0.2">
      <c r="A214" s="95" t="s">
        <v>27</v>
      </c>
      <c r="B214" s="81">
        <v>7</v>
      </c>
      <c r="C214" s="6">
        <v>10</v>
      </c>
      <c r="D214" s="6">
        <v>19</v>
      </c>
      <c r="E214" s="6">
        <v>26</v>
      </c>
      <c r="F214" s="6">
        <v>34</v>
      </c>
      <c r="G214" s="6">
        <v>40</v>
      </c>
      <c r="H214" s="6">
        <v>1</v>
      </c>
      <c r="I214" s="6">
        <v>0</v>
      </c>
      <c r="J214" s="6">
        <v>0</v>
      </c>
      <c r="K214" s="6">
        <v>0</v>
      </c>
      <c r="L214" s="6">
        <v>2</v>
      </c>
      <c r="M214" s="29">
        <v>4</v>
      </c>
    </row>
    <row r="215" spans="1:13" hidden="1" x14ac:dyDescent="0.2">
      <c r="A215" s="95" t="s">
        <v>31</v>
      </c>
      <c r="B215" s="81">
        <v>6</v>
      </c>
      <c r="C215" s="6">
        <v>8</v>
      </c>
      <c r="D215" s="6">
        <v>10</v>
      </c>
      <c r="E215" s="6">
        <v>12</v>
      </c>
      <c r="F215" s="6">
        <v>21</v>
      </c>
      <c r="G215" s="6">
        <v>30</v>
      </c>
      <c r="H215" s="6">
        <v>-3</v>
      </c>
      <c r="I215" s="6">
        <v>-4</v>
      </c>
      <c r="J215" s="6">
        <v>-3</v>
      </c>
      <c r="K215" s="6">
        <v>-2</v>
      </c>
      <c r="L215" s="6">
        <v>0</v>
      </c>
      <c r="M215" s="29">
        <v>2</v>
      </c>
    </row>
    <row r="216" spans="1:13" hidden="1" x14ac:dyDescent="0.2">
      <c r="A216" s="95" t="s">
        <v>33</v>
      </c>
      <c r="B216" s="81">
        <v>3</v>
      </c>
      <c r="C216" s="6">
        <v>6</v>
      </c>
      <c r="D216" s="6">
        <v>8</v>
      </c>
      <c r="E216" s="6">
        <v>10</v>
      </c>
      <c r="F216" s="6">
        <v>11</v>
      </c>
      <c r="G216" s="6">
        <v>12</v>
      </c>
      <c r="H216" s="6">
        <v>-3</v>
      </c>
      <c r="I216" s="6">
        <v>-4</v>
      </c>
      <c r="J216" s="6">
        <v>-3</v>
      </c>
      <c r="K216" s="6">
        <v>-2</v>
      </c>
      <c r="L216" s="6">
        <v>-1</v>
      </c>
      <c r="M216" s="29">
        <v>0</v>
      </c>
    </row>
    <row r="217" spans="1:13" ht="12.75" hidden="1" thickBot="1" x14ac:dyDescent="0.25">
      <c r="A217" s="96" t="s">
        <v>112</v>
      </c>
      <c r="B217" s="88">
        <v>23</v>
      </c>
      <c r="C217" s="27">
        <v>30</v>
      </c>
      <c r="D217" s="27">
        <v>36</v>
      </c>
      <c r="E217" s="27">
        <v>41</v>
      </c>
      <c r="F217" s="27">
        <v>43</v>
      </c>
      <c r="G217" s="27">
        <v>43</v>
      </c>
      <c r="H217" s="27">
        <v>-1</v>
      </c>
      <c r="I217" s="27">
        <v>-2</v>
      </c>
      <c r="J217" s="27">
        <v>-1</v>
      </c>
      <c r="K217" s="27">
        <v>2</v>
      </c>
      <c r="L217" s="27">
        <v>9</v>
      </c>
      <c r="M217" s="89">
        <v>16</v>
      </c>
    </row>
    <row r="218" spans="1:13" ht="12.75" hidden="1" thickBot="1" x14ac:dyDescent="0.25"/>
    <row r="219" spans="1:13" ht="12.75" hidden="1" thickBot="1" x14ac:dyDescent="0.25">
      <c r="A219" s="209" t="s">
        <v>41</v>
      </c>
      <c r="B219" s="210"/>
      <c r="C219" s="210"/>
      <c r="D219" s="210"/>
      <c r="E219" s="210"/>
      <c r="F219" s="210"/>
      <c r="G219" s="210"/>
      <c r="H219" s="210"/>
      <c r="I219" s="210"/>
      <c r="J219" s="210"/>
      <c r="K219" s="211"/>
    </row>
    <row r="220" spans="1:13" hidden="1" x14ac:dyDescent="0.2">
      <c r="A220" s="82"/>
      <c r="B220" s="83"/>
      <c r="C220" s="84" t="s">
        <v>33</v>
      </c>
      <c r="D220" s="85" t="s">
        <v>17</v>
      </c>
      <c r="E220" s="85" t="s">
        <v>19</v>
      </c>
      <c r="F220" s="85" t="s">
        <v>21</v>
      </c>
      <c r="G220" s="85" t="s">
        <v>23</v>
      </c>
      <c r="H220" s="85" t="s">
        <v>25</v>
      </c>
      <c r="I220" s="85" t="s">
        <v>27</v>
      </c>
      <c r="J220" s="85" t="s">
        <v>31</v>
      </c>
      <c r="K220" s="86" t="s">
        <v>112</v>
      </c>
    </row>
    <row r="221" spans="1:13" hidden="1" x14ac:dyDescent="0.2">
      <c r="A221" s="28" t="s">
        <v>14</v>
      </c>
      <c r="B221" s="80">
        <v>1</v>
      </c>
      <c r="C221" s="81">
        <v>23</v>
      </c>
      <c r="D221" s="6">
        <v>29</v>
      </c>
      <c r="E221" s="6">
        <v>172</v>
      </c>
      <c r="F221" s="6">
        <v>244</v>
      </c>
      <c r="G221" s="6">
        <v>243</v>
      </c>
      <c r="H221" s="6">
        <v>244</v>
      </c>
      <c r="I221" s="6">
        <v>172</v>
      </c>
      <c r="J221" s="6">
        <v>29</v>
      </c>
      <c r="K221" s="29">
        <v>175</v>
      </c>
    </row>
    <row r="222" spans="1:13" hidden="1" x14ac:dyDescent="0.2">
      <c r="A222" s="28" t="s">
        <v>16</v>
      </c>
      <c r="B222" s="80">
        <v>2</v>
      </c>
      <c r="C222" s="81">
        <v>28</v>
      </c>
      <c r="D222" s="6">
        <v>63</v>
      </c>
      <c r="E222" s="6">
        <v>195</v>
      </c>
      <c r="F222" s="6">
        <v>239</v>
      </c>
      <c r="G222" s="6">
        <v>214</v>
      </c>
      <c r="H222" s="6">
        <v>239</v>
      </c>
      <c r="I222" s="6">
        <v>195</v>
      </c>
      <c r="J222" s="6">
        <v>63</v>
      </c>
      <c r="K222" s="29">
        <v>213</v>
      </c>
    </row>
    <row r="223" spans="1:13" hidden="1" x14ac:dyDescent="0.2">
      <c r="A223" s="28" t="s">
        <v>18</v>
      </c>
      <c r="B223" s="80">
        <v>3</v>
      </c>
      <c r="C223" s="81">
        <v>32</v>
      </c>
      <c r="D223" s="6">
        <v>103</v>
      </c>
      <c r="E223" s="6">
        <v>215</v>
      </c>
      <c r="F223" s="6">
        <v>218</v>
      </c>
      <c r="G223" s="6">
        <v>171</v>
      </c>
      <c r="H223" s="6">
        <v>218</v>
      </c>
      <c r="I223" s="6">
        <v>215</v>
      </c>
      <c r="J223" s="6">
        <v>103</v>
      </c>
      <c r="K223" s="29">
        <v>244</v>
      </c>
    </row>
    <row r="224" spans="1:13" hidden="1" x14ac:dyDescent="0.2">
      <c r="A224" s="28" t="s">
        <v>20</v>
      </c>
      <c r="B224" s="80">
        <v>4</v>
      </c>
      <c r="C224" s="81">
        <v>37</v>
      </c>
      <c r="D224" s="6">
        <v>141</v>
      </c>
      <c r="E224" s="6">
        <v>219</v>
      </c>
      <c r="F224" s="6">
        <v>180</v>
      </c>
      <c r="G224" s="6">
        <v>111</v>
      </c>
      <c r="H224" s="6">
        <v>180</v>
      </c>
      <c r="I224" s="6">
        <v>219</v>
      </c>
      <c r="J224" s="6">
        <v>141</v>
      </c>
      <c r="K224" s="29">
        <v>225</v>
      </c>
    </row>
    <row r="225" spans="1:13" hidden="1" x14ac:dyDescent="0.2">
      <c r="A225" s="28" t="s">
        <v>22</v>
      </c>
      <c r="B225" s="80">
        <v>5</v>
      </c>
      <c r="C225" s="81">
        <v>40</v>
      </c>
      <c r="D225" s="6">
        <v>167</v>
      </c>
      <c r="E225" s="6">
        <v>216</v>
      </c>
      <c r="F225" s="6">
        <v>150</v>
      </c>
      <c r="G225" s="6">
        <v>71</v>
      </c>
      <c r="H225" s="6">
        <v>150</v>
      </c>
      <c r="I225" s="6">
        <v>216</v>
      </c>
      <c r="J225" s="6">
        <v>167</v>
      </c>
      <c r="K225" s="29">
        <v>273</v>
      </c>
    </row>
    <row r="226" spans="1:13" hidden="1" x14ac:dyDescent="0.2">
      <c r="A226" s="28" t="s">
        <v>24</v>
      </c>
      <c r="B226" s="80">
        <v>6</v>
      </c>
      <c r="C226" s="81">
        <v>46</v>
      </c>
      <c r="D226" s="6">
        <v>176</v>
      </c>
      <c r="E226" s="6">
        <v>214</v>
      </c>
      <c r="F226" s="6">
        <v>139</v>
      </c>
      <c r="G226" s="6">
        <v>60</v>
      </c>
      <c r="H226" s="6">
        <v>139</v>
      </c>
      <c r="I226" s="6">
        <v>214</v>
      </c>
      <c r="J226" s="6">
        <v>176</v>
      </c>
      <c r="K226" s="29">
        <v>276</v>
      </c>
    </row>
    <row r="227" spans="1:13" hidden="1" x14ac:dyDescent="0.2">
      <c r="A227" s="28" t="s">
        <v>26</v>
      </c>
      <c r="B227" s="80">
        <v>7</v>
      </c>
      <c r="C227" s="81">
        <v>40</v>
      </c>
      <c r="D227" s="6">
        <v>167</v>
      </c>
      <c r="E227" s="6">
        <v>216</v>
      </c>
      <c r="F227" s="6">
        <v>150</v>
      </c>
      <c r="G227" s="6">
        <v>71</v>
      </c>
      <c r="H227" s="6">
        <v>150</v>
      </c>
      <c r="I227" s="6">
        <v>216</v>
      </c>
      <c r="J227" s="6">
        <v>167</v>
      </c>
      <c r="K227" s="29">
        <v>273</v>
      </c>
    </row>
    <row r="228" spans="1:13" hidden="1" x14ac:dyDescent="0.2">
      <c r="A228" s="28" t="s">
        <v>30</v>
      </c>
      <c r="B228" s="80">
        <v>8</v>
      </c>
      <c r="C228" s="81">
        <v>37</v>
      </c>
      <c r="D228" s="6">
        <v>141</v>
      </c>
      <c r="E228" s="6">
        <v>219</v>
      </c>
      <c r="F228" s="6">
        <v>180</v>
      </c>
      <c r="G228" s="6">
        <v>111</v>
      </c>
      <c r="H228" s="6">
        <v>180</v>
      </c>
      <c r="I228" s="6">
        <v>219</v>
      </c>
      <c r="J228" s="6">
        <v>141</v>
      </c>
      <c r="K228" s="29">
        <v>225</v>
      </c>
    </row>
    <row r="229" spans="1:13" hidden="1" x14ac:dyDescent="0.2">
      <c r="A229" s="28" t="s">
        <v>32</v>
      </c>
      <c r="B229" s="80">
        <v>9</v>
      </c>
      <c r="C229" s="81">
        <v>32</v>
      </c>
      <c r="D229" s="6">
        <v>103</v>
      </c>
      <c r="E229" s="6">
        <v>215</v>
      </c>
      <c r="F229" s="6">
        <v>218</v>
      </c>
      <c r="G229" s="6">
        <v>171</v>
      </c>
      <c r="H229" s="6">
        <v>218</v>
      </c>
      <c r="I229" s="6">
        <v>215</v>
      </c>
      <c r="J229" s="6">
        <v>103</v>
      </c>
      <c r="K229" s="29">
        <v>244</v>
      </c>
    </row>
    <row r="230" spans="1:13" hidden="1" x14ac:dyDescent="0.2">
      <c r="A230" s="28" t="s">
        <v>37</v>
      </c>
      <c r="B230" s="80">
        <v>10</v>
      </c>
      <c r="C230" s="81">
        <v>28</v>
      </c>
      <c r="D230" s="6">
        <v>63</v>
      </c>
      <c r="E230" s="6">
        <v>195</v>
      </c>
      <c r="F230" s="6">
        <v>239</v>
      </c>
      <c r="G230" s="6">
        <v>214</v>
      </c>
      <c r="H230" s="6">
        <v>239</v>
      </c>
      <c r="I230" s="6">
        <v>195</v>
      </c>
      <c r="J230" s="6">
        <v>63</v>
      </c>
      <c r="K230" s="29">
        <v>213</v>
      </c>
    </row>
    <row r="231" spans="1:13" hidden="1" x14ac:dyDescent="0.2">
      <c r="A231" s="28" t="s">
        <v>39</v>
      </c>
      <c r="B231" s="80">
        <v>11</v>
      </c>
      <c r="C231" s="81">
        <v>23</v>
      </c>
      <c r="D231" s="6">
        <v>29</v>
      </c>
      <c r="E231" s="6">
        <v>172</v>
      </c>
      <c r="F231" s="6">
        <v>244</v>
      </c>
      <c r="G231" s="6">
        <v>243</v>
      </c>
      <c r="H231" s="6">
        <v>244</v>
      </c>
      <c r="I231" s="6">
        <v>172</v>
      </c>
      <c r="J231" s="6">
        <v>29</v>
      </c>
      <c r="K231" s="29">
        <v>175</v>
      </c>
    </row>
    <row r="232" spans="1:13" ht="12.75" hidden="1" thickBot="1" x14ac:dyDescent="0.25">
      <c r="A232" s="59" t="s">
        <v>40</v>
      </c>
      <c r="B232" s="87">
        <v>12</v>
      </c>
      <c r="C232" s="88">
        <v>21</v>
      </c>
      <c r="D232" s="27">
        <v>21</v>
      </c>
      <c r="E232" s="27">
        <v>162</v>
      </c>
      <c r="F232" s="27">
        <v>246</v>
      </c>
      <c r="G232" s="27">
        <v>254</v>
      </c>
      <c r="H232" s="27">
        <v>246</v>
      </c>
      <c r="I232" s="27">
        <v>162</v>
      </c>
      <c r="J232" s="27">
        <v>21</v>
      </c>
      <c r="K232" s="89">
        <v>158</v>
      </c>
    </row>
    <row r="233" spans="1:13" ht="12.75" hidden="1" thickBot="1" x14ac:dyDescent="0.25"/>
    <row r="234" spans="1:13" ht="12.75" hidden="1" thickBot="1" x14ac:dyDescent="0.25">
      <c r="A234" s="177" t="s">
        <v>146</v>
      </c>
      <c r="B234" s="178"/>
      <c r="C234" s="178"/>
      <c r="D234" s="178"/>
      <c r="E234" s="178"/>
      <c r="F234" s="178"/>
      <c r="G234" s="178"/>
      <c r="H234" s="178"/>
      <c r="I234" s="178"/>
      <c r="J234" s="178"/>
      <c r="K234" s="178"/>
      <c r="L234" s="178"/>
      <c r="M234" s="179"/>
    </row>
    <row r="235" spans="1:13" hidden="1" x14ac:dyDescent="0.2">
      <c r="A235" s="93"/>
      <c r="B235" s="81" t="s">
        <v>8</v>
      </c>
      <c r="C235" s="6" t="s">
        <v>8</v>
      </c>
      <c r="D235" s="6" t="s">
        <v>8</v>
      </c>
      <c r="E235" s="6" t="s">
        <v>8</v>
      </c>
      <c r="F235" s="80" t="s">
        <v>8</v>
      </c>
      <c r="G235" s="81" t="s">
        <v>9</v>
      </c>
      <c r="H235" s="6" t="s">
        <v>9</v>
      </c>
      <c r="I235" s="6" t="s">
        <v>9</v>
      </c>
      <c r="J235" s="6" t="s">
        <v>9</v>
      </c>
      <c r="K235" s="6" t="s">
        <v>9</v>
      </c>
      <c r="L235" s="6" t="s">
        <v>9</v>
      </c>
      <c r="M235" s="29" t="s">
        <v>10</v>
      </c>
    </row>
    <row r="236" spans="1:13" hidden="1" x14ac:dyDescent="0.2">
      <c r="A236" s="94"/>
      <c r="B236" s="90">
        <v>1</v>
      </c>
      <c r="C236" s="91">
        <v>2</v>
      </c>
      <c r="D236" s="91">
        <v>3</v>
      </c>
      <c r="E236" s="91">
        <v>4</v>
      </c>
      <c r="F236" s="97">
        <v>5</v>
      </c>
      <c r="G236" s="90">
        <v>6</v>
      </c>
      <c r="H236" s="91">
        <v>7</v>
      </c>
      <c r="I236" s="91">
        <v>8</v>
      </c>
      <c r="J236" s="91">
        <v>9</v>
      </c>
      <c r="K236" s="91">
        <v>10</v>
      </c>
      <c r="L236" s="91">
        <v>11</v>
      </c>
      <c r="M236" s="92">
        <v>12</v>
      </c>
    </row>
    <row r="237" spans="1:13" hidden="1" x14ac:dyDescent="0.2">
      <c r="A237" s="93" t="s">
        <v>17</v>
      </c>
      <c r="B237" s="98">
        <v>0.23</v>
      </c>
      <c r="C237" s="79">
        <v>0.2</v>
      </c>
      <c r="D237" s="79">
        <v>0.19</v>
      </c>
      <c r="E237" s="79">
        <v>0.17</v>
      </c>
      <c r="F237" s="99">
        <v>0.15</v>
      </c>
      <c r="G237" s="98">
        <v>0.59</v>
      </c>
      <c r="H237" s="79">
        <v>0.68</v>
      </c>
      <c r="I237" s="79">
        <v>0.64</v>
      </c>
      <c r="J237" s="79">
        <v>0.52</v>
      </c>
      <c r="K237" s="79">
        <v>0.35</v>
      </c>
      <c r="L237" s="79">
        <v>0.28999999999999998</v>
      </c>
      <c r="M237" s="100">
        <v>0.24</v>
      </c>
    </row>
    <row r="238" spans="1:13" hidden="1" x14ac:dyDescent="0.2">
      <c r="A238" s="93" t="s">
        <v>19</v>
      </c>
      <c r="B238" s="98">
        <v>0.26</v>
      </c>
      <c r="C238" s="79">
        <v>0.24</v>
      </c>
      <c r="D238" s="79">
        <v>0.21</v>
      </c>
      <c r="E238" s="79">
        <v>0.19</v>
      </c>
      <c r="F238" s="99">
        <v>0.16</v>
      </c>
      <c r="G238" s="98">
        <v>0.52</v>
      </c>
      <c r="H238" s="79">
        <v>0.67</v>
      </c>
      <c r="I238" s="79">
        <v>0.73</v>
      </c>
      <c r="J238" s="79">
        <v>0.7</v>
      </c>
      <c r="K238" s="79">
        <v>0.57999999999999996</v>
      </c>
      <c r="L238" s="79">
        <v>0.4</v>
      </c>
      <c r="M238" s="100">
        <v>0.28999999999999998</v>
      </c>
    </row>
    <row r="239" spans="1:13" hidden="1" x14ac:dyDescent="0.2">
      <c r="A239" s="93" t="s">
        <v>21</v>
      </c>
      <c r="B239" s="98">
        <v>0.49</v>
      </c>
      <c r="C239" s="79">
        <v>0.34</v>
      </c>
      <c r="D239" s="79">
        <v>0.28000000000000003</v>
      </c>
      <c r="E239" s="79">
        <v>0.25</v>
      </c>
      <c r="F239" s="99">
        <v>0.21</v>
      </c>
      <c r="G239" s="98">
        <v>0.18</v>
      </c>
      <c r="H239" s="79">
        <v>0.4</v>
      </c>
      <c r="I239" s="79">
        <v>0.56999999999999995</v>
      </c>
      <c r="J239" s="79">
        <v>0.7</v>
      </c>
      <c r="K239" s="79">
        <v>0.75</v>
      </c>
      <c r="L239" s="79">
        <v>0.72</v>
      </c>
      <c r="M239" s="100">
        <v>0.63</v>
      </c>
    </row>
    <row r="240" spans="1:13" hidden="1" x14ac:dyDescent="0.2">
      <c r="A240" s="93" t="s">
        <v>23</v>
      </c>
      <c r="B240" s="98">
        <v>0.79</v>
      </c>
      <c r="C240" s="79">
        <v>0.77</v>
      </c>
      <c r="D240" s="79">
        <v>0.65</v>
      </c>
      <c r="E240" s="79">
        <v>0.51</v>
      </c>
      <c r="F240" s="99">
        <v>0.31</v>
      </c>
      <c r="G240" s="98">
        <v>0.26</v>
      </c>
      <c r="H240" s="79">
        <v>0.22</v>
      </c>
      <c r="I240" s="79">
        <v>0.38</v>
      </c>
      <c r="J240" s="79">
        <v>0.51</v>
      </c>
      <c r="K240" s="79">
        <v>0.64</v>
      </c>
      <c r="L240" s="79">
        <v>0.73</v>
      </c>
      <c r="M240" s="100">
        <v>0.79</v>
      </c>
    </row>
    <row r="241" spans="1:13" hidden="1" x14ac:dyDescent="0.2">
      <c r="A241" s="93" t="s">
        <v>25</v>
      </c>
      <c r="B241" s="98">
        <v>0.64</v>
      </c>
      <c r="C241" s="79">
        <v>0.74</v>
      </c>
      <c r="D241" s="79">
        <v>0.77</v>
      </c>
      <c r="E241" s="79">
        <v>0.7</v>
      </c>
      <c r="F241" s="99">
        <v>0.55000000000000004</v>
      </c>
      <c r="G241" s="98">
        <v>0.33</v>
      </c>
      <c r="H241" s="79">
        <v>0.28000000000000003</v>
      </c>
      <c r="I241" s="79">
        <v>0.25</v>
      </c>
      <c r="J241" s="79">
        <v>0.23</v>
      </c>
      <c r="K241" s="79">
        <v>0.23</v>
      </c>
      <c r="L241" s="79">
        <v>0.35</v>
      </c>
      <c r="M241" s="100">
        <v>0.5</v>
      </c>
    </row>
    <row r="242" spans="1:13" hidden="1" x14ac:dyDescent="0.2">
      <c r="A242" s="93" t="s">
        <v>27</v>
      </c>
      <c r="B242" s="98">
        <v>0.28000000000000003</v>
      </c>
      <c r="C242" s="79">
        <v>0.44</v>
      </c>
      <c r="D242" s="79">
        <v>0.61</v>
      </c>
      <c r="E242" s="79">
        <v>0.72</v>
      </c>
      <c r="F242" s="99">
        <v>0.73</v>
      </c>
      <c r="G242" s="98">
        <v>0.67</v>
      </c>
      <c r="H242" s="79">
        <v>0.33</v>
      </c>
      <c r="I242" s="79">
        <v>0.28000000000000003</v>
      </c>
      <c r="J242" s="79">
        <v>0.26</v>
      </c>
      <c r="K242" s="79">
        <v>0.24</v>
      </c>
      <c r="L242" s="79">
        <v>0.22</v>
      </c>
      <c r="M242" s="100">
        <v>0.2</v>
      </c>
    </row>
    <row r="243" spans="1:13" hidden="1" x14ac:dyDescent="0.2">
      <c r="A243" s="93" t="s">
        <v>31</v>
      </c>
      <c r="B243" s="98">
        <v>0.18</v>
      </c>
      <c r="C243" s="79">
        <v>0.23</v>
      </c>
      <c r="D243" s="79">
        <v>0.4</v>
      </c>
      <c r="E243" s="79">
        <v>0.57999999999999996</v>
      </c>
      <c r="F243" s="99">
        <v>0.7</v>
      </c>
      <c r="G243" s="98">
        <v>0.71</v>
      </c>
      <c r="H243" s="79">
        <v>0.31</v>
      </c>
      <c r="I243" s="79">
        <v>0.27</v>
      </c>
      <c r="J243" s="79">
        <v>0.24</v>
      </c>
      <c r="K243" s="79">
        <v>0.22</v>
      </c>
      <c r="L243" s="79">
        <v>0.21</v>
      </c>
      <c r="M243" s="100">
        <v>0.19</v>
      </c>
    </row>
    <row r="244" spans="1:13" ht="12.75" hidden="1" thickBot="1" x14ac:dyDescent="0.25">
      <c r="A244" s="96" t="s">
        <v>33</v>
      </c>
      <c r="B244" s="101">
        <v>0.98</v>
      </c>
      <c r="C244" s="60">
        <v>0.98</v>
      </c>
      <c r="D244" s="60">
        <v>0.98</v>
      </c>
      <c r="E244" s="60">
        <v>0.98</v>
      </c>
      <c r="F244" s="102">
        <v>0.98</v>
      </c>
      <c r="G244" s="101">
        <v>0.98</v>
      </c>
      <c r="H244" s="60">
        <v>0.98</v>
      </c>
      <c r="I244" s="60">
        <v>0.98</v>
      </c>
      <c r="J244" s="60">
        <v>0.98</v>
      </c>
      <c r="K244" s="60">
        <v>0.98</v>
      </c>
      <c r="L244" s="60">
        <v>0.98</v>
      </c>
      <c r="M244" s="103">
        <v>0.98</v>
      </c>
    </row>
    <row r="245" spans="1:13" ht="12.75" hidden="1" thickBot="1" x14ac:dyDescent="0.25">
      <c r="A245" s="6"/>
      <c r="B245" s="138"/>
      <c r="C245" s="138"/>
      <c r="D245" s="138"/>
      <c r="E245" s="138"/>
      <c r="F245" s="138"/>
      <c r="G245" s="138"/>
      <c r="H245" s="138"/>
      <c r="I245" s="138"/>
      <c r="J245" s="138"/>
      <c r="K245" s="138"/>
      <c r="L245" s="138"/>
      <c r="M245" s="138"/>
    </row>
    <row r="246" spans="1:13" ht="12.75" hidden="1" thickBot="1" x14ac:dyDescent="0.25">
      <c r="A246" s="177" t="s">
        <v>147</v>
      </c>
      <c r="B246" s="178"/>
      <c r="C246" s="178"/>
      <c r="D246" s="178"/>
      <c r="E246" s="178"/>
      <c r="F246" s="178"/>
      <c r="G246" s="178"/>
      <c r="H246" s="178"/>
      <c r="I246" s="178"/>
      <c r="J246" s="178"/>
      <c r="K246" s="178"/>
      <c r="L246" s="178"/>
      <c r="M246" s="179"/>
    </row>
    <row r="247" spans="1:13" hidden="1" x14ac:dyDescent="0.2">
      <c r="A247" s="93"/>
      <c r="B247" s="81" t="s">
        <v>8</v>
      </c>
      <c r="C247" s="6" t="s">
        <v>8</v>
      </c>
      <c r="D247" s="6" t="s">
        <v>8</v>
      </c>
      <c r="E247" s="6" t="s">
        <v>8</v>
      </c>
      <c r="F247" s="80" t="s">
        <v>8</v>
      </c>
      <c r="G247" s="81" t="s">
        <v>9</v>
      </c>
      <c r="H247" s="6" t="s">
        <v>9</v>
      </c>
      <c r="I247" s="6" t="s">
        <v>9</v>
      </c>
      <c r="J247" s="6" t="s">
        <v>9</v>
      </c>
      <c r="K247" s="6" t="s">
        <v>9</v>
      </c>
      <c r="L247" s="6" t="s">
        <v>9</v>
      </c>
      <c r="M247" s="29" t="s">
        <v>10</v>
      </c>
    </row>
    <row r="248" spans="1:13" hidden="1" x14ac:dyDescent="0.2">
      <c r="A248" s="94"/>
      <c r="B248" s="90">
        <v>1</v>
      </c>
      <c r="C248" s="91">
        <v>2</v>
      </c>
      <c r="D248" s="91">
        <v>3</v>
      </c>
      <c r="E248" s="91">
        <v>4</v>
      </c>
      <c r="F248" s="97">
        <v>5</v>
      </c>
      <c r="G248" s="90">
        <v>6</v>
      </c>
      <c r="H248" s="91">
        <v>7</v>
      </c>
      <c r="I248" s="91">
        <v>8</v>
      </c>
      <c r="J248" s="91">
        <v>9</v>
      </c>
      <c r="K248" s="91">
        <v>10</v>
      </c>
      <c r="L248" s="91">
        <v>11</v>
      </c>
      <c r="M248" s="92">
        <v>12</v>
      </c>
    </row>
    <row r="249" spans="1:13" hidden="1" x14ac:dyDescent="0.2">
      <c r="A249" s="93" t="s">
        <v>17</v>
      </c>
      <c r="B249" s="98">
        <v>0.3</v>
      </c>
      <c r="C249" s="79">
        <v>0.27</v>
      </c>
      <c r="D249" s="79">
        <v>0.26</v>
      </c>
      <c r="E249" s="79">
        <v>0.23</v>
      </c>
      <c r="F249" s="99">
        <v>0.2</v>
      </c>
      <c r="G249" s="98"/>
      <c r="H249" s="79">
        <v>0.45</v>
      </c>
      <c r="I249" s="79">
        <v>0.5</v>
      </c>
      <c r="J249" s="79">
        <v>0.49</v>
      </c>
      <c r="K249" s="79">
        <v>0.45</v>
      </c>
      <c r="L249" s="79">
        <v>0.42</v>
      </c>
      <c r="M249" s="100">
        <v>0.34</v>
      </c>
    </row>
    <row r="250" spans="1:13" hidden="1" x14ac:dyDescent="0.2">
      <c r="A250" s="93" t="s">
        <v>19</v>
      </c>
      <c r="B250" s="98">
        <v>0.39</v>
      </c>
      <c r="C250" s="79">
        <v>0.34</v>
      </c>
      <c r="D250" s="79">
        <v>0.31</v>
      </c>
      <c r="E250" s="79">
        <v>0.28000000000000003</v>
      </c>
      <c r="F250" s="99">
        <v>0.24</v>
      </c>
      <c r="G250" s="98"/>
      <c r="H250" s="79">
        <v>0.44</v>
      </c>
      <c r="I250" s="79">
        <v>0.54</v>
      </c>
      <c r="J250" s="79">
        <v>0.57999999999999996</v>
      </c>
      <c r="K250" s="79">
        <v>0.56999999999999995</v>
      </c>
      <c r="L250" s="79">
        <v>0.51</v>
      </c>
      <c r="M250" s="100">
        <v>0.44</v>
      </c>
    </row>
    <row r="251" spans="1:13" hidden="1" x14ac:dyDescent="0.2">
      <c r="A251" s="93" t="s">
        <v>21</v>
      </c>
      <c r="B251" s="98">
        <v>0.56000000000000005</v>
      </c>
      <c r="C251" s="79">
        <v>0.49</v>
      </c>
      <c r="D251" s="79">
        <v>0.44</v>
      </c>
      <c r="E251" s="79">
        <v>0.37</v>
      </c>
      <c r="F251" s="99">
        <v>0.33</v>
      </c>
      <c r="G251" s="98"/>
      <c r="H251" s="79">
        <v>0.33</v>
      </c>
      <c r="I251" s="79">
        <v>0.41</v>
      </c>
      <c r="J251" s="79">
        <v>0.51</v>
      </c>
      <c r="K251" s="79">
        <v>0.57999999999999996</v>
      </c>
      <c r="L251" s="79">
        <v>0.61</v>
      </c>
      <c r="M251" s="100">
        <v>0.61</v>
      </c>
    </row>
    <row r="252" spans="1:13" hidden="1" x14ac:dyDescent="0.2">
      <c r="A252" s="93" t="s">
        <v>23</v>
      </c>
      <c r="B252" s="98">
        <v>0.68</v>
      </c>
      <c r="C252" s="79">
        <v>0.7</v>
      </c>
      <c r="D252" s="79">
        <v>0.68</v>
      </c>
      <c r="E252" s="79">
        <v>0.63</v>
      </c>
      <c r="F252" s="99">
        <v>0.53</v>
      </c>
      <c r="G252" s="98"/>
      <c r="H252" s="79">
        <v>0.37</v>
      </c>
      <c r="I252" s="79">
        <v>0.39</v>
      </c>
      <c r="J252" s="79">
        <v>0.43</v>
      </c>
      <c r="K252" s="79">
        <v>0.5</v>
      </c>
      <c r="L252" s="79">
        <v>0.56999999999999995</v>
      </c>
      <c r="M252" s="100">
        <v>0.64</v>
      </c>
    </row>
    <row r="253" spans="1:13" hidden="1" x14ac:dyDescent="0.2">
      <c r="A253" s="93" t="s">
        <v>25</v>
      </c>
      <c r="B253" s="98">
        <v>0.46</v>
      </c>
      <c r="C253" s="79">
        <v>0.55000000000000004</v>
      </c>
      <c r="D253" s="79">
        <v>0.62</v>
      </c>
      <c r="E253" s="79">
        <v>0.64</v>
      </c>
      <c r="F253" s="99">
        <v>0.6</v>
      </c>
      <c r="G253" s="98"/>
      <c r="H253" s="79">
        <v>0.44</v>
      </c>
      <c r="I253" s="79">
        <v>0.37</v>
      </c>
      <c r="J253" s="79">
        <v>0.35</v>
      </c>
      <c r="K253" s="79">
        <v>0.31</v>
      </c>
      <c r="L253" s="79">
        <v>0.33</v>
      </c>
      <c r="M253" s="100">
        <v>0.39</v>
      </c>
    </row>
    <row r="254" spans="1:13" hidden="1" x14ac:dyDescent="0.2">
      <c r="A254" s="93" t="s">
        <v>27</v>
      </c>
      <c r="B254" s="98">
        <v>0.28000000000000003</v>
      </c>
      <c r="C254" s="79">
        <v>0.33</v>
      </c>
      <c r="D254" s="79">
        <v>0.43</v>
      </c>
      <c r="E254" s="79">
        <v>0.51</v>
      </c>
      <c r="F254" s="99">
        <v>0.56999999999999995</v>
      </c>
      <c r="G254" s="98"/>
      <c r="H254" s="79">
        <v>0.52</v>
      </c>
      <c r="I254" s="79">
        <v>0.44</v>
      </c>
      <c r="J254" s="79">
        <v>0.39</v>
      </c>
      <c r="K254" s="79">
        <v>0.34</v>
      </c>
      <c r="L254" s="79">
        <v>0.31</v>
      </c>
      <c r="M254" s="100">
        <v>0.28999999999999998</v>
      </c>
    </row>
    <row r="255" spans="1:13" hidden="1" x14ac:dyDescent="0.2">
      <c r="A255" s="93" t="s">
        <v>31</v>
      </c>
      <c r="B255" s="98">
        <v>0.23</v>
      </c>
      <c r="C255" s="79">
        <v>0.24</v>
      </c>
      <c r="D255" s="79">
        <v>0.3</v>
      </c>
      <c r="E255" s="79">
        <v>0.39</v>
      </c>
      <c r="F255" s="99">
        <v>0.48</v>
      </c>
      <c r="G255" s="98"/>
      <c r="H255" s="79">
        <v>0.49</v>
      </c>
      <c r="I255" s="79">
        <v>0.41</v>
      </c>
      <c r="J255" s="79">
        <v>0.35</v>
      </c>
      <c r="K255" s="79">
        <v>0.31</v>
      </c>
      <c r="L255" s="79">
        <v>0.28000000000000003</v>
      </c>
      <c r="M255" s="100">
        <v>0.25</v>
      </c>
    </row>
    <row r="256" spans="1:13" ht="12.75" hidden="1" thickBot="1" x14ac:dyDescent="0.25">
      <c r="A256" s="96" t="s">
        <v>33</v>
      </c>
      <c r="B256" s="101">
        <v>0.94</v>
      </c>
      <c r="C256" s="60">
        <v>0.94</v>
      </c>
      <c r="D256" s="60">
        <v>0.95</v>
      </c>
      <c r="E256" s="60">
        <v>0.95</v>
      </c>
      <c r="F256" s="102">
        <v>0.95</v>
      </c>
      <c r="G256" s="101"/>
      <c r="H256" s="60">
        <v>0.84</v>
      </c>
      <c r="I256" s="60">
        <v>0.86</v>
      </c>
      <c r="J256" s="60">
        <v>0.89</v>
      </c>
      <c r="K256" s="60">
        <v>0.91</v>
      </c>
      <c r="L256" s="60">
        <v>0.93</v>
      </c>
      <c r="M256" s="103">
        <v>0.93</v>
      </c>
    </row>
    <row r="257" spans="1:13" ht="12.75" hidden="1" thickBot="1" x14ac:dyDescent="0.25">
      <c r="A257" s="138"/>
      <c r="B257" s="138"/>
      <c r="C257" s="138"/>
      <c r="D257" s="138"/>
      <c r="E257" s="138"/>
      <c r="F257" s="138"/>
      <c r="G257" s="138"/>
      <c r="H257" s="138"/>
      <c r="I257" s="138"/>
      <c r="J257" s="138"/>
      <c r="K257" s="138"/>
      <c r="L257" s="138"/>
      <c r="M257" s="138"/>
    </row>
    <row r="258" spans="1:13" ht="12.75" hidden="1" thickBot="1" x14ac:dyDescent="0.25">
      <c r="A258" s="177" t="s">
        <v>148</v>
      </c>
      <c r="B258" s="178"/>
      <c r="C258" s="178"/>
      <c r="D258" s="178"/>
      <c r="E258" s="178"/>
      <c r="F258" s="178"/>
      <c r="G258" s="178"/>
      <c r="H258" s="178"/>
      <c r="I258" s="178"/>
      <c r="J258" s="178"/>
      <c r="K258" s="178"/>
      <c r="L258" s="178"/>
      <c r="M258" s="179"/>
    </row>
    <row r="259" spans="1:13" hidden="1" x14ac:dyDescent="0.2">
      <c r="A259" s="93"/>
      <c r="B259" s="81" t="s">
        <v>8</v>
      </c>
      <c r="C259" s="6" t="s">
        <v>8</v>
      </c>
      <c r="D259" s="6" t="s">
        <v>8</v>
      </c>
      <c r="E259" s="6" t="s">
        <v>8</v>
      </c>
      <c r="F259" s="6" t="s">
        <v>8</v>
      </c>
      <c r="G259" s="6" t="s">
        <v>8</v>
      </c>
      <c r="H259" s="6" t="s">
        <v>9</v>
      </c>
      <c r="I259" s="6" t="s">
        <v>9</v>
      </c>
      <c r="J259" s="6" t="s">
        <v>9</v>
      </c>
      <c r="K259" s="6" t="s">
        <v>9</v>
      </c>
      <c r="L259" s="6" t="s">
        <v>9</v>
      </c>
      <c r="M259" s="29" t="s">
        <v>10</v>
      </c>
    </row>
    <row r="260" spans="1:13" hidden="1" x14ac:dyDescent="0.2">
      <c r="A260" s="94"/>
      <c r="B260" s="90">
        <v>1</v>
      </c>
      <c r="C260" s="91">
        <v>2</v>
      </c>
      <c r="D260" s="91">
        <v>3</v>
      </c>
      <c r="E260" s="91">
        <v>4</v>
      </c>
      <c r="F260" s="91">
        <v>5</v>
      </c>
      <c r="G260" s="91">
        <v>6</v>
      </c>
      <c r="H260" s="91">
        <v>7</v>
      </c>
      <c r="I260" s="91">
        <v>8</v>
      </c>
      <c r="J260" s="91">
        <v>9</v>
      </c>
      <c r="K260" s="91">
        <v>10</v>
      </c>
      <c r="L260" s="91">
        <v>11</v>
      </c>
      <c r="M260" s="92">
        <v>12</v>
      </c>
    </row>
    <row r="261" spans="1:13" hidden="1" x14ac:dyDescent="0.2">
      <c r="A261" s="95" t="s">
        <v>17</v>
      </c>
      <c r="B261" s="98">
        <v>0.21</v>
      </c>
      <c r="C261" s="79">
        <v>0.17</v>
      </c>
      <c r="D261" s="79">
        <v>0.16</v>
      </c>
      <c r="E261" s="79">
        <v>0.15</v>
      </c>
      <c r="F261" s="79">
        <v>0.13</v>
      </c>
      <c r="G261" s="79">
        <v>0.11</v>
      </c>
      <c r="H261" s="79">
        <v>0.65</v>
      </c>
      <c r="I261" s="79">
        <v>0.61</v>
      </c>
      <c r="J261" s="79">
        <v>0.5</v>
      </c>
      <c r="K261" s="79">
        <v>0.33</v>
      </c>
      <c r="L261" s="79">
        <v>0.27</v>
      </c>
      <c r="M261" s="100">
        <v>0.22</v>
      </c>
    </row>
    <row r="262" spans="1:13" hidden="1" x14ac:dyDescent="0.2">
      <c r="A262" s="95" t="s">
        <v>19</v>
      </c>
      <c r="B262" s="98">
        <v>0.24</v>
      </c>
      <c r="C262" s="79">
        <v>0.2</v>
      </c>
      <c r="D262" s="79">
        <v>0.18</v>
      </c>
      <c r="E262" s="79">
        <v>0.16</v>
      </c>
      <c r="F262" s="79">
        <v>0.14000000000000001</v>
      </c>
      <c r="G262" s="79">
        <v>0.12</v>
      </c>
      <c r="H262" s="79">
        <v>0.63</v>
      </c>
      <c r="I262" s="79">
        <v>0.7</v>
      </c>
      <c r="J262" s="79">
        <v>0.67</v>
      </c>
      <c r="K262" s="79">
        <v>0.56000000000000005</v>
      </c>
      <c r="L262" s="79">
        <v>0.38</v>
      </c>
      <c r="M262" s="100">
        <v>0.27</v>
      </c>
    </row>
    <row r="263" spans="1:13" hidden="1" x14ac:dyDescent="0.2">
      <c r="A263" s="95" t="s">
        <v>21</v>
      </c>
      <c r="B263" s="98">
        <v>0.47</v>
      </c>
      <c r="C263" s="79">
        <v>0.28999999999999998</v>
      </c>
      <c r="D263" s="79">
        <v>0.24</v>
      </c>
      <c r="E263" s="79">
        <v>0.21</v>
      </c>
      <c r="F263" s="79">
        <v>0.18</v>
      </c>
      <c r="G263" s="79">
        <v>0.15</v>
      </c>
      <c r="H263" s="79">
        <v>0.35</v>
      </c>
      <c r="I263" s="79">
        <v>0.53</v>
      </c>
      <c r="J263" s="79">
        <v>0.66</v>
      </c>
      <c r="K263" s="79">
        <v>0.72</v>
      </c>
      <c r="L263" s="79">
        <v>0.69</v>
      </c>
      <c r="M263" s="100">
        <v>0.61</v>
      </c>
    </row>
    <row r="264" spans="1:13" hidden="1" x14ac:dyDescent="0.2">
      <c r="A264" s="95" t="s">
        <v>23</v>
      </c>
      <c r="B264" s="98">
        <v>0.7</v>
      </c>
      <c r="C264" s="79">
        <v>0.69</v>
      </c>
      <c r="D264" s="79">
        <v>0.59</v>
      </c>
      <c r="E264" s="79">
        <v>0.45</v>
      </c>
      <c r="F264" s="79">
        <v>0.26</v>
      </c>
      <c r="G264" s="79">
        <v>0.22</v>
      </c>
      <c r="H264" s="79">
        <v>0.14000000000000001</v>
      </c>
      <c r="I264" s="79">
        <v>0.31</v>
      </c>
      <c r="J264" s="79">
        <v>0.46</v>
      </c>
      <c r="K264" s="79">
        <v>0.59</v>
      </c>
      <c r="L264" s="79">
        <v>0.69</v>
      </c>
      <c r="M264" s="100">
        <v>0.76</v>
      </c>
    </row>
    <row r="265" spans="1:13" hidden="1" x14ac:dyDescent="0.2">
      <c r="A265" s="95" t="s">
        <v>25</v>
      </c>
      <c r="B265" s="98">
        <v>0.6</v>
      </c>
      <c r="C265" s="79">
        <v>0.66</v>
      </c>
      <c r="D265" s="79">
        <v>0.7</v>
      </c>
      <c r="E265" s="79">
        <v>0.64</v>
      </c>
      <c r="F265" s="79">
        <v>0.5</v>
      </c>
      <c r="G265" s="79">
        <v>0.26</v>
      </c>
      <c r="H265" s="79">
        <v>0.19</v>
      </c>
      <c r="I265" s="79">
        <v>0.18</v>
      </c>
      <c r="J265" s="79">
        <v>0.17</v>
      </c>
      <c r="K265" s="79">
        <v>0.18</v>
      </c>
      <c r="L265" s="79">
        <v>0.31</v>
      </c>
      <c r="M265" s="100">
        <v>0.46</v>
      </c>
    </row>
    <row r="266" spans="1:13" hidden="1" x14ac:dyDescent="0.2">
      <c r="A266" s="95" t="s">
        <v>27</v>
      </c>
      <c r="B266" s="98">
        <v>0.23</v>
      </c>
      <c r="C266" s="79">
        <v>0.36</v>
      </c>
      <c r="D266" s="79">
        <v>0.54</v>
      </c>
      <c r="E266" s="79">
        <v>0.66</v>
      </c>
      <c r="F266" s="79">
        <v>0.68</v>
      </c>
      <c r="G266" s="79">
        <v>0.6</v>
      </c>
      <c r="H266" s="79">
        <v>0.21</v>
      </c>
      <c r="I266" s="79">
        <v>0.19</v>
      </c>
      <c r="J266" s="79">
        <v>0.19</v>
      </c>
      <c r="K266" s="79">
        <v>0.17</v>
      </c>
      <c r="L266" s="79">
        <v>0.16</v>
      </c>
      <c r="M266" s="100">
        <v>0.15</v>
      </c>
    </row>
    <row r="267" spans="1:13" hidden="1" x14ac:dyDescent="0.2">
      <c r="A267" s="95" t="s">
        <v>31</v>
      </c>
      <c r="B267" s="98">
        <v>0.15</v>
      </c>
      <c r="C267" s="79">
        <v>0.16</v>
      </c>
      <c r="D267" s="79">
        <v>0.34</v>
      </c>
      <c r="E267" s="79">
        <v>0.52</v>
      </c>
      <c r="F267" s="79">
        <v>0.65</v>
      </c>
      <c r="G267" s="79">
        <v>0.23</v>
      </c>
      <c r="H267" s="79">
        <v>0.19</v>
      </c>
      <c r="I267" s="79">
        <v>0.18</v>
      </c>
      <c r="J267" s="79">
        <v>0.17</v>
      </c>
      <c r="K267" s="79">
        <v>0.17</v>
      </c>
      <c r="L267" s="79">
        <v>0.16</v>
      </c>
      <c r="M267" s="100">
        <v>0.16</v>
      </c>
    </row>
    <row r="268" spans="1:13" ht="12.75" hidden="1" thickBot="1" x14ac:dyDescent="0.25">
      <c r="A268" s="104" t="s">
        <v>33</v>
      </c>
      <c r="B268" s="101">
        <v>0.84</v>
      </c>
      <c r="C268" s="60">
        <v>0.85</v>
      </c>
      <c r="D268" s="60">
        <v>0.87</v>
      </c>
      <c r="E268" s="60">
        <v>0.88</v>
      </c>
      <c r="F268" s="60">
        <v>0.89</v>
      </c>
      <c r="G268" s="60">
        <v>0.9</v>
      </c>
      <c r="H268" s="60">
        <v>0.46</v>
      </c>
      <c r="I268" s="60">
        <v>0.73</v>
      </c>
      <c r="J268" s="60">
        <v>0.78</v>
      </c>
      <c r="K268" s="60">
        <v>0.82</v>
      </c>
      <c r="L268" s="60">
        <v>0.82</v>
      </c>
      <c r="M268" s="103">
        <v>0.83</v>
      </c>
    </row>
    <row r="269" spans="1:13" ht="12.75" hidden="1" thickBot="1" x14ac:dyDescent="0.25">
      <c r="A269" s="138"/>
      <c r="B269" s="138"/>
      <c r="C269" s="138"/>
      <c r="D269" s="138"/>
      <c r="E269" s="138"/>
      <c r="F269" s="138"/>
      <c r="G269" s="138"/>
      <c r="H269" s="138"/>
      <c r="I269" s="138"/>
      <c r="J269" s="138"/>
      <c r="K269" s="138"/>
      <c r="L269" s="138"/>
      <c r="M269" s="138"/>
    </row>
    <row r="270" spans="1:13" ht="12.75" hidden="1" thickBot="1" x14ac:dyDescent="0.25">
      <c r="A270" s="177" t="s">
        <v>149</v>
      </c>
      <c r="B270" s="178"/>
      <c r="C270" s="178"/>
      <c r="D270" s="178"/>
      <c r="E270" s="178"/>
      <c r="F270" s="178"/>
      <c r="G270" s="178"/>
      <c r="H270" s="178"/>
      <c r="I270" s="178"/>
      <c r="J270" s="178"/>
      <c r="K270" s="178"/>
      <c r="L270" s="178"/>
      <c r="M270" s="179"/>
    </row>
    <row r="271" spans="1:13" hidden="1" x14ac:dyDescent="0.2">
      <c r="A271" s="93"/>
      <c r="B271" s="81" t="s">
        <v>8</v>
      </c>
      <c r="C271" s="6" t="s">
        <v>8</v>
      </c>
      <c r="D271" s="6" t="s">
        <v>8</v>
      </c>
      <c r="E271" s="6" t="s">
        <v>8</v>
      </c>
      <c r="F271" s="6" t="s">
        <v>8</v>
      </c>
      <c r="G271" s="6" t="s">
        <v>8</v>
      </c>
      <c r="H271" s="6" t="s">
        <v>9</v>
      </c>
      <c r="I271" s="6" t="s">
        <v>9</v>
      </c>
      <c r="J271" s="6" t="s">
        <v>9</v>
      </c>
      <c r="K271" s="6" t="s">
        <v>9</v>
      </c>
      <c r="L271" s="6" t="s">
        <v>9</v>
      </c>
      <c r="M271" s="29" t="s">
        <v>10</v>
      </c>
    </row>
    <row r="272" spans="1:13" hidden="1" x14ac:dyDescent="0.2">
      <c r="A272" s="94"/>
      <c r="B272" s="90">
        <v>1</v>
      </c>
      <c r="C272" s="91">
        <v>2</v>
      </c>
      <c r="D272" s="91">
        <v>3</v>
      </c>
      <c r="E272" s="91">
        <v>4</v>
      </c>
      <c r="F272" s="91">
        <v>5</v>
      </c>
      <c r="G272" s="91">
        <v>6</v>
      </c>
      <c r="H272" s="91">
        <v>7</v>
      </c>
      <c r="I272" s="91">
        <v>8</v>
      </c>
      <c r="J272" s="91">
        <v>9</v>
      </c>
      <c r="K272" s="91">
        <v>10</v>
      </c>
      <c r="L272" s="91">
        <v>11</v>
      </c>
      <c r="M272" s="92">
        <v>12</v>
      </c>
    </row>
    <row r="273" spans="1:13" hidden="1" x14ac:dyDescent="0.2">
      <c r="A273" s="95" t="s">
        <v>17</v>
      </c>
      <c r="B273" s="98">
        <v>0.27</v>
      </c>
      <c r="C273" s="79">
        <v>0.22</v>
      </c>
      <c r="D273" s="79">
        <v>0.21</v>
      </c>
      <c r="E273" s="79">
        <v>0.19</v>
      </c>
      <c r="F273" s="79">
        <v>0.17</v>
      </c>
      <c r="G273" s="79">
        <v>0.16</v>
      </c>
      <c r="H273" s="79">
        <v>0.39</v>
      </c>
      <c r="I273" s="79">
        <v>0.45</v>
      </c>
      <c r="J273" s="79">
        <v>0.45</v>
      </c>
      <c r="K273" s="79">
        <v>0.41</v>
      </c>
      <c r="L273" s="79">
        <v>0.39</v>
      </c>
      <c r="M273" s="100">
        <v>0.31</v>
      </c>
    </row>
    <row r="274" spans="1:13" hidden="1" x14ac:dyDescent="0.2">
      <c r="A274" s="95" t="s">
        <v>19</v>
      </c>
      <c r="B274" s="98">
        <v>0.35</v>
      </c>
      <c r="C274" s="79">
        <v>0.28000000000000003</v>
      </c>
      <c r="D274" s="79">
        <v>0.25</v>
      </c>
      <c r="E274" s="79">
        <v>0.23</v>
      </c>
      <c r="F274" s="79">
        <v>0.2</v>
      </c>
      <c r="G274" s="79">
        <v>0.18</v>
      </c>
      <c r="H274" s="79">
        <v>0.38</v>
      </c>
      <c r="I274" s="79">
        <v>0.48</v>
      </c>
      <c r="J274" s="79">
        <v>0.54</v>
      </c>
      <c r="K274" s="79">
        <v>0.52</v>
      </c>
      <c r="L274" s="79">
        <v>0.48</v>
      </c>
      <c r="M274" s="100">
        <v>0.41</v>
      </c>
    </row>
    <row r="275" spans="1:13" hidden="1" x14ac:dyDescent="0.2">
      <c r="A275" s="95" t="s">
        <v>21</v>
      </c>
      <c r="B275" s="98">
        <v>0.53</v>
      </c>
      <c r="C275" s="79">
        <v>0.41</v>
      </c>
      <c r="D275" s="79">
        <v>0.36</v>
      </c>
      <c r="E275" s="79">
        <v>0.31</v>
      </c>
      <c r="F275" s="79">
        <v>0.27</v>
      </c>
      <c r="G275" s="79">
        <v>0.24</v>
      </c>
      <c r="H275" s="79">
        <v>0.24</v>
      </c>
      <c r="I275" s="79">
        <v>0.33</v>
      </c>
      <c r="J275" s="79">
        <v>0.44</v>
      </c>
      <c r="K275" s="79">
        <v>0.52</v>
      </c>
      <c r="L275" s="79">
        <v>0.56999999999999995</v>
      </c>
      <c r="M275" s="100">
        <v>0.56999999999999995</v>
      </c>
    </row>
    <row r="276" spans="1:13" hidden="1" x14ac:dyDescent="0.2">
      <c r="A276" s="95" t="s">
        <v>23</v>
      </c>
      <c r="B276" s="98">
        <v>0.6</v>
      </c>
      <c r="C276" s="79">
        <v>0.6</v>
      </c>
      <c r="D276" s="79">
        <v>0.56999999999999995</v>
      </c>
      <c r="E276" s="79">
        <v>0.53</v>
      </c>
      <c r="F276" s="79">
        <v>0.45</v>
      </c>
      <c r="G276" s="79">
        <v>0.37</v>
      </c>
      <c r="H276" s="79">
        <v>0.24</v>
      </c>
      <c r="I276" s="79">
        <v>0.28000000000000003</v>
      </c>
      <c r="J276" s="79">
        <v>0.34</v>
      </c>
      <c r="K276" s="79">
        <v>0.42</v>
      </c>
      <c r="L276" s="79">
        <v>0.5</v>
      </c>
      <c r="M276" s="100">
        <v>0.57999999999999996</v>
      </c>
    </row>
    <row r="277" spans="1:13" hidden="1" x14ac:dyDescent="0.2">
      <c r="A277" s="95" t="s">
        <v>25</v>
      </c>
      <c r="B277" s="98">
        <v>0.4</v>
      </c>
      <c r="C277" s="79">
        <v>0.46</v>
      </c>
      <c r="D277" s="79">
        <v>0.5</v>
      </c>
      <c r="E277" s="79">
        <v>0.53</v>
      </c>
      <c r="F277" s="79">
        <v>0.51</v>
      </c>
      <c r="G277" s="79">
        <v>0.44</v>
      </c>
      <c r="H277" s="79">
        <v>0.28000000000000003</v>
      </c>
      <c r="I277" s="79">
        <v>0.25</v>
      </c>
      <c r="J277" s="79">
        <v>0.24</v>
      </c>
      <c r="K277" s="79">
        <v>0.22</v>
      </c>
      <c r="L277" s="79">
        <v>0.26</v>
      </c>
      <c r="M277" s="100">
        <v>0.33</v>
      </c>
    </row>
    <row r="278" spans="1:13" hidden="1" x14ac:dyDescent="0.2">
      <c r="A278" s="95" t="s">
        <v>27</v>
      </c>
      <c r="B278" s="98">
        <v>0.21</v>
      </c>
      <c r="C278" s="79">
        <v>0.23</v>
      </c>
      <c r="D278" s="79">
        <v>0.3</v>
      </c>
      <c r="E278" s="79">
        <v>0.4</v>
      </c>
      <c r="F278" s="79">
        <v>0.48</v>
      </c>
      <c r="G278" s="79">
        <v>0.51</v>
      </c>
      <c r="H278" s="79">
        <v>0.31</v>
      </c>
      <c r="I278" s="79">
        <v>0.28000000000000003</v>
      </c>
      <c r="J278" s="79">
        <v>0.25</v>
      </c>
      <c r="K278" s="79">
        <v>0.23</v>
      </c>
      <c r="L278" s="79">
        <v>0.22</v>
      </c>
      <c r="M278" s="100">
        <v>0.21</v>
      </c>
    </row>
    <row r="279" spans="1:13" hidden="1" x14ac:dyDescent="0.2">
      <c r="A279" s="95" t="s">
        <v>31</v>
      </c>
      <c r="B279" s="98">
        <v>0.17</v>
      </c>
      <c r="C279" s="79">
        <v>0.17</v>
      </c>
      <c r="D279" s="79">
        <v>0.19</v>
      </c>
      <c r="E279" s="79">
        <v>0.28999999999999998</v>
      </c>
      <c r="F279" s="79">
        <v>0.4</v>
      </c>
      <c r="G279" s="79">
        <v>0.46</v>
      </c>
      <c r="H279" s="79">
        <v>0.28000000000000003</v>
      </c>
      <c r="I279" s="79">
        <v>0.25</v>
      </c>
      <c r="J279" s="79">
        <v>0.23</v>
      </c>
      <c r="K279" s="79">
        <v>0.22</v>
      </c>
      <c r="L279" s="79">
        <v>0.2</v>
      </c>
      <c r="M279" s="100">
        <v>0.19</v>
      </c>
    </row>
    <row r="280" spans="1:13" ht="12.75" hidden="1" thickBot="1" x14ac:dyDescent="0.25">
      <c r="A280" s="104" t="s">
        <v>33</v>
      </c>
      <c r="B280" s="101">
        <v>0.78</v>
      </c>
      <c r="C280" s="60">
        <v>0.79</v>
      </c>
      <c r="D280" s="60">
        <v>0.8</v>
      </c>
      <c r="E280" s="60">
        <v>0.81</v>
      </c>
      <c r="F280" s="60">
        <v>0.82</v>
      </c>
      <c r="G280" s="60">
        <v>0.83</v>
      </c>
      <c r="H280" s="60">
        <v>0.47</v>
      </c>
      <c r="I280" s="60">
        <v>0.6</v>
      </c>
      <c r="J280" s="60">
        <v>0.67</v>
      </c>
      <c r="K280" s="60">
        <v>0.72</v>
      </c>
      <c r="L280" s="60">
        <v>0.74</v>
      </c>
      <c r="M280" s="103">
        <v>0.77</v>
      </c>
    </row>
    <row r="281" spans="1:13" ht="12.75" hidden="1" thickBot="1" x14ac:dyDescent="0.25"/>
    <row r="282" spans="1:13" ht="12.75" hidden="1" thickBot="1" x14ac:dyDescent="0.25">
      <c r="A282" s="177" t="s">
        <v>150</v>
      </c>
      <c r="B282" s="178"/>
      <c r="C282" s="178"/>
      <c r="D282" s="178"/>
      <c r="E282" s="178"/>
      <c r="F282" s="178"/>
      <c r="G282" s="178"/>
      <c r="H282" s="178"/>
      <c r="I282" s="178"/>
      <c r="J282" s="178"/>
      <c r="K282" s="178"/>
      <c r="L282" s="178"/>
      <c r="M282" s="179"/>
    </row>
    <row r="283" spans="1:13" hidden="1" x14ac:dyDescent="0.2">
      <c r="A283" s="93"/>
      <c r="B283" s="81" t="s">
        <v>8</v>
      </c>
      <c r="C283" s="6" t="s">
        <v>8</v>
      </c>
      <c r="D283" s="6" t="s">
        <v>8</v>
      </c>
      <c r="E283" s="6" t="s">
        <v>8</v>
      </c>
      <c r="F283" s="6" t="s">
        <v>8</v>
      </c>
      <c r="G283" s="6" t="s">
        <v>8</v>
      </c>
      <c r="H283" s="6" t="s">
        <v>9</v>
      </c>
      <c r="I283" s="6" t="s">
        <v>9</v>
      </c>
      <c r="J283" s="6" t="s">
        <v>9</v>
      </c>
      <c r="K283" s="6" t="s">
        <v>9</v>
      </c>
      <c r="L283" s="6" t="s">
        <v>9</v>
      </c>
      <c r="M283" s="29" t="s">
        <v>10</v>
      </c>
    </row>
    <row r="284" spans="1:13" hidden="1" x14ac:dyDescent="0.2">
      <c r="A284" s="94"/>
      <c r="B284" s="90">
        <v>1</v>
      </c>
      <c r="C284" s="91">
        <v>2</v>
      </c>
      <c r="D284" s="91">
        <v>3</v>
      </c>
      <c r="E284" s="91">
        <v>4</v>
      </c>
      <c r="F284" s="91">
        <v>5</v>
      </c>
      <c r="G284" s="91">
        <v>6</v>
      </c>
      <c r="H284" s="91">
        <v>7</v>
      </c>
      <c r="I284" s="91">
        <v>8</v>
      </c>
      <c r="J284" s="91">
        <v>9</v>
      </c>
      <c r="K284" s="91">
        <v>10</v>
      </c>
      <c r="L284" s="91">
        <v>11</v>
      </c>
      <c r="M284" s="92">
        <v>12</v>
      </c>
    </row>
    <row r="285" spans="1:13" hidden="1" x14ac:dyDescent="0.2">
      <c r="A285" s="95" t="s">
        <v>17</v>
      </c>
      <c r="B285" s="98">
        <v>0.19</v>
      </c>
      <c r="C285" s="79">
        <v>0.17</v>
      </c>
      <c r="D285" s="79">
        <v>0.16</v>
      </c>
      <c r="E285" s="79">
        <v>0.15</v>
      </c>
      <c r="F285" s="79">
        <v>0.13</v>
      </c>
      <c r="G285" s="79">
        <v>0.11</v>
      </c>
      <c r="H285" s="79">
        <v>0.6</v>
      </c>
      <c r="I285" s="79">
        <v>0.56999999999999995</v>
      </c>
      <c r="J285" s="79">
        <v>0.46</v>
      </c>
      <c r="K285" s="79">
        <v>0.3</v>
      </c>
      <c r="L285" s="79">
        <v>0.24</v>
      </c>
      <c r="M285" s="100">
        <v>0.2</v>
      </c>
    </row>
    <row r="286" spans="1:13" hidden="1" x14ac:dyDescent="0.2">
      <c r="A286" s="95" t="s">
        <v>19</v>
      </c>
      <c r="B286" s="98">
        <v>0.22</v>
      </c>
      <c r="C286" s="79">
        <v>0.2</v>
      </c>
      <c r="D286" s="79">
        <v>0.18</v>
      </c>
      <c r="E286" s="79">
        <v>0.16</v>
      </c>
      <c r="F286" s="79">
        <v>0.14000000000000001</v>
      </c>
      <c r="G286" s="79">
        <v>0.12</v>
      </c>
      <c r="H286" s="79">
        <v>0.57999999999999996</v>
      </c>
      <c r="I286" s="79">
        <v>0.65</v>
      </c>
      <c r="J286" s="79">
        <v>0.63</v>
      </c>
      <c r="K286" s="79">
        <v>0.52</v>
      </c>
      <c r="L286" s="79">
        <v>0.35</v>
      </c>
      <c r="M286" s="100">
        <v>0.24</v>
      </c>
    </row>
    <row r="287" spans="1:13" hidden="1" x14ac:dyDescent="0.2">
      <c r="A287" s="95" t="s">
        <v>21</v>
      </c>
      <c r="B287" s="98">
        <v>0.44</v>
      </c>
      <c r="C287" s="79">
        <v>0.28999999999999998</v>
      </c>
      <c r="D287" s="79">
        <v>0.24</v>
      </c>
      <c r="E287" s="79">
        <v>0.21</v>
      </c>
      <c r="F287" s="79">
        <v>0.18</v>
      </c>
      <c r="G287" s="79">
        <v>0.15</v>
      </c>
      <c r="H287" s="79">
        <v>0.28000000000000003</v>
      </c>
      <c r="I287" s="79">
        <v>0.47</v>
      </c>
      <c r="J287" s="79">
        <v>0.61</v>
      </c>
      <c r="K287" s="79">
        <v>0.67</v>
      </c>
      <c r="L287" s="79">
        <v>0.65</v>
      </c>
      <c r="M287" s="100">
        <v>0.56999999999999995</v>
      </c>
    </row>
    <row r="288" spans="1:13" hidden="1" x14ac:dyDescent="0.2">
      <c r="A288" s="95" t="s">
        <v>23</v>
      </c>
      <c r="B288" s="98">
        <v>0.71</v>
      </c>
      <c r="C288" s="79">
        <v>0.69</v>
      </c>
      <c r="D288" s="79">
        <v>0.59</v>
      </c>
      <c r="E288" s="79">
        <v>0.45</v>
      </c>
      <c r="F288" s="79">
        <v>0.26</v>
      </c>
      <c r="G288" s="79">
        <v>0.22</v>
      </c>
      <c r="H288" s="79">
        <v>0.04</v>
      </c>
      <c r="I288" s="79">
        <v>0.22</v>
      </c>
      <c r="J288" s="79">
        <v>0.38</v>
      </c>
      <c r="K288" s="79">
        <v>0.52</v>
      </c>
      <c r="L288" s="79">
        <v>0.63</v>
      </c>
      <c r="M288" s="100">
        <v>0.7</v>
      </c>
    </row>
    <row r="289" spans="1:13" hidden="1" x14ac:dyDescent="0.2">
      <c r="A289" s="95" t="s">
        <v>25</v>
      </c>
      <c r="B289" s="98">
        <v>0.55000000000000004</v>
      </c>
      <c r="C289" s="79">
        <v>0.66</v>
      </c>
      <c r="D289" s="79">
        <v>0.7</v>
      </c>
      <c r="E289" s="79">
        <v>0.64</v>
      </c>
      <c r="F289" s="79">
        <v>0.5</v>
      </c>
      <c r="G289" s="79">
        <v>0.26</v>
      </c>
      <c r="H289" s="79">
        <v>0.08</v>
      </c>
      <c r="I289" s="79">
        <v>0.08</v>
      </c>
      <c r="J289" s="79">
        <v>0.08</v>
      </c>
      <c r="K289" s="79">
        <v>0.1</v>
      </c>
      <c r="L289" s="79">
        <v>0.24</v>
      </c>
      <c r="M289" s="100">
        <v>0.4</v>
      </c>
    </row>
    <row r="290" spans="1:13" hidden="1" x14ac:dyDescent="0.2">
      <c r="A290" s="95" t="s">
        <v>27</v>
      </c>
      <c r="B290" s="98">
        <v>0.18</v>
      </c>
      <c r="C290" s="79">
        <v>0.36</v>
      </c>
      <c r="D290" s="79">
        <v>0.54</v>
      </c>
      <c r="E290" s="79">
        <v>0.66</v>
      </c>
      <c r="F290" s="79">
        <v>0.68</v>
      </c>
      <c r="G290" s="79">
        <v>0.6</v>
      </c>
      <c r="H290" s="79">
        <v>0.08</v>
      </c>
      <c r="I290" s="79">
        <v>0.08</v>
      </c>
      <c r="J290" s="79">
        <v>0.09</v>
      </c>
      <c r="K290" s="79">
        <v>0.09</v>
      </c>
      <c r="L290" s="79">
        <v>0.09</v>
      </c>
      <c r="M290" s="100">
        <v>0.09</v>
      </c>
    </row>
    <row r="291" spans="1:13" hidden="1" x14ac:dyDescent="0.2">
      <c r="A291" s="95" t="s">
        <v>31</v>
      </c>
      <c r="B291" s="98">
        <v>0.1</v>
      </c>
      <c r="C291" s="79">
        <v>0.16</v>
      </c>
      <c r="D291" s="79">
        <v>0.34</v>
      </c>
      <c r="E291" s="79">
        <v>0.52</v>
      </c>
      <c r="F291" s="79">
        <v>0.65</v>
      </c>
      <c r="G291" s="79">
        <v>0.64</v>
      </c>
      <c r="H291" s="79">
        <v>0.08</v>
      </c>
      <c r="I291" s="79">
        <v>0.09</v>
      </c>
      <c r="J291" s="79">
        <v>0.09</v>
      </c>
      <c r="K291" s="79">
        <v>0.1</v>
      </c>
      <c r="L291" s="79">
        <v>0.1</v>
      </c>
      <c r="M291" s="100">
        <v>0.1</v>
      </c>
    </row>
    <row r="292" spans="1:13" ht="12.75" hidden="1" thickBot="1" x14ac:dyDescent="0.25">
      <c r="A292" s="104" t="s">
        <v>33</v>
      </c>
      <c r="B292" s="101">
        <v>0.83</v>
      </c>
      <c r="C292" s="60">
        <v>0.85</v>
      </c>
      <c r="D292" s="60">
        <v>0.87</v>
      </c>
      <c r="E292" s="60">
        <v>0.88</v>
      </c>
      <c r="F292" s="60">
        <v>0.9</v>
      </c>
      <c r="G292" s="60">
        <v>0.91</v>
      </c>
      <c r="H292" s="60">
        <v>0.31</v>
      </c>
      <c r="I292" s="60">
        <v>0.67</v>
      </c>
      <c r="J292" s="60">
        <v>0.72</v>
      </c>
      <c r="K292" s="60">
        <v>0.76</v>
      </c>
      <c r="L292" s="60">
        <v>0.79</v>
      </c>
      <c r="M292" s="103">
        <v>0.81</v>
      </c>
    </row>
    <row r="293" spans="1:13" ht="12.75" hidden="1" thickBot="1" x14ac:dyDescent="0.25">
      <c r="A293" s="138"/>
      <c r="B293" s="138"/>
      <c r="C293" s="138"/>
      <c r="D293" s="138"/>
      <c r="E293" s="138"/>
      <c r="F293" s="138"/>
      <c r="G293" s="138"/>
      <c r="H293" s="138"/>
      <c r="I293" s="138"/>
      <c r="J293" s="138"/>
      <c r="K293" s="138"/>
      <c r="L293" s="138"/>
      <c r="M293" s="138"/>
    </row>
    <row r="294" spans="1:13" ht="12.75" hidden="1" thickBot="1" x14ac:dyDescent="0.25">
      <c r="A294" s="177" t="s">
        <v>151</v>
      </c>
      <c r="B294" s="178"/>
      <c r="C294" s="178"/>
      <c r="D294" s="178"/>
      <c r="E294" s="178"/>
      <c r="F294" s="178"/>
      <c r="G294" s="178"/>
      <c r="H294" s="178"/>
      <c r="I294" s="178"/>
      <c r="J294" s="178"/>
      <c r="K294" s="178"/>
      <c r="L294" s="178"/>
      <c r="M294" s="179"/>
    </row>
    <row r="295" spans="1:13" hidden="1" x14ac:dyDescent="0.2">
      <c r="A295" s="93"/>
      <c r="B295" s="81" t="s">
        <v>8</v>
      </c>
      <c r="C295" s="6" t="s">
        <v>8</v>
      </c>
      <c r="D295" s="6" t="s">
        <v>8</v>
      </c>
      <c r="E295" s="6" t="s">
        <v>8</v>
      </c>
      <c r="F295" s="6" t="s">
        <v>8</v>
      </c>
      <c r="G295" s="6" t="s">
        <v>8</v>
      </c>
      <c r="H295" s="6" t="s">
        <v>9</v>
      </c>
      <c r="I295" s="6" t="s">
        <v>9</v>
      </c>
      <c r="J295" s="6" t="s">
        <v>9</v>
      </c>
      <c r="K295" s="6" t="s">
        <v>9</v>
      </c>
      <c r="L295" s="6" t="s">
        <v>9</v>
      </c>
      <c r="M295" s="29" t="s">
        <v>10</v>
      </c>
    </row>
    <row r="296" spans="1:13" hidden="1" x14ac:dyDescent="0.2">
      <c r="A296" s="94"/>
      <c r="B296" s="90">
        <v>1</v>
      </c>
      <c r="C296" s="91">
        <v>2</v>
      </c>
      <c r="D296" s="91">
        <v>3</v>
      </c>
      <c r="E296" s="91">
        <v>4</v>
      </c>
      <c r="F296" s="91">
        <v>5</v>
      </c>
      <c r="G296" s="91">
        <v>6</v>
      </c>
      <c r="H296" s="91">
        <v>7</v>
      </c>
      <c r="I296" s="91">
        <v>8</v>
      </c>
      <c r="J296" s="91">
        <v>9</v>
      </c>
      <c r="K296" s="91">
        <v>10</v>
      </c>
      <c r="L296" s="91">
        <v>11</v>
      </c>
      <c r="M296" s="92">
        <v>12</v>
      </c>
    </row>
    <row r="297" spans="1:13" hidden="1" x14ac:dyDescent="0.2">
      <c r="A297" s="95" t="s">
        <v>17</v>
      </c>
      <c r="B297" s="98">
        <v>0.24</v>
      </c>
      <c r="C297" s="79">
        <v>0.22</v>
      </c>
      <c r="D297" s="79">
        <v>0.21</v>
      </c>
      <c r="E297" s="79">
        <v>0.19</v>
      </c>
      <c r="F297" s="79">
        <v>0.17</v>
      </c>
      <c r="G297" s="79">
        <v>0.16</v>
      </c>
      <c r="H297" s="79">
        <v>0.31</v>
      </c>
      <c r="I297" s="79">
        <v>0.38</v>
      </c>
      <c r="J297" s="79">
        <v>0.39</v>
      </c>
      <c r="K297" s="79">
        <v>0.36</v>
      </c>
      <c r="L297" s="79">
        <v>0.34</v>
      </c>
      <c r="M297" s="100">
        <v>0.27</v>
      </c>
    </row>
    <row r="298" spans="1:13" hidden="1" x14ac:dyDescent="0.2">
      <c r="A298" s="95" t="s">
        <v>19</v>
      </c>
      <c r="B298" s="98">
        <v>0.31</v>
      </c>
      <c r="C298" s="79">
        <v>0.28000000000000003</v>
      </c>
      <c r="D298" s="79">
        <v>0.25</v>
      </c>
      <c r="E298" s="79">
        <v>0.23</v>
      </c>
      <c r="F298" s="79">
        <v>0.2</v>
      </c>
      <c r="G298" s="79">
        <v>0.18</v>
      </c>
      <c r="H298" s="79">
        <v>0.28999999999999998</v>
      </c>
      <c r="I298" s="79">
        <v>0.4</v>
      </c>
      <c r="J298" s="79">
        <v>0.46</v>
      </c>
      <c r="K298" s="79">
        <v>0.46</v>
      </c>
      <c r="L298" s="79">
        <v>0.42</v>
      </c>
      <c r="M298" s="100">
        <v>0.36</v>
      </c>
    </row>
    <row r="299" spans="1:13" hidden="1" x14ac:dyDescent="0.2">
      <c r="A299" s="95" t="s">
        <v>21</v>
      </c>
      <c r="B299" s="98">
        <v>0.47</v>
      </c>
      <c r="C299" s="79">
        <v>0.41</v>
      </c>
      <c r="D299" s="79">
        <v>0.36</v>
      </c>
      <c r="E299" s="79">
        <v>0.31</v>
      </c>
      <c r="F299" s="79">
        <v>0.27</v>
      </c>
      <c r="G299" s="79">
        <v>0.24</v>
      </c>
      <c r="H299" s="79">
        <v>0.12</v>
      </c>
      <c r="I299" s="79">
        <v>0.23</v>
      </c>
      <c r="J299" s="79">
        <v>0.35</v>
      </c>
      <c r="K299" s="79">
        <v>0.44</v>
      </c>
      <c r="L299" s="79">
        <v>0.49</v>
      </c>
      <c r="M299" s="100">
        <v>0.51</v>
      </c>
    </row>
    <row r="300" spans="1:13" hidden="1" x14ac:dyDescent="0.2">
      <c r="A300" s="95" t="s">
        <v>23</v>
      </c>
      <c r="B300" s="98">
        <v>0.54</v>
      </c>
      <c r="C300" s="79">
        <v>0.57999999999999996</v>
      </c>
      <c r="D300" s="79">
        <v>0.56999999999999995</v>
      </c>
      <c r="E300" s="79">
        <v>0.53</v>
      </c>
      <c r="F300" s="79">
        <v>0.45</v>
      </c>
      <c r="G300" s="79">
        <v>0.37</v>
      </c>
      <c r="H300" s="79">
        <v>0.06</v>
      </c>
      <c r="I300" s="79">
        <v>0.12</v>
      </c>
      <c r="J300" s="79">
        <v>0.2</v>
      </c>
      <c r="K300" s="79">
        <v>0.3</v>
      </c>
      <c r="L300" s="79">
        <v>0.39</v>
      </c>
      <c r="M300" s="100">
        <v>0.48</v>
      </c>
    </row>
    <row r="301" spans="1:13" hidden="1" x14ac:dyDescent="0.2">
      <c r="A301" s="95" t="s">
        <v>25</v>
      </c>
      <c r="B301" s="98">
        <v>0.31</v>
      </c>
      <c r="C301" s="79">
        <v>0.42</v>
      </c>
      <c r="D301" s="79">
        <v>0.5</v>
      </c>
      <c r="E301" s="79">
        <v>0.53</v>
      </c>
      <c r="F301" s="79">
        <v>0.51</v>
      </c>
      <c r="G301" s="79">
        <v>0.44</v>
      </c>
      <c r="H301" s="79">
        <v>0.09</v>
      </c>
      <c r="I301" s="79">
        <v>0.08</v>
      </c>
      <c r="J301" s="79">
        <v>0.09</v>
      </c>
      <c r="K301" s="79">
        <v>0.09</v>
      </c>
      <c r="L301" s="79">
        <v>0.14000000000000001</v>
      </c>
      <c r="M301" s="100">
        <v>0.22</v>
      </c>
    </row>
    <row r="302" spans="1:13" hidden="1" x14ac:dyDescent="0.2">
      <c r="A302" s="95" t="s">
        <v>27</v>
      </c>
      <c r="B302" s="98">
        <v>0.12</v>
      </c>
      <c r="C302" s="79">
        <v>0.19</v>
      </c>
      <c r="D302" s="79">
        <v>0.3</v>
      </c>
      <c r="E302" s="79">
        <v>0.4</v>
      </c>
      <c r="F302" s="79">
        <v>0.48</v>
      </c>
      <c r="G302" s="79">
        <v>0.51</v>
      </c>
      <c r="H302" s="79">
        <v>0.09</v>
      </c>
      <c r="I302" s="79">
        <v>0.09</v>
      </c>
      <c r="J302" s="79">
        <v>0.09</v>
      </c>
      <c r="K302" s="79">
        <v>0.09</v>
      </c>
      <c r="L302" s="79">
        <v>0.09</v>
      </c>
      <c r="M302" s="100">
        <v>0.1</v>
      </c>
    </row>
    <row r="303" spans="1:13" hidden="1" x14ac:dyDescent="0.2">
      <c r="A303" s="95" t="s">
        <v>31</v>
      </c>
      <c r="B303" s="98">
        <v>0.09</v>
      </c>
      <c r="C303" s="79">
        <v>0.11</v>
      </c>
      <c r="D303" s="79">
        <v>0.19</v>
      </c>
      <c r="E303" s="79">
        <v>0.28999999999999998</v>
      </c>
      <c r="F303" s="79">
        <v>0.4</v>
      </c>
      <c r="G303" s="79">
        <v>0.46</v>
      </c>
      <c r="H303" s="79">
        <v>0.09</v>
      </c>
      <c r="I303" s="79">
        <v>0.09</v>
      </c>
      <c r="J303" s="79">
        <v>0.09</v>
      </c>
      <c r="K303" s="79">
        <v>0.09</v>
      </c>
      <c r="L303" s="79">
        <v>0.09</v>
      </c>
      <c r="M303" s="100">
        <v>0.09</v>
      </c>
    </row>
    <row r="304" spans="1:13" ht="12.75" hidden="1" thickBot="1" x14ac:dyDescent="0.25">
      <c r="A304" s="104" t="s">
        <v>33</v>
      </c>
      <c r="B304" s="101">
        <v>0.7</v>
      </c>
      <c r="C304" s="60">
        <v>0.74</v>
      </c>
      <c r="D304" s="60">
        <v>0.76</v>
      </c>
      <c r="E304" s="60">
        <v>0.79</v>
      </c>
      <c r="F304" s="60">
        <v>0.8</v>
      </c>
      <c r="G304" s="60">
        <v>0.6</v>
      </c>
      <c r="H304" s="60">
        <v>0.33</v>
      </c>
      <c r="I304" s="60">
        <v>0.44</v>
      </c>
      <c r="J304" s="60">
        <v>0.51</v>
      </c>
      <c r="K304" s="60">
        <v>0.56999999999999995</v>
      </c>
      <c r="L304" s="60">
        <v>0.62</v>
      </c>
      <c r="M304" s="103">
        <v>0.66</v>
      </c>
    </row>
  </sheetData>
  <sheetProtection selectLockedCells="1"/>
  <mergeCells count="153">
    <mergeCell ref="B116:C116"/>
    <mergeCell ref="D116:E116"/>
    <mergeCell ref="B117:C117"/>
    <mergeCell ref="E117:G117"/>
    <mergeCell ref="B113:H113"/>
    <mergeCell ref="B118:G118"/>
    <mergeCell ref="B120:H120"/>
    <mergeCell ref="E121:E122"/>
    <mergeCell ref="C121:C122"/>
    <mergeCell ref="B121:B122"/>
    <mergeCell ref="F121:F122"/>
    <mergeCell ref="G121:G122"/>
    <mergeCell ref="H121:H122"/>
    <mergeCell ref="F103:F104"/>
    <mergeCell ref="E103:E104"/>
    <mergeCell ref="B111:G111"/>
    <mergeCell ref="D46:E46"/>
    <mergeCell ref="B114:C114"/>
    <mergeCell ref="E114:G114"/>
    <mergeCell ref="B115:C115"/>
    <mergeCell ref="D115:E115"/>
    <mergeCell ref="A140:E140"/>
    <mergeCell ref="G140:K140"/>
    <mergeCell ref="A75:H75"/>
    <mergeCell ref="D76:D77"/>
    <mergeCell ref="E76:E77"/>
    <mergeCell ref="F76:F77"/>
    <mergeCell ref="G76:G77"/>
    <mergeCell ref="H76:H77"/>
    <mergeCell ref="A80:B80"/>
    <mergeCell ref="A79:B79"/>
    <mergeCell ref="A78:B78"/>
    <mergeCell ref="B57:B58"/>
    <mergeCell ref="D57:D58"/>
    <mergeCell ref="E57:E58"/>
    <mergeCell ref="F57:F58"/>
    <mergeCell ref="E65:G65"/>
    <mergeCell ref="M140:Q140"/>
    <mergeCell ref="A13:H13"/>
    <mergeCell ref="E85:G85"/>
    <mergeCell ref="E86:G86"/>
    <mergeCell ref="E87:G87"/>
    <mergeCell ref="E88:G88"/>
    <mergeCell ref="J13:Q13"/>
    <mergeCell ref="C91:C92"/>
    <mergeCell ref="E91:E92"/>
    <mergeCell ref="B91:B92"/>
    <mergeCell ref="F91:F92"/>
    <mergeCell ref="G91:G92"/>
    <mergeCell ref="H91:H92"/>
    <mergeCell ref="B100:G100"/>
    <mergeCell ref="B90:H90"/>
    <mergeCell ref="C97:G97"/>
    <mergeCell ref="B102:H102"/>
    <mergeCell ref="B110:C110"/>
    <mergeCell ref="G103:G104"/>
    <mergeCell ref="H103:H104"/>
    <mergeCell ref="A81:G81"/>
    <mergeCell ref="A76:C77"/>
    <mergeCell ref="D80:F80"/>
    <mergeCell ref="A83:G83"/>
    <mergeCell ref="A68:H68"/>
    <mergeCell ref="A53:B53"/>
    <mergeCell ref="C51:D51"/>
    <mergeCell ref="C52:D52"/>
    <mergeCell ref="A49:H49"/>
    <mergeCell ref="E53:G53"/>
    <mergeCell ref="A56:H56"/>
    <mergeCell ref="A50:B50"/>
    <mergeCell ref="A52:B52"/>
    <mergeCell ref="A51:B51"/>
    <mergeCell ref="A27:A28"/>
    <mergeCell ref="D27:D28"/>
    <mergeCell ref="G27:G28"/>
    <mergeCell ref="H27:H28"/>
    <mergeCell ref="F27:F28"/>
    <mergeCell ref="E27:E28"/>
    <mergeCell ref="A24:G24"/>
    <mergeCell ref="A66:G66"/>
    <mergeCell ref="A54:G54"/>
    <mergeCell ref="E50:G50"/>
    <mergeCell ref="I9:J10"/>
    <mergeCell ref="A12:B12"/>
    <mergeCell ref="A11:B11"/>
    <mergeCell ref="A10:B10"/>
    <mergeCell ref="A9:B9"/>
    <mergeCell ref="B3:F3"/>
    <mergeCell ref="B2:F2"/>
    <mergeCell ref="D39:D40"/>
    <mergeCell ref="E39:E40"/>
    <mergeCell ref="G39:G40"/>
    <mergeCell ref="H39:H40"/>
    <mergeCell ref="F39:F40"/>
    <mergeCell ref="C39:C40"/>
    <mergeCell ref="A39:B40"/>
    <mergeCell ref="A26:H26"/>
    <mergeCell ref="A36:G36"/>
    <mergeCell ref="A38:H38"/>
    <mergeCell ref="G15:G16"/>
    <mergeCell ref="F15:F16"/>
    <mergeCell ref="E15:E16"/>
    <mergeCell ref="D15:D16"/>
    <mergeCell ref="B15:B16"/>
    <mergeCell ref="H15:H16"/>
    <mergeCell ref="B27:B28"/>
    <mergeCell ref="A1:H1"/>
    <mergeCell ref="A282:M282"/>
    <mergeCell ref="A294:M294"/>
    <mergeCell ref="A206:M206"/>
    <mergeCell ref="A6:A7"/>
    <mergeCell ref="D7:E7"/>
    <mergeCell ref="A14:H14"/>
    <mergeCell ref="D6:F6"/>
    <mergeCell ref="A158:N158"/>
    <mergeCell ref="A219:K219"/>
    <mergeCell ref="A174:N174"/>
    <mergeCell ref="A234:M234"/>
    <mergeCell ref="A246:M246"/>
    <mergeCell ref="A190:N190"/>
    <mergeCell ref="A258:M258"/>
    <mergeCell ref="A270:M270"/>
    <mergeCell ref="I3:J3"/>
    <mergeCell ref="C69:C70"/>
    <mergeCell ref="D69:D70"/>
    <mergeCell ref="E69:E70"/>
    <mergeCell ref="F69:F70"/>
    <mergeCell ref="G69:G70"/>
    <mergeCell ref="H69:H70"/>
    <mergeCell ref="A71:B71"/>
    <mergeCell ref="B137:G137"/>
    <mergeCell ref="A73:G73"/>
    <mergeCell ref="B130:G130"/>
    <mergeCell ref="G6:H6"/>
    <mergeCell ref="G57:G58"/>
    <mergeCell ref="H57:H58"/>
    <mergeCell ref="E129:G129"/>
    <mergeCell ref="B132:H132"/>
    <mergeCell ref="D133:D134"/>
    <mergeCell ref="E133:E134"/>
    <mergeCell ref="F133:F134"/>
    <mergeCell ref="G133:G134"/>
    <mergeCell ref="H133:H134"/>
    <mergeCell ref="B133:C134"/>
    <mergeCell ref="D9:F10"/>
    <mergeCell ref="G9:H10"/>
    <mergeCell ref="A47:G47"/>
    <mergeCell ref="A46:B46"/>
    <mergeCell ref="A45:B45"/>
    <mergeCell ref="A44:B44"/>
    <mergeCell ref="A43:B43"/>
    <mergeCell ref="A42:B42"/>
    <mergeCell ref="A41:B41"/>
    <mergeCell ref="D41:F41"/>
  </mergeCells>
  <phoneticPr fontId="0" type="noConversion"/>
  <printOptions horizontalCentered="1"/>
  <pageMargins left="0.5" right="0.5" top="0.5" bottom="0.5" header="0" footer="0"/>
  <pageSetup paperSize="149" orientation="portrait" horizontalDpi="4294967292" r:id="rId1"/>
  <headerFooter alignWithMargins="0"/>
  <rowBreaks count="1" manualBreakCount="1">
    <brk id="89"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
  <sheetViews>
    <sheetView showGridLines="0" showRowColHeaders="0" showZeros="0" showOutlineSymbols="0" topLeftCell="B1" zoomScaleSheetLayoutView="4"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C19"/>
  <sheetViews>
    <sheetView topLeftCell="A16" workbookViewId="0">
      <selection activeCell="B29" sqref="B29"/>
    </sheetView>
  </sheetViews>
  <sheetFormatPr defaultRowHeight="14.25" x14ac:dyDescent="0.2"/>
  <cols>
    <col min="1" max="1" width="2.42578125" style="164" customWidth="1"/>
    <col min="2" max="2" width="88.28515625" style="164" bestFit="1" customWidth="1"/>
    <col min="3" max="16384" width="9.140625" style="164"/>
  </cols>
  <sheetData>
    <row r="1" spans="1:3" ht="15" x14ac:dyDescent="0.2">
      <c r="A1" s="246" t="s">
        <v>158</v>
      </c>
      <c r="B1" s="246"/>
      <c r="C1" s="163"/>
    </row>
    <row r="2" spans="1:3" ht="15" x14ac:dyDescent="0.2">
      <c r="A2" s="166"/>
      <c r="B2" s="166"/>
      <c r="C2" s="166"/>
    </row>
    <row r="3" spans="1:3" x14ac:dyDescent="0.2">
      <c r="A3" s="165">
        <v>1</v>
      </c>
      <c r="B3" s="164" t="s">
        <v>159</v>
      </c>
    </row>
    <row r="4" spans="1:3" x14ac:dyDescent="0.2">
      <c r="A4" s="165">
        <f>A3+1</f>
        <v>2</v>
      </c>
      <c r="B4" s="164" t="s">
        <v>160</v>
      </c>
    </row>
    <row r="5" spans="1:3" x14ac:dyDescent="0.2">
      <c r="A5" s="165">
        <f>A4+1</f>
        <v>3</v>
      </c>
      <c r="B5" s="164" t="s">
        <v>161</v>
      </c>
    </row>
    <row r="6" spans="1:3" ht="14.25" customHeight="1" x14ac:dyDescent="0.2">
      <c r="A6" s="165">
        <f>A5+1</f>
        <v>4</v>
      </c>
      <c r="B6" s="245" t="s">
        <v>162</v>
      </c>
    </row>
    <row r="7" spans="1:3" x14ac:dyDescent="0.2">
      <c r="B7" s="245"/>
    </row>
    <row r="8" spans="1:3" x14ac:dyDescent="0.2">
      <c r="B8" s="245"/>
    </row>
    <row r="9" spans="1:3" x14ac:dyDescent="0.2">
      <c r="A9" s="165">
        <f>A6+1</f>
        <v>5</v>
      </c>
      <c r="B9" s="245" t="s">
        <v>163</v>
      </c>
    </row>
    <row r="10" spans="1:3" x14ac:dyDescent="0.2">
      <c r="B10" s="245"/>
    </row>
    <row r="11" spans="1:3" x14ac:dyDescent="0.2">
      <c r="A11" s="165">
        <f>A9+1</f>
        <v>6</v>
      </c>
      <c r="B11" s="164" t="s">
        <v>164</v>
      </c>
    </row>
    <row r="12" spans="1:3" x14ac:dyDescent="0.2">
      <c r="A12" s="165">
        <f>A11+1</f>
        <v>7</v>
      </c>
      <c r="B12" s="245" t="s">
        <v>165</v>
      </c>
    </row>
    <row r="13" spans="1:3" x14ac:dyDescent="0.2">
      <c r="B13" s="245"/>
    </row>
    <row r="14" spans="1:3" x14ac:dyDescent="0.2">
      <c r="A14" s="165">
        <f>A12+1</f>
        <v>8</v>
      </c>
      <c r="B14" s="245" t="s">
        <v>166</v>
      </c>
    </row>
    <row r="15" spans="1:3" x14ac:dyDescent="0.2">
      <c r="B15" s="245"/>
    </row>
    <row r="16" spans="1:3" ht="14.25" customHeight="1" x14ac:dyDescent="0.2">
      <c r="A16" s="165">
        <f>A14+1</f>
        <v>9</v>
      </c>
      <c r="B16" s="245" t="s">
        <v>168</v>
      </c>
    </row>
    <row r="17" spans="2:2" x14ac:dyDescent="0.2">
      <c r="B17" s="245"/>
    </row>
    <row r="18" spans="2:2" x14ac:dyDescent="0.2">
      <c r="B18" s="245"/>
    </row>
    <row r="19" spans="2:2" x14ac:dyDescent="0.2">
      <c r="B19" s="245"/>
    </row>
  </sheetData>
  <sheetProtection password="F89C" sheet="1" objects="1" scenarios="1" selectLockedCells="1"/>
  <mergeCells count="6">
    <mergeCell ref="B16:B19"/>
    <mergeCell ref="A1:B1"/>
    <mergeCell ref="B6:B8"/>
    <mergeCell ref="B9:B10"/>
    <mergeCell ref="B12:B13"/>
    <mergeCell ref="B14:B1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Block Load</vt:lpstr>
      <vt:lpstr>Instructions</vt:lpstr>
      <vt:lpstr>'Block Load'!Area_de_impressao</vt:lpstr>
      <vt:lpstr>Instructions!Area_de_impressao</vt:lpstr>
      <vt:lpstr>'Block Load'!Print_Area_MI</vt:lpstr>
      <vt:lpstr>'Block Load'!Titulos_de_impressao</vt:lpstr>
    </vt:vector>
  </TitlesOfParts>
  <Company>Facility Solutions,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HVAC Quick Load Program</dc:title>
  <dc:creator>Jeff</dc:creator>
  <cp:keywords>HVAC Quick Load Program</cp:keywords>
  <cp:lastModifiedBy>Philco</cp:lastModifiedBy>
  <cp:lastPrinted>2012-09-13T20:28:30Z</cp:lastPrinted>
  <dcterms:created xsi:type="dcterms:W3CDTF">1998-10-08T18:18:28Z</dcterms:created>
  <dcterms:modified xsi:type="dcterms:W3CDTF">2014-09-25T19:37:31Z</dcterms:modified>
</cp:coreProperties>
</file>