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rick\Desktop\"/>
    </mc:Choice>
  </mc:AlternateContent>
  <bookViews>
    <workbookView xWindow="-105" yWindow="-105" windowWidth="23250" windowHeight="12720" tabRatio="759" firstSheet="1" activeTab="13"/>
  </bookViews>
  <sheets>
    <sheet name="REKAP IKA-IKU" sheetId="17" r:id="rId1"/>
    <sheet name="ITH" sheetId="19" r:id="rId2"/>
    <sheet name="IKA 2019" sheetId="23" r:id="rId3"/>
    <sheet name="IKA 2012" sheetId="16" r:id="rId4"/>
    <sheet name="IKU 2012" sheetId="15" r:id="rId5"/>
    <sheet name="IKA 2013" sheetId="14" r:id="rId6"/>
    <sheet name="IKU 2013" sheetId="13" r:id="rId7"/>
    <sheet name="IKA 2014" sheetId="7" r:id="rId8"/>
    <sheet name="IKU 2014" sheetId="8" r:id="rId9"/>
    <sheet name="IKA 2015" sheetId="4" r:id="rId10"/>
    <sheet name="IKU 2015" sheetId="6" r:id="rId11"/>
    <sheet name="IKA 2016" sheetId="10" r:id="rId12"/>
    <sheet name="IKU 2016" sheetId="9" r:id="rId13"/>
    <sheet name="IKA 2017" sheetId="12" r:id="rId14"/>
    <sheet name="IKU 2018" sheetId="11" r:id="rId15"/>
    <sheet name="IKA 2018" sheetId="21" r:id="rId16"/>
    <sheet name="IKU 2019" sheetId="22" r:id="rId17"/>
    <sheet name="IKA 2019 ." sheetId="26" r:id="rId18"/>
    <sheet name="IKU 2020" sheetId="28" r:id="rId19"/>
    <sheet name="IKA 2020" sheetId="27" r:id="rId20"/>
    <sheet name="IKU 2021" sheetId="31" r:id="rId21"/>
    <sheet name="IKA 2021" sheetId="30" r:id="rId22"/>
    <sheet name="kotretan IPU" sheetId="1" r:id="rId23"/>
    <sheet name="Kotretan IPA" sheetId="2" r:id="rId24"/>
  </sheets>
  <definedNames>
    <definedName name="_xlnm.Print_Area" localSheetId="4">'IKU 2012'!$A$1:$L$16</definedName>
    <definedName name="_xlnm.Print_Area" localSheetId="6">'IKU 2013'!$A$1:$L$13</definedName>
    <definedName name="_xlnm.Print_Area" localSheetId="8">'IKU 2014'!$A$1:$L$12</definedName>
    <definedName name="_xlnm.Print_Area" localSheetId="10">'IKU 2015'!$A$1:$L$12</definedName>
    <definedName name="_xlnm.Print_Area" localSheetId="14">'IKU 2018'!$A$1:$P$16</definedName>
    <definedName name="_xlnm.Print_Area" localSheetId="16">'IKU 2019'!$A$3:$Q$18</definedName>
    <definedName name="_xlnm.Print_Area" localSheetId="18">'IKU 2020'!$A$3:$Q$18</definedName>
    <definedName name="_xlnm.Print_Area" localSheetId="20">'IKU 2021'!$B$3:$O$18</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8" i="12" l="1"/>
  <c r="T8" i="12" l="1"/>
  <c r="Y3" i="12"/>
  <c r="AW60" i="30"/>
  <c r="AX60" i="30" l="1"/>
  <c r="J5" i="28" l="1"/>
  <c r="K5" i="31"/>
  <c r="M5" i="31" s="1"/>
  <c r="L5" i="31"/>
  <c r="N5" i="31" l="1"/>
  <c r="N90" i="30"/>
  <c r="N89" i="30"/>
  <c r="N88" i="30"/>
  <c r="AZ60" i="30"/>
  <c r="D67" i="30" s="1"/>
  <c r="AY60" i="30"/>
  <c r="D68" i="30" s="1"/>
  <c r="D69" i="30"/>
  <c r="D70" i="30"/>
  <c r="AF59" i="30"/>
  <c r="AN59" i="30" s="1"/>
  <c r="AE59" i="30"/>
  <c r="AM59" i="30" s="1"/>
  <c r="AD59" i="30"/>
  <c r="AL59" i="30" s="1"/>
  <c r="AC59" i="30"/>
  <c r="AK59" i="30" s="1"/>
  <c r="AB59" i="30"/>
  <c r="AJ59" i="30" s="1"/>
  <c r="AA59" i="30"/>
  <c r="AI59" i="30" s="1"/>
  <c r="Z59" i="30"/>
  <c r="AH59" i="30" s="1"/>
  <c r="Y59" i="30"/>
  <c r="AG59" i="30" s="1"/>
  <c r="AF58" i="30"/>
  <c r="AN58" i="30" s="1"/>
  <c r="AE58" i="30"/>
  <c r="AM58" i="30" s="1"/>
  <c r="AD58" i="30"/>
  <c r="AL58" i="30" s="1"/>
  <c r="AC58" i="30"/>
  <c r="AK58" i="30" s="1"/>
  <c r="AB58" i="30"/>
  <c r="AJ58" i="30" s="1"/>
  <c r="AA58" i="30"/>
  <c r="AI58" i="30" s="1"/>
  <c r="Z58" i="30"/>
  <c r="AH58" i="30" s="1"/>
  <c r="Y58" i="30"/>
  <c r="AG58" i="30" s="1"/>
  <c r="AF57" i="30"/>
  <c r="AN57" i="30" s="1"/>
  <c r="AE57" i="30"/>
  <c r="AM57" i="30" s="1"/>
  <c r="AD57" i="30"/>
  <c r="AL57" i="30" s="1"/>
  <c r="AC57" i="30"/>
  <c r="AK57" i="30" s="1"/>
  <c r="AB57" i="30"/>
  <c r="AJ57" i="30" s="1"/>
  <c r="AA57" i="30"/>
  <c r="AI57" i="30" s="1"/>
  <c r="Z57" i="30"/>
  <c r="AH57" i="30" s="1"/>
  <c r="Y57" i="30"/>
  <c r="AG57" i="30" s="1"/>
  <c r="AF56" i="30"/>
  <c r="AN56" i="30" s="1"/>
  <c r="AE56" i="30"/>
  <c r="AM56" i="30" s="1"/>
  <c r="AD56" i="30"/>
  <c r="AL56" i="30" s="1"/>
  <c r="AC56" i="30"/>
  <c r="AK56" i="30" s="1"/>
  <c r="AB56" i="30"/>
  <c r="AJ56" i="30" s="1"/>
  <c r="AA56" i="30"/>
  <c r="AI56" i="30" s="1"/>
  <c r="Z56" i="30"/>
  <c r="AH56" i="30" s="1"/>
  <c r="Y56" i="30"/>
  <c r="AG56" i="30" s="1"/>
  <c r="AF55" i="30"/>
  <c r="AN55" i="30" s="1"/>
  <c r="AE55" i="30"/>
  <c r="AM55" i="30" s="1"/>
  <c r="AD55" i="30"/>
  <c r="AL55" i="30" s="1"/>
  <c r="AC55" i="30"/>
  <c r="AK55" i="30" s="1"/>
  <c r="AB55" i="30"/>
  <c r="AJ55" i="30" s="1"/>
  <c r="AA55" i="30"/>
  <c r="AI55" i="30" s="1"/>
  <c r="Z55" i="30"/>
  <c r="AH55" i="30" s="1"/>
  <c r="Y55" i="30"/>
  <c r="AG55" i="30" s="1"/>
  <c r="AF54" i="30"/>
  <c r="AN54" i="30" s="1"/>
  <c r="AE54" i="30"/>
  <c r="AM54" i="30" s="1"/>
  <c r="AD54" i="30"/>
  <c r="AL54" i="30" s="1"/>
  <c r="AC54" i="30"/>
  <c r="AK54" i="30" s="1"/>
  <c r="AB54" i="30"/>
  <c r="AJ54" i="30" s="1"/>
  <c r="AA54" i="30"/>
  <c r="AI54" i="30" s="1"/>
  <c r="Z54" i="30"/>
  <c r="AH54" i="30" s="1"/>
  <c r="Y54" i="30"/>
  <c r="AG54" i="30" s="1"/>
  <c r="AF53" i="30"/>
  <c r="AN53" i="30" s="1"/>
  <c r="AE53" i="30"/>
  <c r="AM53" i="30" s="1"/>
  <c r="AD53" i="30"/>
  <c r="AL53" i="30" s="1"/>
  <c r="AC53" i="30"/>
  <c r="AK53" i="30" s="1"/>
  <c r="AB53" i="30"/>
  <c r="AJ53" i="30" s="1"/>
  <c r="AA53" i="30"/>
  <c r="AI53" i="30" s="1"/>
  <c r="Z53" i="30"/>
  <c r="AH53" i="30" s="1"/>
  <c r="Y53" i="30"/>
  <c r="AG53" i="30" s="1"/>
  <c r="AF52" i="30"/>
  <c r="AN52" i="30" s="1"/>
  <c r="AE52" i="30"/>
  <c r="AM52" i="30" s="1"/>
  <c r="AD52" i="30"/>
  <c r="AL52" i="30" s="1"/>
  <c r="AC52" i="30"/>
  <c r="AK52" i="30" s="1"/>
  <c r="AB52" i="30"/>
  <c r="AJ52" i="30" s="1"/>
  <c r="AA52" i="30"/>
  <c r="AI52" i="30" s="1"/>
  <c r="Z52" i="30"/>
  <c r="AH52" i="30" s="1"/>
  <c r="Y52" i="30"/>
  <c r="AG52" i="30" s="1"/>
  <c r="AF51" i="30"/>
  <c r="AN51" i="30" s="1"/>
  <c r="AE51" i="30"/>
  <c r="AM51" i="30" s="1"/>
  <c r="AD51" i="30"/>
  <c r="AL51" i="30" s="1"/>
  <c r="AC51" i="30"/>
  <c r="AK51" i="30" s="1"/>
  <c r="AB51" i="30"/>
  <c r="AJ51" i="30" s="1"/>
  <c r="AA51" i="30"/>
  <c r="AI51" i="30" s="1"/>
  <c r="Z51" i="30"/>
  <c r="AH51" i="30" s="1"/>
  <c r="Y51" i="30"/>
  <c r="AG51" i="30" s="1"/>
  <c r="AF50" i="30"/>
  <c r="AN50" i="30" s="1"/>
  <c r="AE50" i="30"/>
  <c r="AM50" i="30" s="1"/>
  <c r="AD50" i="30"/>
  <c r="AL50" i="30" s="1"/>
  <c r="AC50" i="30"/>
  <c r="AK50" i="30" s="1"/>
  <c r="AB50" i="30"/>
  <c r="AJ50" i="30" s="1"/>
  <c r="AA50" i="30"/>
  <c r="AI50" i="30" s="1"/>
  <c r="Z50" i="30"/>
  <c r="AH50" i="30" s="1"/>
  <c r="Y50" i="30"/>
  <c r="AG50" i="30" s="1"/>
  <c r="AF49" i="30"/>
  <c r="AN49" i="30" s="1"/>
  <c r="AE49" i="30"/>
  <c r="AM49" i="30" s="1"/>
  <c r="AD49" i="30"/>
  <c r="AL49" i="30" s="1"/>
  <c r="AC49" i="30"/>
  <c r="AK49" i="30" s="1"/>
  <c r="AB49" i="30"/>
  <c r="AJ49" i="30" s="1"/>
  <c r="AA49" i="30"/>
  <c r="AI49" i="30" s="1"/>
  <c r="Z49" i="30"/>
  <c r="AH49" i="30" s="1"/>
  <c r="Y49" i="30"/>
  <c r="AG49" i="30" s="1"/>
  <c r="AF48" i="30"/>
  <c r="AN48" i="30" s="1"/>
  <c r="AE48" i="30"/>
  <c r="AM48" i="30" s="1"/>
  <c r="AD48" i="30"/>
  <c r="AL48" i="30" s="1"/>
  <c r="AC48" i="30"/>
  <c r="AK48" i="30" s="1"/>
  <c r="AB48" i="30"/>
  <c r="AJ48" i="30" s="1"/>
  <c r="AA48" i="30"/>
  <c r="AI48" i="30" s="1"/>
  <c r="Z48" i="30"/>
  <c r="AH48" i="30" s="1"/>
  <c r="Y48" i="30"/>
  <c r="AG48" i="30" s="1"/>
  <c r="AF47" i="30"/>
  <c r="AN47" i="30" s="1"/>
  <c r="AE47" i="30"/>
  <c r="AM47" i="30" s="1"/>
  <c r="AD47" i="30"/>
  <c r="AL47" i="30" s="1"/>
  <c r="AC47" i="30"/>
  <c r="AK47" i="30" s="1"/>
  <c r="AB47" i="30"/>
  <c r="AJ47" i="30" s="1"/>
  <c r="AA47" i="30"/>
  <c r="AI47" i="30" s="1"/>
  <c r="Z47" i="30"/>
  <c r="AH47" i="30" s="1"/>
  <c r="Y47" i="30"/>
  <c r="AG47" i="30" s="1"/>
  <c r="AF46" i="30"/>
  <c r="AN46" i="30" s="1"/>
  <c r="AE46" i="30"/>
  <c r="AM46" i="30" s="1"/>
  <c r="AD46" i="30"/>
  <c r="AL46" i="30" s="1"/>
  <c r="AC46" i="30"/>
  <c r="AK46" i="30" s="1"/>
  <c r="AB46" i="30"/>
  <c r="AJ46" i="30" s="1"/>
  <c r="AA46" i="30"/>
  <c r="AI46" i="30" s="1"/>
  <c r="Z46" i="30"/>
  <c r="AH46" i="30" s="1"/>
  <c r="Y46" i="30"/>
  <c r="AG46" i="30" s="1"/>
  <c r="AF45" i="30"/>
  <c r="AN45" i="30" s="1"/>
  <c r="AE45" i="30"/>
  <c r="AM45" i="30" s="1"/>
  <c r="AD45" i="30"/>
  <c r="AL45" i="30" s="1"/>
  <c r="AC45" i="30"/>
  <c r="AK45" i="30" s="1"/>
  <c r="AB45" i="30"/>
  <c r="AJ45" i="30" s="1"/>
  <c r="AA45" i="30"/>
  <c r="AI45" i="30" s="1"/>
  <c r="Z45" i="30"/>
  <c r="AH45" i="30" s="1"/>
  <c r="Y45" i="30"/>
  <c r="AG45" i="30" s="1"/>
  <c r="AF43" i="30"/>
  <c r="AN43" i="30" s="1"/>
  <c r="AE43" i="30"/>
  <c r="AM43" i="30" s="1"/>
  <c r="AD43" i="30"/>
  <c r="AL43" i="30" s="1"/>
  <c r="AC43" i="30"/>
  <c r="AK43" i="30" s="1"/>
  <c r="AB43" i="30"/>
  <c r="AJ43" i="30" s="1"/>
  <c r="AA43" i="30"/>
  <c r="AI43" i="30" s="1"/>
  <c r="Z43" i="30"/>
  <c r="AH43" i="30" s="1"/>
  <c r="Y43" i="30"/>
  <c r="AG43" i="30" s="1"/>
  <c r="AF42" i="30"/>
  <c r="AN42" i="30" s="1"/>
  <c r="AE42" i="30"/>
  <c r="AM42" i="30" s="1"/>
  <c r="AD42" i="30"/>
  <c r="AL42" i="30" s="1"/>
  <c r="AC42" i="30"/>
  <c r="AK42" i="30" s="1"/>
  <c r="AB42" i="30"/>
  <c r="AJ42" i="30" s="1"/>
  <c r="AA42" i="30"/>
  <c r="AI42" i="30" s="1"/>
  <c r="Z42" i="30"/>
  <c r="AH42" i="30" s="1"/>
  <c r="Y42" i="30"/>
  <c r="AG42" i="30" s="1"/>
  <c r="AF41" i="30"/>
  <c r="AN41" i="30" s="1"/>
  <c r="AE41" i="30"/>
  <c r="AM41" i="30" s="1"/>
  <c r="AD41" i="30"/>
  <c r="AL41" i="30" s="1"/>
  <c r="AC41" i="30"/>
  <c r="AK41" i="30" s="1"/>
  <c r="AB41" i="30"/>
  <c r="AJ41" i="30" s="1"/>
  <c r="AA41" i="30"/>
  <c r="AI41" i="30" s="1"/>
  <c r="Z41" i="30"/>
  <c r="AH41" i="30" s="1"/>
  <c r="Y41" i="30"/>
  <c r="AG41" i="30" s="1"/>
  <c r="AF40" i="30"/>
  <c r="AN40" i="30" s="1"/>
  <c r="AE40" i="30"/>
  <c r="AM40" i="30" s="1"/>
  <c r="AD40" i="30"/>
  <c r="AL40" i="30" s="1"/>
  <c r="AC40" i="30"/>
  <c r="AK40" i="30" s="1"/>
  <c r="AB40" i="30"/>
  <c r="AJ40" i="30" s="1"/>
  <c r="AA40" i="30"/>
  <c r="AI40" i="30" s="1"/>
  <c r="Z40" i="30"/>
  <c r="AH40" i="30" s="1"/>
  <c r="Y40" i="30"/>
  <c r="AG40" i="30" s="1"/>
  <c r="AF39" i="30"/>
  <c r="AN39" i="30" s="1"/>
  <c r="AE39" i="30"/>
  <c r="AM39" i="30" s="1"/>
  <c r="AD39" i="30"/>
  <c r="AL39" i="30" s="1"/>
  <c r="AC39" i="30"/>
  <c r="AK39" i="30" s="1"/>
  <c r="AB39" i="30"/>
  <c r="AJ39" i="30" s="1"/>
  <c r="AA39" i="30"/>
  <c r="AI39" i="30" s="1"/>
  <c r="Z39" i="30"/>
  <c r="AH39" i="30" s="1"/>
  <c r="Y39" i="30"/>
  <c r="AG39" i="30" s="1"/>
  <c r="AI38" i="30"/>
  <c r="AF38" i="30"/>
  <c r="AN38" i="30" s="1"/>
  <c r="AE38" i="30"/>
  <c r="AM38" i="30" s="1"/>
  <c r="AD38" i="30"/>
  <c r="AL38" i="30" s="1"/>
  <c r="AC38" i="30"/>
  <c r="AK38" i="30" s="1"/>
  <c r="AB38" i="30"/>
  <c r="AJ38" i="30" s="1"/>
  <c r="AA38" i="30"/>
  <c r="Z38" i="30"/>
  <c r="AH38" i="30" s="1"/>
  <c r="Y38" i="30"/>
  <c r="AG38" i="30" s="1"/>
  <c r="AM37" i="30"/>
  <c r="AF37" i="30"/>
  <c r="AN37" i="30" s="1"/>
  <c r="AE37" i="30"/>
  <c r="AD37" i="30"/>
  <c r="AL37" i="30" s="1"/>
  <c r="AC37" i="30"/>
  <c r="AK37" i="30" s="1"/>
  <c r="AB37" i="30"/>
  <c r="AJ37" i="30" s="1"/>
  <c r="AA37" i="30"/>
  <c r="AI37" i="30" s="1"/>
  <c r="Z37" i="30"/>
  <c r="AH37" i="30" s="1"/>
  <c r="Y37" i="30"/>
  <c r="AG37" i="30" s="1"/>
  <c r="AF36" i="30"/>
  <c r="AN36" i="30" s="1"/>
  <c r="AE36" i="30"/>
  <c r="AM36" i="30" s="1"/>
  <c r="AD36" i="30"/>
  <c r="AL36" i="30" s="1"/>
  <c r="AC36" i="30"/>
  <c r="AK36" i="30" s="1"/>
  <c r="AB36" i="30"/>
  <c r="AJ36" i="30" s="1"/>
  <c r="AA36" i="30"/>
  <c r="AI36" i="30" s="1"/>
  <c r="Z36" i="30"/>
  <c r="AH36" i="30" s="1"/>
  <c r="Y36" i="30"/>
  <c r="AG36" i="30" s="1"/>
  <c r="AF35" i="30"/>
  <c r="AN35" i="30" s="1"/>
  <c r="AE35" i="30"/>
  <c r="AM35" i="30" s="1"/>
  <c r="AD35" i="30"/>
  <c r="AL35" i="30" s="1"/>
  <c r="AC35" i="30"/>
  <c r="AK35" i="30" s="1"/>
  <c r="AB35" i="30"/>
  <c r="AJ35" i="30" s="1"/>
  <c r="AA35" i="30"/>
  <c r="AI35" i="30" s="1"/>
  <c r="Z35" i="30"/>
  <c r="AH35" i="30" s="1"/>
  <c r="Y35" i="30"/>
  <c r="AG35" i="30" s="1"/>
  <c r="AF34" i="30"/>
  <c r="AN34" i="30" s="1"/>
  <c r="AE34" i="30"/>
  <c r="AM34" i="30" s="1"/>
  <c r="AD34" i="30"/>
  <c r="AL34" i="30" s="1"/>
  <c r="AC34" i="30"/>
  <c r="AK34" i="30" s="1"/>
  <c r="AB34" i="30"/>
  <c r="AJ34" i="30" s="1"/>
  <c r="AA34" i="30"/>
  <c r="AI34" i="30" s="1"/>
  <c r="Z34" i="30"/>
  <c r="AH34" i="30" s="1"/>
  <c r="Y34" i="30"/>
  <c r="AG34" i="30" s="1"/>
  <c r="AF33" i="30"/>
  <c r="AN33" i="30" s="1"/>
  <c r="AE33" i="30"/>
  <c r="AM33" i="30" s="1"/>
  <c r="AD33" i="30"/>
  <c r="AL33" i="30" s="1"/>
  <c r="AC33" i="30"/>
  <c r="AK33" i="30" s="1"/>
  <c r="AB33" i="30"/>
  <c r="AJ33" i="30" s="1"/>
  <c r="AA33" i="30"/>
  <c r="AI33" i="30" s="1"/>
  <c r="Z33" i="30"/>
  <c r="AH33" i="30" s="1"/>
  <c r="Y33" i="30"/>
  <c r="AG33" i="30" s="1"/>
  <c r="AF32" i="30"/>
  <c r="AN32" i="30" s="1"/>
  <c r="AE32" i="30"/>
  <c r="AM32" i="30" s="1"/>
  <c r="AD32" i="30"/>
  <c r="AL32" i="30" s="1"/>
  <c r="AC32" i="30"/>
  <c r="AK32" i="30" s="1"/>
  <c r="AB32" i="30"/>
  <c r="AJ32" i="30" s="1"/>
  <c r="AA32" i="30"/>
  <c r="AI32" i="30" s="1"/>
  <c r="Z32" i="30"/>
  <c r="AH32" i="30" s="1"/>
  <c r="Y32" i="30"/>
  <c r="AG32" i="30" s="1"/>
  <c r="AF31" i="30"/>
  <c r="AN31" i="30" s="1"/>
  <c r="AE31" i="30"/>
  <c r="AM31" i="30" s="1"/>
  <c r="AD31" i="30"/>
  <c r="AL31" i="30" s="1"/>
  <c r="AC31" i="30"/>
  <c r="AK31" i="30" s="1"/>
  <c r="AB31" i="30"/>
  <c r="AJ31" i="30" s="1"/>
  <c r="AA31" i="30"/>
  <c r="AI31" i="30" s="1"/>
  <c r="Z31" i="30"/>
  <c r="AH31" i="30" s="1"/>
  <c r="Y31" i="30"/>
  <c r="AG31" i="30" s="1"/>
  <c r="AF30" i="30"/>
  <c r="AN30" i="30" s="1"/>
  <c r="AE30" i="30"/>
  <c r="AM30" i="30" s="1"/>
  <c r="AD30" i="30"/>
  <c r="AL30" i="30" s="1"/>
  <c r="AC30" i="30"/>
  <c r="AK30" i="30" s="1"/>
  <c r="AB30" i="30"/>
  <c r="AJ30" i="30" s="1"/>
  <c r="AA30" i="30"/>
  <c r="AI30" i="30" s="1"/>
  <c r="Z30" i="30"/>
  <c r="AH30" i="30" s="1"/>
  <c r="Y30" i="30"/>
  <c r="AG30" i="30" s="1"/>
  <c r="AF29" i="30"/>
  <c r="AN29" i="30" s="1"/>
  <c r="AE29" i="30"/>
  <c r="AM29" i="30" s="1"/>
  <c r="AD29" i="30"/>
  <c r="AL29" i="30" s="1"/>
  <c r="AC29" i="30"/>
  <c r="AK29" i="30" s="1"/>
  <c r="AB29" i="30"/>
  <c r="AJ29" i="30" s="1"/>
  <c r="AA29" i="30"/>
  <c r="AI29" i="30" s="1"/>
  <c r="Z29" i="30"/>
  <c r="AH29" i="30" s="1"/>
  <c r="Y29" i="30"/>
  <c r="AG29" i="30" s="1"/>
  <c r="AF27" i="30"/>
  <c r="AN27" i="30" s="1"/>
  <c r="AE27" i="30"/>
  <c r="AM27" i="30" s="1"/>
  <c r="AD27" i="30"/>
  <c r="AL27" i="30" s="1"/>
  <c r="AC27" i="30"/>
  <c r="AK27" i="30" s="1"/>
  <c r="AB27" i="30"/>
  <c r="AJ27" i="30" s="1"/>
  <c r="AA27" i="30"/>
  <c r="AI27" i="30" s="1"/>
  <c r="Z27" i="30"/>
  <c r="AH27" i="30" s="1"/>
  <c r="Y27" i="30"/>
  <c r="AG27" i="30" s="1"/>
  <c r="AF26" i="30"/>
  <c r="AN26" i="30" s="1"/>
  <c r="AE26" i="30"/>
  <c r="AM26" i="30" s="1"/>
  <c r="AD26" i="30"/>
  <c r="AL26" i="30" s="1"/>
  <c r="AC26" i="30"/>
  <c r="AK26" i="30" s="1"/>
  <c r="AB26" i="30"/>
  <c r="AJ26" i="30" s="1"/>
  <c r="AA26" i="30"/>
  <c r="AI26" i="30" s="1"/>
  <c r="Z26" i="30"/>
  <c r="AH26" i="30" s="1"/>
  <c r="Y26" i="30"/>
  <c r="AG26" i="30" s="1"/>
  <c r="AF25" i="30"/>
  <c r="AN25" i="30" s="1"/>
  <c r="AE25" i="30"/>
  <c r="AM25" i="30" s="1"/>
  <c r="AD25" i="30"/>
  <c r="AL25" i="30" s="1"/>
  <c r="AC25" i="30"/>
  <c r="AK25" i="30" s="1"/>
  <c r="AB25" i="30"/>
  <c r="AJ25" i="30" s="1"/>
  <c r="AA25" i="30"/>
  <c r="AI25" i="30" s="1"/>
  <c r="Z25" i="30"/>
  <c r="AH25" i="30" s="1"/>
  <c r="Y25" i="30"/>
  <c r="AG25" i="30" s="1"/>
  <c r="AF24" i="30"/>
  <c r="AN24" i="30" s="1"/>
  <c r="AE24" i="30"/>
  <c r="AM24" i="30" s="1"/>
  <c r="AD24" i="30"/>
  <c r="AL24" i="30" s="1"/>
  <c r="AC24" i="30"/>
  <c r="AK24" i="30" s="1"/>
  <c r="AB24" i="30"/>
  <c r="AJ24" i="30" s="1"/>
  <c r="AA24" i="30"/>
  <c r="AI24" i="30" s="1"/>
  <c r="Z24" i="30"/>
  <c r="AH24" i="30" s="1"/>
  <c r="Y24" i="30"/>
  <c r="AG24" i="30" s="1"/>
  <c r="AF23" i="30"/>
  <c r="AN23" i="30" s="1"/>
  <c r="AE23" i="30"/>
  <c r="AM23" i="30" s="1"/>
  <c r="AD23" i="30"/>
  <c r="AL23" i="30" s="1"/>
  <c r="AC23" i="30"/>
  <c r="AK23" i="30" s="1"/>
  <c r="AB23" i="30"/>
  <c r="AJ23" i="30" s="1"/>
  <c r="AA23" i="30"/>
  <c r="AI23" i="30" s="1"/>
  <c r="Z23" i="30"/>
  <c r="AH23" i="30" s="1"/>
  <c r="Y23" i="30"/>
  <c r="AG23" i="30" s="1"/>
  <c r="AF22" i="30"/>
  <c r="AN22" i="30" s="1"/>
  <c r="AE22" i="30"/>
  <c r="AM22" i="30" s="1"/>
  <c r="AD22" i="30"/>
  <c r="AL22" i="30" s="1"/>
  <c r="AC22" i="30"/>
  <c r="AK22" i="30" s="1"/>
  <c r="AB22" i="30"/>
  <c r="AJ22" i="30" s="1"/>
  <c r="AA22" i="30"/>
  <c r="AI22" i="30" s="1"/>
  <c r="Z22" i="30"/>
  <c r="AH22" i="30" s="1"/>
  <c r="Y22" i="30"/>
  <c r="AG22" i="30" s="1"/>
  <c r="AN21" i="30"/>
  <c r="AF21" i="30"/>
  <c r="AE21" i="30"/>
  <c r="AM21" i="30" s="1"/>
  <c r="AD21" i="30"/>
  <c r="AL21" i="30" s="1"/>
  <c r="AC21" i="30"/>
  <c r="AK21" i="30" s="1"/>
  <c r="AB21" i="30"/>
  <c r="AJ21" i="30" s="1"/>
  <c r="AA21" i="30"/>
  <c r="AI21" i="30" s="1"/>
  <c r="Z21" i="30"/>
  <c r="AH21" i="30" s="1"/>
  <c r="Y21" i="30"/>
  <c r="AG21" i="30" s="1"/>
  <c r="AF20" i="30"/>
  <c r="AN20" i="30" s="1"/>
  <c r="AE20" i="30"/>
  <c r="AM20" i="30" s="1"/>
  <c r="AD20" i="30"/>
  <c r="AL20" i="30" s="1"/>
  <c r="AC20" i="30"/>
  <c r="AK20" i="30" s="1"/>
  <c r="AB20" i="30"/>
  <c r="AJ20" i="30" s="1"/>
  <c r="AA20" i="30"/>
  <c r="AI20" i="30" s="1"/>
  <c r="Z20" i="30"/>
  <c r="AH20" i="30" s="1"/>
  <c r="Y20" i="30"/>
  <c r="AG20" i="30" s="1"/>
  <c r="AN19" i="30"/>
  <c r="AF19" i="30"/>
  <c r="AE19" i="30"/>
  <c r="AM19" i="30" s="1"/>
  <c r="AD19" i="30"/>
  <c r="AL19" i="30" s="1"/>
  <c r="AC19" i="30"/>
  <c r="AK19" i="30" s="1"/>
  <c r="AB19" i="30"/>
  <c r="AJ19" i="30" s="1"/>
  <c r="AA19" i="30"/>
  <c r="AI19" i="30" s="1"/>
  <c r="Z19" i="30"/>
  <c r="AH19" i="30" s="1"/>
  <c r="Y19" i="30"/>
  <c r="AG19" i="30" s="1"/>
  <c r="AF18" i="30"/>
  <c r="AN18" i="30" s="1"/>
  <c r="AE18" i="30"/>
  <c r="AM18" i="30" s="1"/>
  <c r="AD18" i="30"/>
  <c r="AL18" i="30" s="1"/>
  <c r="AC18" i="30"/>
  <c r="AK18" i="30" s="1"/>
  <c r="AB18" i="30"/>
  <c r="AJ18" i="30" s="1"/>
  <c r="AA18" i="30"/>
  <c r="AI18" i="30" s="1"/>
  <c r="Z18" i="30"/>
  <c r="AH18" i="30" s="1"/>
  <c r="Y18" i="30"/>
  <c r="AG18" i="30" s="1"/>
  <c r="AF17" i="30"/>
  <c r="AN17" i="30" s="1"/>
  <c r="AE17" i="30"/>
  <c r="AM17" i="30" s="1"/>
  <c r="AD17" i="30"/>
  <c r="AL17" i="30" s="1"/>
  <c r="AC17" i="30"/>
  <c r="AK17" i="30" s="1"/>
  <c r="AB17" i="30"/>
  <c r="AJ17" i="30" s="1"/>
  <c r="AA17" i="30"/>
  <c r="AI17" i="30" s="1"/>
  <c r="Z17" i="30"/>
  <c r="AH17" i="30" s="1"/>
  <c r="Y17" i="30"/>
  <c r="AG17" i="30" s="1"/>
  <c r="AF16" i="30"/>
  <c r="AN16" i="30" s="1"/>
  <c r="AE16" i="30"/>
  <c r="AM16" i="30" s="1"/>
  <c r="AD16" i="30"/>
  <c r="AL16" i="30" s="1"/>
  <c r="AC16" i="30"/>
  <c r="AK16" i="30" s="1"/>
  <c r="AB16" i="30"/>
  <c r="AJ16" i="30" s="1"/>
  <c r="AA16" i="30"/>
  <c r="AI16" i="30" s="1"/>
  <c r="Z16" i="30"/>
  <c r="AH16" i="30" s="1"/>
  <c r="Y16" i="30"/>
  <c r="AG16" i="30" s="1"/>
  <c r="AF15" i="30"/>
  <c r="AN15" i="30" s="1"/>
  <c r="AE15" i="30"/>
  <c r="AM15" i="30" s="1"/>
  <c r="AD15" i="30"/>
  <c r="AL15" i="30" s="1"/>
  <c r="AC15" i="30"/>
  <c r="AK15" i="30" s="1"/>
  <c r="AB15" i="30"/>
  <c r="AJ15" i="30" s="1"/>
  <c r="AA15" i="30"/>
  <c r="AI15" i="30" s="1"/>
  <c r="Z15" i="30"/>
  <c r="AH15" i="30" s="1"/>
  <c r="Y15" i="30"/>
  <c r="AG15" i="30" s="1"/>
  <c r="AF14" i="30"/>
  <c r="AN14" i="30" s="1"/>
  <c r="AE14" i="30"/>
  <c r="AM14" i="30" s="1"/>
  <c r="AD14" i="30"/>
  <c r="AL14" i="30" s="1"/>
  <c r="AC14" i="30"/>
  <c r="AK14" i="30" s="1"/>
  <c r="AB14" i="30"/>
  <c r="AJ14" i="30" s="1"/>
  <c r="AA14" i="30"/>
  <c r="AI14" i="30" s="1"/>
  <c r="Z14" i="30"/>
  <c r="AH14" i="30" s="1"/>
  <c r="Y14" i="30"/>
  <c r="AG14" i="30" s="1"/>
  <c r="AF13" i="30"/>
  <c r="AN13" i="30" s="1"/>
  <c r="AE13" i="30"/>
  <c r="AM13" i="30" s="1"/>
  <c r="AD13" i="30"/>
  <c r="AL13" i="30" s="1"/>
  <c r="AC13" i="30"/>
  <c r="AK13" i="30" s="1"/>
  <c r="AB13" i="30"/>
  <c r="AJ13" i="30" s="1"/>
  <c r="AA13" i="30"/>
  <c r="AI13" i="30" s="1"/>
  <c r="Z13" i="30"/>
  <c r="AH13" i="30" s="1"/>
  <c r="Y13" i="30"/>
  <c r="AG13" i="30" s="1"/>
  <c r="N91" i="30" l="1"/>
  <c r="D71" i="30"/>
  <c r="F70" i="30" s="1"/>
  <c r="AP19" i="30"/>
  <c r="AR19" i="30" s="1"/>
  <c r="AP25" i="30"/>
  <c r="AR25" i="30" s="1"/>
  <c r="AP17" i="30"/>
  <c r="AR17" i="30" s="1"/>
  <c r="AP46" i="30"/>
  <c r="AR46" i="30" s="1"/>
  <c r="AP13" i="30"/>
  <c r="AR13" i="30" s="1"/>
  <c r="AO13" i="30"/>
  <c r="AQ13" i="30" s="1"/>
  <c r="AP21" i="30"/>
  <c r="AR21" i="30" s="1"/>
  <c r="AP22" i="30"/>
  <c r="AR22" i="30" s="1"/>
  <c r="AO22" i="30"/>
  <c r="AQ22" i="30" s="1"/>
  <c r="AP29" i="30"/>
  <c r="AR29" i="30" s="1"/>
  <c r="AO29" i="30"/>
  <c r="AQ29" i="30" s="1"/>
  <c r="AP31" i="30"/>
  <c r="AR31" i="30" s="1"/>
  <c r="AO31" i="30"/>
  <c r="AQ31" i="30" s="1"/>
  <c r="AP37" i="30"/>
  <c r="AR37" i="30" s="1"/>
  <c r="AO37" i="30"/>
  <c r="AQ37" i="30" s="1"/>
  <c r="AO14" i="30"/>
  <c r="AQ14" i="30" s="1"/>
  <c r="AP14" i="30"/>
  <c r="AR14" i="30" s="1"/>
  <c r="AP15" i="30"/>
  <c r="AR15" i="30" s="1"/>
  <c r="AO15" i="30"/>
  <c r="AQ15" i="30" s="1"/>
  <c r="AO16" i="30"/>
  <c r="AQ16" i="30" s="1"/>
  <c r="AP16" i="30"/>
  <c r="AR16" i="30" s="1"/>
  <c r="AP41" i="30"/>
  <c r="AR41" i="30" s="1"/>
  <c r="AO41" i="30"/>
  <c r="AQ41" i="30" s="1"/>
  <c r="AP23" i="30"/>
  <c r="AR23" i="30" s="1"/>
  <c r="AO24" i="30"/>
  <c r="AQ24" i="30" s="1"/>
  <c r="AP24" i="30"/>
  <c r="AR24" i="30" s="1"/>
  <c r="AP26" i="30"/>
  <c r="AR26" i="30" s="1"/>
  <c r="AO26" i="30"/>
  <c r="AQ26" i="30" s="1"/>
  <c r="AS26" i="30" s="1"/>
  <c r="AT26" i="30" s="1"/>
  <c r="AP33" i="30"/>
  <c r="AR33" i="30" s="1"/>
  <c r="AO33" i="30"/>
  <c r="AQ33" i="30" s="1"/>
  <c r="AP35" i="30"/>
  <c r="AR35" i="30" s="1"/>
  <c r="AO35" i="30"/>
  <c r="AQ35" i="30" s="1"/>
  <c r="AP38" i="30"/>
  <c r="AR38" i="30" s="1"/>
  <c r="AO38" i="30"/>
  <c r="AQ38" i="30" s="1"/>
  <c r="AP18" i="30"/>
  <c r="AR18" i="30" s="1"/>
  <c r="AO18" i="30"/>
  <c r="AQ18" i="30" s="1"/>
  <c r="AS18" i="30" s="1"/>
  <c r="AT18" i="30" s="1"/>
  <c r="AP20" i="30"/>
  <c r="AR20" i="30" s="1"/>
  <c r="AO20" i="30"/>
  <c r="AQ20" i="30" s="1"/>
  <c r="AP42" i="30"/>
  <c r="AR42" i="30" s="1"/>
  <c r="AO42" i="30"/>
  <c r="AQ42" i="30" s="1"/>
  <c r="AO17" i="30"/>
  <c r="AQ17" i="30" s="1"/>
  <c r="AO25" i="30"/>
  <c r="AQ25" i="30" s="1"/>
  <c r="AS25" i="30" s="1"/>
  <c r="AT25" i="30" s="1"/>
  <c r="AP39" i="30"/>
  <c r="AR39" i="30" s="1"/>
  <c r="AO39" i="30"/>
  <c r="AQ39" i="30" s="1"/>
  <c r="AP40" i="30"/>
  <c r="AR40" i="30" s="1"/>
  <c r="AO40" i="30"/>
  <c r="AQ40" i="30" s="1"/>
  <c r="AO19" i="30"/>
  <c r="AQ19" i="30" s="1"/>
  <c r="AS19" i="30" s="1"/>
  <c r="AT19" i="30" s="1"/>
  <c r="AO27" i="30"/>
  <c r="AQ27" i="30" s="1"/>
  <c r="AS27" i="30" s="1"/>
  <c r="AT27" i="30" s="1"/>
  <c r="AP27" i="30"/>
  <c r="AR27" i="30" s="1"/>
  <c r="AO32" i="30"/>
  <c r="AQ32" i="30" s="1"/>
  <c r="AP32" i="30"/>
  <c r="AR32" i="30" s="1"/>
  <c r="AP36" i="30"/>
  <c r="AR36" i="30" s="1"/>
  <c r="AO36" i="30"/>
  <c r="AQ36" i="30" s="1"/>
  <c r="AO21" i="30"/>
  <c r="AQ21" i="30" s="1"/>
  <c r="AO23" i="30"/>
  <c r="AQ23" i="30" s="1"/>
  <c r="AO30" i="30"/>
  <c r="AQ30" i="30" s="1"/>
  <c r="AP30" i="30"/>
  <c r="AR30" i="30" s="1"/>
  <c r="AO34" i="30"/>
  <c r="AQ34" i="30" s="1"/>
  <c r="AP34" i="30"/>
  <c r="AR34" i="30" s="1"/>
  <c r="AP43" i="30"/>
  <c r="AR43" i="30" s="1"/>
  <c r="AO43" i="30"/>
  <c r="AQ43" i="30" s="1"/>
  <c r="AO46" i="30"/>
  <c r="AQ46" i="30" s="1"/>
  <c r="AP47" i="30"/>
  <c r="AR47" i="30" s="1"/>
  <c r="AO47" i="30"/>
  <c r="AQ47" i="30" s="1"/>
  <c r="AP45" i="30"/>
  <c r="AR45" i="30" s="1"/>
  <c r="AO45" i="30"/>
  <c r="AQ45" i="30" s="1"/>
  <c r="AP48" i="30"/>
  <c r="AR48" i="30" s="1"/>
  <c r="AO48" i="30"/>
  <c r="AQ48" i="30" s="1"/>
  <c r="AS48" i="30" s="1"/>
  <c r="AT48" i="30" s="1"/>
  <c r="AP49" i="30"/>
  <c r="AR49" i="30" s="1"/>
  <c r="AO49" i="30"/>
  <c r="AQ49" i="30" s="1"/>
  <c r="AS49" i="30" s="1"/>
  <c r="AT49" i="30" s="1"/>
  <c r="AP50" i="30"/>
  <c r="AR50" i="30" s="1"/>
  <c r="AO50" i="30"/>
  <c r="AQ50" i="30" s="1"/>
  <c r="AP51" i="30"/>
  <c r="AR51" i="30" s="1"/>
  <c r="AO51" i="30"/>
  <c r="AQ51" i="30" s="1"/>
  <c r="AS51" i="30" s="1"/>
  <c r="AT51" i="30" s="1"/>
  <c r="AP52" i="30"/>
  <c r="AR52" i="30" s="1"/>
  <c r="AO52" i="30"/>
  <c r="AQ52" i="30" s="1"/>
  <c r="AP53" i="30"/>
  <c r="AR53" i="30" s="1"/>
  <c r="AO53" i="30"/>
  <c r="AQ53" i="30" s="1"/>
  <c r="AS53" i="30" s="1"/>
  <c r="AT53" i="30" s="1"/>
  <c r="AP54" i="30"/>
  <c r="AR54" i="30" s="1"/>
  <c r="AO54" i="30"/>
  <c r="AQ54" i="30" s="1"/>
  <c r="AS54" i="30" s="1"/>
  <c r="AT54" i="30" s="1"/>
  <c r="AP55" i="30"/>
  <c r="AR55" i="30" s="1"/>
  <c r="AO55" i="30"/>
  <c r="AQ55" i="30" s="1"/>
  <c r="AS55" i="30" s="1"/>
  <c r="AT55" i="30" s="1"/>
  <c r="AP56" i="30"/>
  <c r="AR56" i="30" s="1"/>
  <c r="AO56" i="30"/>
  <c r="AQ56" i="30" s="1"/>
  <c r="AP57" i="30"/>
  <c r="AR57" i="30" s="1"/>
  <c r="AO57" i="30"/>
  <c r="AQ57" i="30" s="1"/>
  <c r="AP58" i="30"/>
  <c r="AR58" i="30" s="1"/>
  <c r="AO58" i="30"/>
  <c r="AQ58" i="30" s="1"/>
  <c r="AS58" i="30" s="1"/>
  <c r="AT58" i="30" s="1"/>
  <c r="AP59" i="30"/>
  <c r="AR59" i="30" s="1"/>
  <c r="AO59" i="30"/>
  <c r="AQ59" i="30" s="1"/>
  <c r="M90" i="27"/>
  <c r="M91" i="27"/>
  <c r="M89" i="27"/>
  <c r="M88" i="27"/>
  <c r="AS21" i="30" l="1"/>
  <c r="AT21" i="30" s="1"/>
  <c r="AS17" i="30"/>
  <c r="AT17" i="30" s="1"/>
  <c r="AS20" i="30"/>
  <c r="AT20" i="30" s="1"/>
  <c r="AS16" i="30"/>
  <c r="AT16" i="30" s="1"/>
  <c r="AS14" i="30"/>
  <c r="AT14" i="30" s="1"/>
  <c r="F69" i="30"/>
  <c r="H69" i="30" s="1"/>
  <c r="AS23" i="30"/>
  <c r="AT23" i="30" s="1"/>
  <c r="AS13" i="30"/>
  <c r="AS59" i="30"/>
  <c r="AT59" i="30" s="1"/>
  <c r="AS57" i="30"/>
  <c r="AT57" i="30" s="1"/>
  <c r="AS56" i="30"/>
  <c r="AT56" i="30" s="1"/>
  <c r="AS52" i="30"/>
  <c r="AT52" i="30" s="1"/>
  <c r="AS50" i="30"/>
  <c r="AT50" i="30" s="1"/>
  <c r="AS47" i="30"/>
  <c r="AT47" i="30" s="1"/>
  <c r="AS46" i="30"/>
  <c r="AT46" i="30" s="1"/>
  <c r="AS45" i="30"/>
  <c r="AT45" i="30" s="1"/>
  <c r="AS43" i="30"/>
  <c r="AT43" i="30" s="1"/>
  <c r="AS39" i="30"/>
  <c r="AT39" i="30" s="1"/>
  <c r="AS42" i="30"/>
  <c r="AT42" i="30" s="1"/>
  <c r="AS35" i="30"/>
  <c r="AT35" i="30" s="1"/>
  <c r="AS32" i="30"/>
  <c r="AT32" i="30" s="1"/>
  <c r="AS40" i="30"/>
  <c r="AT40" i="30" s="1"/>
  <c r="AS38" i="30"/>
  <c r="AT38" i="30" s="1"/>
  <c r="AS33" i="30"/>
  <c r="AT33" i="30" s="1"/>
  <c r="H70" i="30"/>
  <c r="F67" i="30"/>
  <c r="H67" i="30" s="1"/>
  <c r="F68" i="30"/>
  <c r="H68" i="30" s="1"/>
  <c r="AS34" i="30"/>
  <c r="AT34" i="30" s="1"/>
  <c r="AS41" i="30"/>
  <c r="AT41" i="30" s="1"/>
  <c r="AS15" i="30"/>
  <c r="AT15" i="30" s="1"/>
  <c r="AS37" i="30"/>
  <c r="AT37" i="30" s="1"/>
  <c r="AS29" i="30"/>
  <c r="AT29" i="30" s="1"/>
  <c r="AS30" i="30"/>
  <c r="AT30" i="30" s="1"/>
  <c r="AS36" i="30"/>
  <c r="AT36" i="30" s="1"/>
  <c r="AS24" i="30"/>
  <c r="AT24" i="30" s="1"/>
  <c r="AS31" i="30"/>
  <c r="AT31" i="30" s="1"/>
  <c r="AS22" i="30"/>
  <c r="AT22" i="30" s="1"/>
  <c r="K5" i="28"/>
  <c r="L5" i="28" s="1"/>
  <c r="M5" i="28" s="1"/>
  <c r="AS60" i="30" l="1"/>
  <c r="K78" i="30" s="1"/>
  <c r="L78" i="30" s="1"/>
  <c r="M78" i="30" s="1"/>
  <c r="N78" i="30" s="1"/>
  <c r="O78" i="30" s="1"/>
  <c r="AT13" i="30"/>
  <c r="H72" i="30"/>
  <c r="K73" i="30" s="1"/>
  <c r="L73" i="30" s="1"/>
  <c r="M73" i="30" s="1"/>
  <c r="N73" i="30" s="1"/>
  <c r="O73" i="30" s="1"/>
  <c r="J3" i="11"/>
  <c r="I3" i="11"/>
  <c r="K5" i="22" l="1"/>
  <c r="J5" i="22"/>
  <c r="L5" i="22" l="1"/>
  <c r="AY60" i="27"/>
  <c r="D67" i="27" s="1"/>
  <c r="AX60" i="27"/>
  <c r="D68" i="27" s="1"/>
  <c r="AW60" i="27"/>
  <c r="D69" i="27" s="1"/>
  <c r="AV60" i="27"/>
  <c r="D70" i="27" s="1"/>
  <c r="AE59" i="27"/>
  <c r="AM59" i="27" s="1"/>
  <c r="AD59" i="27"/>
  <c r="AL59" i="27" s="1"/>
  <c r="AC59" i="27"/>
  <c r="AK59" i="27" s="1"/>
  <c r="AB59" i="27"/>
  <c r="AJ59" i="27" s="1"/>
  <c r="AA59" i="27"/>
  <c r="AI59" i="27" s="1"/>
  <c r="Z59" i="27"/>
  <c r="AH59" i="27" s="1"/>
  <c r="Y59" i="27"/>
  <c r="AG59" i="27" s="1"/>
  <c r="X59" i="27"/>
  <c r="AF59" i="27" s="1"/>
  <c r="AE58" i="27"/>
  <c r="AM58" i="27" s="1"/>
  <c r="AD58" i="27"/>
  <c r="AL58" i="27" s="1"/>
  <c r="AC58" i="27"/>
  <c r="AK58" i="27" s="1"/>
  <c r="AB58" i="27"/>
  <c r="AJ58" i="27" s="1"/>
  <c r="AA58" i="27"/>
  <c r="AI58" i="27" s="1"/>
  <c r="Z58" i="27"/>
  <c r="AH58" i="27" s="1"/>
  <c r="Y58" i="27"/>
  <c r="AG58" i="27" s="1"/>
  <c r="X58" i="27"/>
  <c r="AF58" i="27" s="1"/>
  <c r="AE57" i="27"/>
  <c r="AM57" i="27" s="1"/>
  <c r="AD57" i="27"/>
  <c r="AL57" i="27" s="1"/>
  <c r="AC57" i="27"/>
  <c r="AK57" i="27" s="1"/>
  <c r="AB57" i="27"/>
  <c r="AJ57" i="27" s="1"/>
  <c r="AA57" i="27"/>
  <c r="AI57" i="27" s="1"/>
  <c r="Z57" i="27"/>
  <c r="AH57" i="27" s="1"/>
  <c r="Y57" i="27"/>
  <c r="AG57" i="27" s="1"/>
  <c r="X57" i="27"/>
  <c r="AF57" i="27" s="1"/>
  <c r="AE56" i="27"/>
  <c r="AM56" i="27" s="1"/>
  <c r="AD56" i="27"/>
  <c r="AL56" i="27" s="1"/>
  <c r="AC56" i="27"/>
  <c r="AK56" i="27" s="1"/>
  <c r="AB56" i="27"/>
  <c r="AJ56" i="27" s="1"/>
  <c r="AA56" i="27"/>
  <c r="AI56" i="27" s="1"/>
  <c r="Z56" i="27"/>
  <c r="AH56" i="27" s="1"/>
  <c r="Y56" i="27"/>
  <c r="AG56" i="27" s="1"/>
  <c r="X56" i="27"/>
  <c r="AF56" i="27" s="1"/>
  <c r="AE55" i="27"/>
  <c r="AM55" i="27" s="1"/>
  <c r="AD55" i="27"/>
  <c r="AL55" i="27" s="1"/>
  <c r="AC55" i="27"/>
  <c r="AK55" i="27" s="1"/>
  <c r="AB55" i="27"/>
  <c r="AJ55" i="27" s="1"/>
  <c r="AA55" i="27"/>
  <c r="AI55" i="27" s="1"/>
  <c r="Z55" i="27"/>
  <c r="AH55" i="27" s="1"/>
  <c r="Y55" i="27"/>
  <c r="AG55" i="27" s="1"/>
  <c r="X55" i="27"/>
  <c r="AF55" i="27" s="1"/>
  <c r="AE54" i="27"/>
  <c r="AM54" i="27" s="1"/>
  <c r="AD54" i="27"/>
  <c r="AL54" i="27" s="1"/>
  <c r="AC54" i="27"/>
  <c r="AK54" i="27" s="1"/>
  <c r="AB54" i="27"/>
  <c r="AJ54" i="27" s="1"/>
  <c r="AA54" i="27"/>
  <c r="AI54" i="27" s="1"/>
  <c r="Z54" i="27"/>
  <c r="AH54" i="27" s="1"/>
  <c r="Y54" i="27"/>
  <c r="AG54" i="27" s="1"/>
  <c r="X54" i="27"/>
  <c r="AF54" i="27" s="1"/>
  <c r="AE53" i="27"/>
  <c r="AM53" i="27" s="1"/>
  <c r="AD53" i="27"/>
  <c r="AL53" i="27" s="1"/>
  <c r="AC53" i="27"/>
  <c r="AK53" i="27" s="1"/>
  <c r="AB53" i="27"/>
  <c r="AJ53" i="27" s="1"/>
  <c r="AA53" i="27"/>
  <c r="AI53" i="27" s="1"/>
  <c r="Z53" i="27"/>
  <c r="AH53" i="27" s="1"/>
  <c r="Y53" i="27"/>
  <c r="AG53" i="27" s="1"/>
  <c r="X53" i="27"/>
  <c r="AF53" i="27" s="1"/>
  <c r="AE52" i="27"/>
  <c r="AM52" i="27" s="1"/>
  <c r="AD52" i="27"/>
  <c r="AL52" i="27" s="1"/>
  <c r="AC52" i="27"/>
  <c r="AK52" i="27" s="1"/>
  <c r="AB52" i="27"/>
  <c r="AJ52" i="27" s="1"/>
  <c r="AA52" i="27"/>
  <c r="AI52" i="27" s="1"/>
  <c r="Z52" i="27"/>
  <c r="AH52" i="27" s="1"/>
  <c r="Y52" i="27"/>
  <c r="AG52" i="27" s="1"/>
  <c r="X52" i="27"/>
  <c r="AF52" i="27" s="1"/>
  <c r="AE51" i="27"/>
  <c r="AM51" i="27" s="1"/>
  <c r="AD51" i="27"/>
  <c r="AL51" i="27" s="1"/>
  <c r="AC51" i="27"/>
  <c r="AK51" i="27" s="1"/>
  <c r="AB51" i="27"/>
  <c r="AJ51" i="27" s="1"/>
  <c r="AA51" i="27"/>
  <c r="AI51" i="27" s="1"/>
  <c r="Z51" i="27"/>
  <c r="AH51" i="27" s="1"/>
  <c r="Y51" i="27"/>
  <c r="AG51" i="27" s="1"/>
  <c r="X51" i="27"/>
  <c r="AF51" i="27" s="1"/>
  <c r="AE50" i="27"/>
  <c r="AM50" i="27" s="1"/>
  <c r="AD50" i="27"/>
  <c r="AL50" i="27" s="1"/>
  <c r="AC50" i="27"/>
  <c r="AK50" i="27" s="1"/>
  <c r="AB50" i="27"/>
  <c r="AJ50" i="27" s="1"/>
  <c r="AA50" i="27"/>
  <c r="AI50" i="27" s="1"/>
  <c r="Z50" i="27"/>
  <c r="AH50" i="27" s="1"/>
  <c r="Y50" i="27"/>
  <c r="AG50" i="27" s="1"/>
  <c r="X50" i="27"/>
  <c r="AF50" i="27" s="1"/>
  <c r="AE49" i="27"/>
  <c r="AM49" i="27" s="1"/>
  <c r="AD49" i="27"/>
  <c r="AL49" i="27" s="1"/>
  <c r="AC49" i="27"/>
  <c r="AK49" i="27" s="1"/>
  <c r="AB49" i="27"/>
  <c r="AJ49" i="27" s="1"/>
  <c r="AA49" i="27"/>
  <c r="AI49" i="27" s="1"/>
  <c r="Z49" i="27"/>
  <c r="AH49" i="27" s="1"/>
  <c r="Y49" i="27"/>
  <c r="AG49" i="27" s="1"/>
  <c r="X49" i="27"/>
  <c r="AF49" i="27" s="1"/>
  <c r="AE48" i="27"/>
  <c r="AM48" i="27" s="1"/>
  <c r="AD48" i="27"/>
  <c r="AL48" i="27" s="1"/>
  <c r="AC48" i="27"/>
  <c r="AK48" i="27" s="1"/>
  <c r="AB48" i="27"/>
  <c r="AJ48" i="27" s="1"/>
  <c r="AA48" i="27"/>
  <c r="AI48" i="27" s="1"/>
  <c r="Z48" i="27"/>
  <c r="AH48" i="27" s="1"/>
  <c r="Y48" i="27"/>
  <c r="AG48" i="27" s="1"/>
  <c r="X48" i="27"/>
  <c r="AF48" i="27" s="1"/>
  <c r="AE47" i="27"/>
  <c r="AM47" i="27" s="1"/>
  <c r="AD47" i="27"/>
  <c r="AL47" i="27" s="1"/>
  <c r="AC47" i="27"/>
  <c r="AK47" i="27" s="1"/>
  <c r="AB47" i="27"/>
  <c r="AJ47" i="27" s="1"/>
  <c r="AA47" i="27"/>
  <c r="AI47" i="27" s="1"/>
  <c r="Z47" i="27"/>
  <c r="AH47" i="27" s="1"/>
  <c r="Y47" i="27"/>
  <c r="AG47" i="27" s="1"/>
  <c r="X47" i="27"/>
  <c r="AF47" i="27" s="1"/>
  <c r="AE46" i="27"/>
  <c r="AM46" i="27" s="1"/>
  <c r="AD46" i="27"/>
  <c r="AL46" i="27" s="1"/>
  <c r="AC46" i="27"/>
  <c r="AK46" i="27" s="1"/>
  <c r="AB46" i="27"/>
  <c r="AJ46" i="27" s="1"/>
  <c r="AA46" i="27"/>
  <c r="AI46" i="27" s="1"/>
  <c r="Z46" i="27"/>
  <c r="AH46" i="27" s="1"/>
  <c r="Y46" i="27"/>
  <c r="AG46" i="27" s="1"/>
  <c r="X46" i="27"/>
  <c r="AF46" i="27" s="1"/>
  <c r="AE45" i="27"/>
  <c r="AM45" i="27" s="1"/>
  <c r="AD45" i="27"/>
  <c r="AL45" i="27" s="1"/>
  <c r="AC45" i="27"/>
  <c r="AK45" i="27" s="1"/>
  <c r="AB45" i="27"/>
  <c r="AJ45" i="27" s="1"/>
  <c r="AA45" i="27"/>
  <c r="AI45" i="27" s="1"/>
  <c r="Z45" i="27"/>
  <c r="AH45" i="27" s="1"/>
  <c r="Y45" i="27"/>
  <c r="AG45" i="27" s="1"/>
  <c r="X45" i="27"/>
  <c r="AF45" i="27" s="1"/>
  <c r="AS44" i="27"/>
  <c r="AE43" i="27"/>
  <c r="AM43" i="27" s="1"/>
  <c r="AD43" i="27"/>
  <c r="AL43" i="27" s="1"/>
  <c r="AC43" i="27"/>
  <c r="AK43" i="27" s="1"/>
  <c r="AB43" i="27"/>
  <c r="AJ43" i="27" s="1"/>
  <c r="AA43" i="27"/>
  <c r="AI43" i="27" s="1"/>
  <c r="Z43" i="27"/>
  <c r="AH43" i="27" s="1"/>
  <c r="Y43" i="27"/>
  <c r="AG43" i="27" s="1"/>
  <c r="X43" i="27"/>
  <c r="AF43" i="27" s="1"/>
  <c r="AE42" i="27"/>
  <c r="AM42" i="27" s="1"/>
  <c r="AD42" i="27"/>
  <c r="AL42" i="27" s="1"/>
  <c r="AC42" i="27"/>
  <c r="AK42" i="27" s="1"/>
  <c r="AB42" i="27"/>
  <c r="AJ42" i="27" s="1"/>
  <c r="AA42" i="27"/>
  <c r="AI42" i="27" s="1"/>
  <c r="Z42" i="27"/>
  <c r="AH42" i="27" s="1"/>
  <c r="Y42" i="27"/>
  <c r="AG42" i="27" s="1"/>
  <c r="X42" i="27"/>
  <c r="AF42" i="27" s="1"/>
  <c r="AE41" i="27"/>
  <c r="AM41" i="27" s="1"/>
  <c r="AD41" i="27"/>
  <c r="AL41" i="27" s="1"/>
  <c r="AC41" i="27"/>
  <c r="AK41" i="27" s="1"/>
  <c r="AB41" i="27"/>
  <c r="AJ41" i="27" s="1"/>
  <c r="AA41" i="27"/>
  <c r="AI41" i="27" s="1"/>
  <c r="Z41" i="27"/>
  <c r="AH41" i="27" s="1"/>
  <c r="Y41" i="27"/>
  <c r="AG41" i="27" s="1"/>
  <c r="X41" i="27"/>
  <c r="AF41" i="27" s="1"/>
  <c r="AE40" i="27"/>
  <c r="AM40" i="27" s="1"/>
  <c r="AD40" i="27"/>
  <c r="AL40" i="27" s="1"/>
  <c r="AC40" i="27"/>
  <c r="AK40" i="27" s="1"/>
  <c r="AB40" i="27"/>
  <c r="AJ40" i="27" s="1"/>
  <c r="AA40" i="27"/>
  <c r="AI40" i="27" s="1"/>
  <c r="Z40" i="27"/>
  <c r="AH40" i="27" s="1"/>
  <c r="Y40" i="27"/>
  <c r="AG40" i="27" s="1"/>
  <c r="X40" i="27"/>
  <c r="AF40" i="27" s="1"/>
  <c r="AE39" i="27"/>
  <c r="AM39" i="27" s="1"/>
  <c r="AD39" i="27"/>
  <c r="AL39" i="27" s="1"/>
  <c r="AC39" i="27"/>
  <c r="AK39" i="27" s="1"/>
  <c r="AB39" i="27"/>
  <c r="AJ39" i="27" s="1"/>
  <c r="AA39" i="27"/>
  <c r="AI39" i="27" s="1"/>
  <c r="Z39" i="27"/>
  <c r="AH39" i="27" s="1"/>
  <c r="Y39" i="27"/>
  <c r="AG39" i="27" s="1"/>
  <c r="X39" i="27"/>
  <c r="AF39" i="27" s="1"/>
  <c r="AE38" i="27"/>
  <c r="AM38" i="27" s="1"/>
  <c r="AD38" i="27"/>
  <c r="AL38" i="27" s="1"/>
  <c r="AC38" i="27"/>
  <c r="AK38" i="27" s="1"/>
  <c r="AB38" i="27"/>
  <c r="AJ38" i="27" s="1"/>
  <c r="AA38" i="27"/>
  <c r="AI38" i="27" s="1"/>
  <c r="Z38" i="27"/>
  <c r="AH38" i="27" s="1"/>
  <c r="Y38" i="27"/>
  <c r="AG38" i="27" s="1"/>
  <c r="X38" i="27"/>
  <c r="AF38" i="27" s="1"/>
  <c r="AE37" i="27"/>
  <c r="AM37" i="27" s="1"/>
  <c r="AD37" i="27"/>
  <c r="AL37" i="27" s="1"/>
  <c r="AC37" i="27"/>
  <c r="AK37" i="27" s="1"/>
  <c r="AB37" i="27"/>
  <c r="AJ37" i="27" s="1"/>
  <c r="AA37" i="27"/>
  <c r="AI37" i="27" s="1"/>
  <c r="Z37" i="27"/>
  <c r="AH37" i="27" s="1"/>
  <c r="Y37" i="27"/>
  <c r="AG37" i="27" s="1"/>
  <c r="X37" i="27"/>
  <c r="AF37" i="27" s="1"/>
  <c r="AE36" i="27"/>
  <c r="AM36" i="27" s="1"/>
  <c r="AD36" i="27"/>
  <c r="AL36" i="27" s="1"/>
  <c r="AC36" i="27"/>
  <c r="AK36" i="27" s="1"/>
  <c r="AB36" i="27"/>
  <c r="AJ36" i="27" s="1"/>
  <c r="AA36" i="27"/>
  <c r="AI36" i="27" s="1"/>
  <c r="Z36" i="27"/>
  <c r="AH36" i="27" s="1"/>
  <c r="Y36" i="27"/>
  <c r="AG36" i="27" s="1"/>
  <c r="X36" i="27"/>
  <c r="AF36" i="27" s="1"/>
  <c r="AE35" i="27"/>
  <c r="AM35" i="27" s="1"/>
  <c r="AD35" i="27"/>
  <c r="AL35" i="27" s="1"/>
  <c r="AC35" i="27"/>
  <c r="AK35" i="27" s="1"/>
  <c r="AB35" i="27"/>
  <c r="AJ35" i="27" s="1"/>
  <c r="AA35" i="27"/>
  <c r="AI35" i="27" s="1"/>
  <c r="Z35" i="27"/>
  <c r="AH35" i="27" s="1"/>
  <c r="Y35" i="27"/>
  <c r="AG35" i="27" s="1"/>
  <c r="X35" i="27"/>
  <c r="AF35" i="27" s="1"/>
  <c r="AE34" i="27"/>
  <c r="AM34" i="27" s="1"/>
  <c r="AD34" i="27"/>
  <c r="AL34" i="27" s="1"/>
  <c r="AC34" i="27"/>
  <c r="AK34" i="27" s="1"/>
  <c r="AB34" i="27"/>
  <c r="AJ34" i="27" s="1"/>
  <c r="AA34" i="27"/>
  <c r="AI34" i="27" s="1"/>
  <c r="Z34" i="27"/>
  <c r="AH34" i="27" s="1"/>
  <c r="Y34" i="27"/>
  <c r="AG34" i="27" s="1"/>
  <c r="X34" i="27"/>
  <c r="AF34" i="27" s="1"/>
  <c r="AE33" i="27"/>
  <c r="AM33" i="27" s="1"/>
  <c r="AD33" i="27"/>
  <c r="AL33" i="27" s="1"/>
  <c r="AC33" i="27"/>
  <c r="AK33" i="27" s="1"/>
  <c r="AB33" i="27"/>
  <c r="AJ33" i="27" s="1"/>
  <c r="AA33" i="27"/>
  <c r="AI33" i="27" s="1"/>
  <c r="Z33" i="27"/>
  <c r="AH33" i="27" s="1"/>
  <c r="Y33" i="27"/>
  <c r="AG33" i="27" s="1"/>
  <c r="X33" i="27"/>
  <c r="AF33" i="27" s="1"/>
  <c r="AE32" i="27"/>
  <c r="AM32" i="27" s="1"/>
  <c r="AD32" i="27"/>
  <c r="AL32" i="27" s="1"/>
  <c r="AC32" i="27"/>
  <c r="AK32" i="27" s="1"/>
  <c r="AB32" i="27"/>
  <c r="AJ32" i="27" s="1"/>
  <c r="AA32" i="27"/>
  <c r="AI32" i="27" s="1"/>
  <c r="Z32" i="27"/>
  <c r="AH32" i="27" s="1"/>
  <c r="Y32" i="27"/>
  <c r="AG32" i="27" s="1"/>
  <c r="X32" i="27"/>
  <c r="AF32" i="27" s="1"/>
  <c r="AE31" i="27"/>
  <c r="AM31" i="27" s="1"/>
  <c r="AD31" i="27"/>
  <c r="AL31" i="27" s="1"/>
  <c r="AC31" i="27"/>
  <c r="AK31" i="27" s="1"/>
  <c r="AB31" i="27"/>
  <c r="AJ31" i="27" s="1"/>
  <c r="AA31" i="27"/>
  <c r="AI31" i="27" s="1"/>
  <c r="Z31" i="27"/>
  <c r="AH31" i="27" s="1"/>
  <c r="Y31" i="27"/>
  <c r="AG31" i="27" s="1"/>
  <c r="X31" i="27"/>
  <c r="AF31" i="27" s="1"/>
  <c r="AE30" i="27"/>
  <c r="AM30" i="27" s="1"/>
  <c r="AD30" i="27"/>
  <c r="AL30" i="27" s="1"/>
  <c r="AC30" i="27"/>
  <c r="AK30" i="27" s="1"/>
  <c r="AB30" i="27"/>
  <c r="AJ30" i="27" s="1"/>
  <c r="AA30" i="27"/>
  <c r="AI30" i="27" s="1"/>
  <c r="Z30" i="27"/>
  <c r="AH30" i="27" s="1"/>
  <c r="Y30" i="27"/>
  <c r="AG30" i="27" s="1"/>
  <c r="X30" i="27"/>
  <c r="AF30" i="27" s="1"/>
  <c r="AE29" i="27"/>
  <c r="AM29" i="27" s="1"/>
  <c r="AD29" i="27"/>
  <c r="AL29" i="27" s="1"/>
  <c r="AC29" i="27"/>
  <c r="AK29" i="27" s="1"/>
  <c r="AB29" i="27"/>
  <c r="AJ29" i="27" s="1"/>
  <c r="AA29" i="27"/>
  <c r="AI29" i="27" s="1"/>
  <c r="Z29" i="27"/>
  <c r="AH29" i="27" s="1"/>
  <c r="Y29" i="27"/>
  <c r="AG29" i="27" s="1"/>
  <c r="X29" i="27"/>
  <c r="AF29" i="27" s="1"/>
  <c r="AE27" i="27"/>
  <c r="AM27" i="27" s="1"/>
  <c r="AD27" i="27"/>
  <c r="AL27" i="27" s="1"/>
  <c r="AC27" i="27"/>
  <c r="AK27" i="27" s="1"/>
  <c r="AB27" i="27"/>
  <c r="AJ27" i="27" s="1"/>
  <c r="AA27" i="27"/>
  <c r="AI27" i="27" s="1"/>
  <c r="Z27" i="27"/>
  <c r="AH27" i="27" s="1"/>
  <c r="Y27" i="27"/>
  <c r="AG27" i="27" s="1"/>
  <c r="X27" i="27"/>
  <c r="AF27" i="27" s="1"/>
  <c r="AE26" i="27"/>
  <c r="AM26" i="27" s="1"/>
  <c r="AD26" i="27"/>
  <c r="AL26" i="27" s="1"/>
  <c r="AC26" i="27"/>
  <c r="AK26" i="27" s="1"/>
  <c r="AB26" i="27"/>
  <c r="AJ26" i="27" s="1"/>
  <c r="AA26" i="27"/>
  <c r="AI26" i="27" s="1"/>
  <c r="Z26" i="27"/>
  <c r="AH26" i="27" s="1"/>
  <c r="Y26" i="27"/>
  <c r="AG26" i="27" s="1"/>
  <c r="X26" i="27"/>
  <c r="AF26" i="27" s="1"/>
  <c r="AE25" i="27"/>
  <c r="AM25" i="27" s="1"/>
  <c r="AD25" i="27"/>
  <c r="AL25" i="27" s="1"/>
  <c r="AC25" i="27"/>
  <c r="AK25" i="27" s="1"/>
  <c r="AB25" i="27"/>
  <c r="AJ25" i="27" s="1"/>
  <c r="AA25" i="27"/>
  <c r="AI25" i="27" s="1"/>
  <c r="Z25" i="27"/>
  <c r="AH25" i="27" s="1"/>
  <c r="Y25" i="27"/>
  <c r="AG25" i="27" s="1"/>
  <c r="X25" i="27"/>
  <c r="AF25" i="27" s="1"/>
  <c r="AE24" i="27"/>
  <c r="AM24" i="27" s="1"/>
  <c r="AD24" i="27"/>
  <c r="AL24" i="27" s="1"/>
  <c r="AC24" i="27"/>
  <c r="AK24" i="27" s="1"/>
  <c r="AB24" i="27"/>
  <c r="AJ24" i="27" s="1"/>
  <c r="AA24" i="27"/>
  <c r="AI24" i="27" s="1"/>
  <c r="Z24" i="27"/>
  <c r="AH24" i="27" s="1"/>
  <c r="Y24" i="27"/>
  <c r="AG24" i="27" s="1"/>
  <c r="X24" i="27"/>
  <c r="AF24" i="27" s="1"/>
  <c r="AE23" i="27"/>
  <c r="AM23" i="27" s="1"/>
  <c r="AD23" i="27"/>
  <c r="AL23" i="27" s="1"/>
  <c r="AC23" i="27"/>
  <c r="AK23" i="27" s="1"/>
  <c r="AB23" i="27"/>
  <c r="AJ23" i="27" s="1"/>
  <c r="AA23" i="27"/>
  <c r="AI23" i="27" s="1"/>
  <c r="Z23" i="27"/>
  <c r="AH23" i="27" s="1"/>
  <c r="Y23" i="27"/>
  <c r="AG23" i="27" s="1"/>
  <c r="X23" i="27"/>
  <c r="AF23" i="27" s="1"/>
  <c r="AE22" i="27"/>
  <c r="AM22" i="27" s="1"/>
  <c r="AD22" i="27"/>
  <c r="AL22" i="27" s="1"/>
  <c r="AC22" i="27"/>
  <c r="AK22" i="27" s="1"/>
  <c r="AB22" i="27"/>
  <c r="AJ22" i="27" s="1"/>
  <c r="AA22" i="27"/>
  <c r="AI22" i="27" s="1"/>
  <c r="Z22" i="27"/>
  <c r="AH22" i="27" s="1"/>
  <c r="Y22" i="27"/>
  <c r="AG22" i="27" s="1"/>
  <c r="X22" i="27"/>
  <c r="AF22" i="27" s="1"/>
  <c r="AE21" i="27"/>
  <c r="AM21" i="27" s="1"/>
  <c r="AD21" i="27"/>
  <c r="AL21" i="27" s="1"/>
  <c r="AC21" i="27"/>
  <c r="AK21" i="27" s="1"/>
  <c r="AB21" i="27"/>
  <c r="AJ21" i="27" s="1"/>
  <c r="AA21" i="27"/>
  <c r="AI21" i="27" s="1"/>
  <c r="Z21" i="27"/>
  <c r="AH21" i="27" s="1"/>
  <c r="Y21" i="27"/>
  <c r="AG21" i="27" s="1"/>
  <c r="X21" i="27"/>
  <c r="AF21" i="27" s="1"/>
  <c r="AE20" i="27"/>
  <c r="AM20" i="27" s="1"/>
  <c r="AD20" i="27"/>
  <c r="AL20" i="27" s="1"/>
  <c r="AC20" i="27"/>
  <c r="AK20" i="27" s="1"/>
  <c r="AB20" i="27"/>
  <c r="AJ20" i="27" s="1"/>
  <c r="AA20" i="27"/>
  <c r="AI20" i="27" s="1"/>
  <c r="Z20" i="27"/>
  <c r="AH20" i="27" s="1"/>
  <c r="Y20" i="27"/>
  <c r="AG20" i="27" s="1"/>
  <c r="X20" i="27"/>
  <c r="AF20" i="27" s="1"/>
  <c r="AE19" i="27"/>
  <c r="AM19" i="27" s="1"/>
  <c r="AD19" i="27"/>
  <c r="AL19" i="27" s="1"/>
  <c r="AC19" i="27"/>
  <c r="AK19" i="27" s="1"/>
  <c r="AB19" i="27"/>
  <c r="AJ19" i="27" s="1"/>
  <c r="AA19" i="27"/>
  <c r="AI19" i="27" s="1"/>
  <c r="Z19" i="27"/>
  <c r="AH19" i="27" s="1"/>
  <c r="Y19" i="27"/>
  <c r="AG19" i="27" s="1"/>
  <c r="X19" i="27"/>
  <c r="AF19" i="27" s="1"/>
  <c r="AE18" i="27"/>
  <c r="AM18" i="27" s="1"/>
  <c r="AD18" i="27"/>
  <c r="AL18" i="27" s="1"/>
  <c r="AC18" i="27"/>
  <c r="AK18" i="27" s="1"/>
  <c r="AB18" i="27"/>
  <c r="AJ18" i="27" s="1"/>
  <c r="AA18" i="27"/>
  <c r="AI18" i="27" s="1"/>
  <c r="Z18" i="27"/>
  <c r="AH18" i="27" s="1"/>
  <c r="Y18" i="27"/>
  <c r="AG18" i="27" s="1"/>
  <c r="X18" i="27"/>
  <c r="AF18" i="27" s="1"/>
  <c r="AE17" i="27"/>
  <c r="AM17" i="27" s="1"/>
  <c r="AD17" i="27"/>
  <c r="AL17" i="27" s="1"/>
  <c r="AC17" i="27"/>
  <c r="AK17" i="27" s="1"/>
  <c r="AB17" i="27"/>
  <c r="AJ17" i="27" s="1"/>
  <c r="AA17" i="27"/>
  <c r="AI17" i="27" s="1"/>
  <c r="Z17" i="27"/>
  <c r="AH17" i="27" s="1"/>
  <c r="Y17" i="27"/>
  <c r="AG17" i="27" s="1"/>
  <c r="X17" i="27"/>
  <c r="AF17" i="27" s="1"/>
  <c r="AE16" i="27"/>
  <c r="AM16" i="27" s="1"/>
  <c r="AD16" i="27"/>
  <c r="AL16" i="27" s="1"/>
  <c r="AC16" i="27"/>
  <c r="AK16" i="27" s="1"/>
  <c r="AB16" i="27"/>
  <c r="AJ16" i="27" s="1"/>
  <c r="AA16" i="27"/>
  <c r="AI16" i="27" s="1"/>
  <c r="Z16" i="27"/>
  <c r="AH16" i="27" s="1"/>
  <c r="Y16" i="27"/>
  <c r="AG16" i="27" s="1"/>
  <c r="X16" i="27"/>
  <c r="AF16" i="27" s="1"/>
  <c r="AE15" i="27"/>
  <c r="AM15" i="27" s="1"/>
  <c r="AD15" i="27"/>
  <c r="AL15" i="27" s="1"/>
  <c r="AC15" i="27"/>
  <c r="AK15" i="27" s="1"/>
  <c r="AB15" i="27"/>
  <c r="AJ15" i="27" s="1"/>
  <c r="AA15" i="27"/>
  <c r="AI15" i="27" s="1"/>
  <c r="Z15" i="27"/>
  <c r="AH15" i="27" s="1"/>
  <c r="Y15" i="27"/>
  <c r="AG15" i="27" s="1"/>
  <c r="X15" i="27"/>
  <c r="AF15" i="27" s="1"/>
  <c r="AE14" i="27"/>
  <c r="AM14" i="27" s="1"/>
  <c r="AD14" i="27"/>
  <c r="AL14" i="27" s="1"/>
  <c r="AC14" i="27"/>
  <c r="AK14" i="27" s="1"/>
  <c r="AB14" i="27"/>
  <c r="AJ14" i="27" s="1"/>
  <c r="AA14" i="27"/>
  <c r="AI14" i="27" s="1"/>
  <c r="Z14" i="27"/>
  <c r="AH14" i="27" s="1"/>
  <c r="Y14" i="27"/>
  <c r="AG14" i="27" s="1"/>
  <c r="X14" i="27"/>
  <c r="AF14" i="27" s="1"/>
  <c r="AE13" i="27"/>
  <c r="AM13" i="27" s="1"/>
  <c r="AD13" i="27"/>
  <c r="AL13" i="27" s="1"/>
  <c r="AC13" i="27"/>
  <c r="AK13" i="27" s="1"/>
  <c r="AB13" i="27"/>
  <c r="AJ13" i="27" s="1"/>
  <c r="AA13" i="27"/>
  <c r="AI13" i="27" s="1"/>
  <c r="Z13" i="27"/>
  <c r="AH13" i="27" s="1"/>
  <c r="Y13" i="27"/>
  <c r="AG13" i="27" s="1"/>
  <c r="X13" i="27"/>
  <c r="AF13" i="27" s="1"/>
  <c r="D71" i="27" l="1"/>
  <c r="E70" i="27" s="1"/>
  <c r="G70" i="27" s="1"/>
  <c r="AO57" i="27"/>
  <c r="AQ57" i="27" s="1"/>
  <c r="AO23" i="27"/>
  <c r="AQ23" i="27" s="1"/>
  <c r="AN23" i="27"/>
  <c r="AP23" i="27" s="1"/>
  <c r="AO25" i="27"/>
  <c r="AQ25" i="27" s="1"/>
  <c r="AN25" i="27"/>
  <c r="AP25" i="27" s="1"/>
  <c r="AO30" i="27"/>
  <c r="AQ30" i="27" s="1"/>
  <c r="AN30" i="27"/>
  <c r="AP30" i="27" s="1"/>
  <c r="AO53" i="27"/>
  <c r="AQ53" i="27" s="1"/>
  <c r="AN53" i="27"/>
  <c r="AP53" i="27" s="1"/>
  <c r="AO21" i="27"/>
  <c r="AQ21" i="27" s="1"/>
  <c r="AN21" i="27"/>
  <c r="AP21" i="27" s="1"/>
  <c r="AO27" i="27"/>
  <c r="AQ27" i="27" s="1"/>
  <c r="AN27" i="27"/>
  <c r="AP27" i="27" s="1"/>
  <c r="AO32" i="27"/>
  <c r="AQ32" i="27" s="1"/>
  <c r="AN32" i="27"/>
  <c r="AP32" i="27" s="1"/>
  <c r="AO34" i="27"/>
  <c r="AQ34" i="27" s="1"/>
  <c r="AN34" i="27"/>
  <c r="AP34" i="27" s="1"/>
  <c r="AO38" i="27"/>
  <c r="AQ38" i="27" s="1"/>
  <c r="AN38" i="27"/>
  <c r="AP38" i="27" s="1"/>
  <c r="AO45" i="27"/>
  <c r="AQ45" i="27" s="1"/>
  <c r="AN45" i="27"/>
  <c r="AP45" i="27" s="1"/>
  <c r="AO19" i="27"/>
  <c r="AQ19" i="27" s="1"/>
  <c r="AN19" i="27"/>
  <c r="AP19" i="27" s="1"/>
  <c r="AO13" i="27"/>
  <c r="AQ13" i="27" s="1"/>
  <c r="AN13" i="27"/>
  <c r="AP13" i="27" s="1"/>
  <c r="AO14" i="27"/>
  <c r="AQ14" i="27" s="1"/>
  <c r="AN14" i="27"/>
  <c r="AP14" i="27" s="1"/>
  <c r="AO15" i="27"/>
  <c r="AQ15" i="27" s="1"/>
  <c r="AN15" i="27"/>
  <c r="AP15" i="27" s="1"/>
  <c r="AN16" i="27"/>
  <c r="AP16" i="27" s="1"/>
  <c r="AO16" i="27"/>
  <c r="AQ16" i="27" s="1"/>
  <c r="AO17" i="27"/>
  <c r="AQ17" i="27" s="1"/>
  <c r="AN17" i="27"/>
  <c r="AP17" i="27" s="1"/>
  <c r="AO42" i="27"/>
  <c r="AQ42" i="27" s="1"/>
  <c r="AN42" i="27"/>
  <c r="AP42" i="27" s="1"/>
  <c r="AO29" i="27"/>
  <c r="AQ29" i="27" s="1"/>
  <c r="AN29" i="27"/>
  <c r="AP29" i="27" s="1"/>
  <c r="AO36" i="27"/>
  <c r="AQ36" i="27" s="1"/>
  <c r="AN36" i="27"/>
  <c r="AP36" i="27" s="1"/>
  <c r="AO26" i="27"/>
  <c r="AQ26" i="27" s="1"/>
  <c r="AN26" i="27"/>
  <c r="AP26" i="27" s="1"/>
  <c r="AN35" i="27"/>
  <c r="AP35" i="27" s="1"/>
  <c r="AO35" i="27"/>
  <c r="AQ35" i="27" s="1"/>
  <c r="AO40" i="27"/>
  <c r="AQ40" i="27" s="1"/>
  <c r="AN40" i="27"/>
  <c r="AP40" i="27" s="1"/>
  <c r="AR40" i="27" s="1"/>
  <c r="AS40" i="27" s="1"/>
  <c r="AO51" i="27"/>
  <c r="AQ51" i="27" s="1"/>
  <c r="AN51" i="27"/>
  <c r="AP51" i="27" s="1"/>
  <c r="AO54" i="27"/>
  <c r="AQ54" i="27" s="1"/>
  <c r="AN54" i="27"/>
  <c r="AP54" i="27" s="1"/>
  <c r="AN57" i="27"/>
  <c r="AP57" i="27" s="1"/>
  <c r="AO20" i="27"/>
  <c r="AQ20" i="27" s="1"/>
  <c r="AN20" i="27"/>
  <c r="AP20" i="27" s="1"/>
  <c r="AO43" i="27"/>
  <c r="AQ43" i="27" s="1"/>
  <c r="AN43" i="27"/>
  <c r="AP43" i="27" s="1"/>
  <c r="AO47" i="27"/>
  <c r="AQ47" i="27" s="1"/>
  <c r="AN47" i="27"/>
  <c r="AP47" i="27" s="1"/>
  <c r="AN18" i="27"/>
  <c r="AP18" i="27" s="1"/>
  <c r="AO18" i="27"/>
  <c r="AQ18" i="27" s="1"/>
  <c r="AO24" i="27"/>
  <c r="AQ24" i="27" s="1"/>
  <c r="AN24" i="27"/>
  <c r="AP24" i="27" s="1"/>
  <c r="AO33" i="27"/>
  <c r="AQ33" i="27" s="1"/>
  <c r="AN33" i="27"/>
  <c r="AP33" i="27" s="1"/>
  <c r="AO55" i="27"/>
  <c r="AQ55" i="27" s="1"/>
  <c r="AN55" i="27"/>
  <c r="AP55" i="27" s="1"/>
  <c r="AO22" i="27"/>
  <c r="AQ22" i="27" s="1"/>
  <c r="AN22" i="27"/>
  <c r="AP22" i="27" s="1"/>
  <c r="AO31" i="27"/>
  <c r="AQ31" i="27" s="1"/>
  <c r="AN31" i="27"/>
  <c r="AP31" i="27" s="1"/>
  <c r="AO39" i="27"/>
  <c r="AQ39" i="27" s="1"/>
  <c r="AN39" i="27"/>
  <c r="AP39" i="27" s="1"/>
  <c r="AO46" i="27"/>
  <c r="AQ46" i="27" s="1"/>
  <c r="AN46" i="27"/>
  <c r="AP46" i="27" s="1"/>
  <c r="AO49" i="27"/>
  <c r="AQ49" i="27" s="1"/>
  <c r="AN49" i="27"/>
  <c r="AP49" i="27" s="1"/>
  <c r="AO59" i="27"/>
  <c r="AQ59" i="27" s="1"/>
  <c r="AN59" i="27"/>
  <c r="AP59" i="27" s="1"/>
  <c r="AO52" i="27"/>
  <c r="AQ52" i="27" s="1"/>
  <c r="AN52" i="27"/>
  <c r="AP52" i="27" s="1"/>
  <c r="AO37" i="27"/>
  <c r="AQ37" i="27" s="1"/>
  <c r="AN37" i="27"/>
  <c r="AP37" i="27" s="1"/>
  <c r="AO41" i="27"/>
  <c r="AQ41" i="27" s="1"/>
  <c r="AN41" i="27"/>
  <c r="AP41" i="27" s="1"/>
  <c r="AO50" i="27"/>
  <c r="AQ50" i="27" s="1"/>
  <c r="AN50" i="27"/>
  <c r="AP50" i="27" s="1"/>
  <c r="AO58" i="27"/>
  <c r="AQ58" i="27" s="1"/>
  <c r="AN58" i="27"/>
  <c r="AP58" i="27" s="1"/>
  <c r="AO48" i="27"/>
  <c r="AQ48" i="27" s="1"/>
  <c r="AN48" i="27"/>
  <c r="AP48" i="27" s="1"/>
  <c r="AO56" i="27"/>
  <c r="AQ56" i="27" s="1"/>
  <c r="AN56" i="27"/>
  <c r="AP56" i="27" s="1"/>
  <c r="AR42" i="27" l="1"/>
  <c r="AS42" i="27" s="1"/>
  <c r="AR51" i="27"/>
  <c r="AS51" i="27" s="1"/>
  <c r="AR54" i="27"/>
  <c r="AS54" i="27" s="1"/>
  <c r="AR53" i="27"/>
  <c r="AS53" i="27" s="1"/>
  <c r="AR29" i="27"/>
  <c r="AS29" i="27" s="1"/>
  <c r="AR45" i="27"/>
  <c r="AS45" i="27" s="1"/>
  <c r="AR32" i="27"/>
  <c r="AS32" i="27" s="1"/>
  <c r="AR34" i="27"/>
  <c r="AS34" i="27" s="1"/>
  <c r="AR30" i="27"/>
  <c r="AS30" i="27" s="1"/>
  <c r="AR36" i="27"/>
  <c r="AS36" i="27" s="1"/>
  <c r="AR38" i="27"/>
  <c r="AS38" i="27" s="1"/>
  <c r="E67" i="27"/>
  <c r="G67" i="27" s="1"/>
  <c r="E68" i="27"/>
  <c r="G68" i="27" s="1"/>
  <c r="E69" i="27"/>
  <c r="G69" i="27" s="1"/>
  <c r="AR19" i="27"/>
  <c r="AS19" i="27" s="1"/>
  <c r="AR21" i="27"/>
  <c r="AS21" i="27" s="1"/>
  <c r="AR23" i="27"/>
  <c r="AS23" i="27" s="1"/>
  <c r="AR26" i="27"/>
  <c r="AS26" i="27" s="1"/>
  <c r="AR27" i="27"/>
  <c r="AS27" i="27" s="1"/>
  <c r="AR25" i="27"/>
  <c r="AS25" i="27" s="1"/>
  <c r="AR18" i="27"/>
  <c r="AS18" i="27" s="1"/>
  <c r="AR17" i="27"/>
  <c r="AS17" i="27" s="1"/>
  <c r="AR14" i="27"/>
  <c r="AS14" i="27" s="1"/>
  <c r="AR15" i="27"/>
  <c r="AS15" i="27" s="1"/>
  <c r="AR13" i="27"/>
  <c r="AR57" i="27"/>
  <c r="AS57" i="27" s="1"/>
  <c r="AR48" i="27"/>
  <c r="AS48" i="27" s="1"/>
  <c r="AR50" i="27"/>
  <c r="AS50" i="27" s="1"/>
  <c r="AR37" i="27"/>
  <c r="AS37" i="27" s="1"/>
  <c r="AR59" i="27"/>
  <c r="AS59" i="27" s="1"/>
  <c r="AR46" i="27"/>
  <c r="AS46" i="27" s="1"/>
  <c r="AR31" i="27"/>
  <c r="AS31" i="27" s="1"/>
  <c r="AR55" i="27"/>
  <c r="AS55" i="27" s="1"/>
  <c r="AR24" i="27"/>
  <c r="AS24" i="27" s="1"/>
  <c r="AR47" i="27"/>
  <c r="AS47" i="27" s="1"/>
  <c r="AR20" i="27"/>
  <c r="AS20" i="27" s="1"/>
  <c r="AR56" i="27"/>
  <c r="AS56" i="27" s="1"/>
  <c r="AR58" i="27"/>
  <c r="AS58" i="27" s="1"/>
  <c r="AR41" i="27"/>
  <c r="AS41" i="27" s="1"/>
  <c r="AR52" i="27"/>
  <c r="AS52" i="27" s="1"/>
  <c r="AR49" i="27"/>
  <c r="AS49" i="27" s="1"/>
  <c r="AR39" i="27"/>
  <c r="AS39" i="27" s="1"/>
  <c r="AR22" i="27"/>
  <c r="AS22" i="27" s="1"/>
  <c r="AR33" i="27"/>
  <c r="AS33" i="27" s="1"/>
  <c r="AR43" i="27"/>
  <c r="AS43" i="27" s="1"/>
  <c r="AR35" i="27"/>
  <c r="AS35" i="27" s="1"/>
  <c r="AR16" i="27"/>
  <c r="AS16" i="27" s="1"/>
  <c r="C71" i="26"/>
  <c r="D70" i="26" s="1"/>
  <c r="F70" i="26" s="1"/>
  <c r="AX60" i="26"/>
  <c r="AW60" i="26"/>
  <c r="AV60" i="26"/>
  <c r="AU60" i="26"/>
  <c r="AD59" i="26"/>
  <c r="AL59" i="26" s="1"/>
  <c r="AC59" i="26"/>
  <c r="AK59" i="26" s="1"/>
  <c r="AB59" i="26"/>
  <c r="AJ59" i="26" s="1"/>
  <c r="AA59" i="26"/>
  <c r="AI59" i="26" s="1"/>
  <c r="Z59" i="26"/>
  <c r="AH59" i="26" s="1"/>
  <c r="Y59" i="26"/>
  <c r="AG59" i="26" s="1"/>
  <c r="X59" i="26"/>
  <c r="AF59" i="26" s="1"/>
  <c r="W59" i="26"/>
  <c r="AE59" i="26" s="1"/>
  <c r="AD58" i="26"/>
  <c r="AL58" i="26" s="1"/>
  <c r="AC58" i="26"/>
  <c r="AK58" i="26" s="1"/>
  <c r="AB58" i="26"/>
  <c r="AJ58" i="26" s="1"/>
  <c r="AA58" i="26"/>
  <c r="AI58" i="26" s="1"/>
  <c r="Z58" i="26"/>
  <c r="AH58" i="26" s="1"/>
  <c r="Y58" i="26"/>
  <c r="AG58" i="26" s="1"/>
  <c r="X58" i="26"/>
  <c r="AF58" i="26" s="1"/>
  <c r="W58" i="26"/>
  <c r="AE58" i="26" s="1"/>
  <c r="AD57" i="26"/>
  <c r="AL57" i="26" s="1"/>
  <c r="AC57" i="26"/>
  <c r="AK57" i="26" s="1"/>
  <c r="AB57" i="26"/>
  <c r="AJ57" i="26" s="1"/>
  <c r="AA57" i="26"/>
  <c r="AI57" i="26" s="1"/>
  <c r="Z57" i="26"/>
  <c r="AH57" i="26" s="1"/>
  <c r="Y57" i="26"/>
  <c r="AG57" i="26" s="1"/>
  <c r="X57" i="26"/>
  <c r="AF57" i="26" s="1"/>
  <c r="W57" i="26"/>
  <c r="AE57" i="26" s="1"/>
  <c r="AD56" i="26"/>
  <c r="AL56" i="26" s="1"/>
  <c r="AC56" i="26"/>
  <c r="AK56" i="26" s="1"/>
  <c r="AB56" i="26"/>
  <c r="AJ56" i="26" s="1"/>
  <c r="AA56" i="26"/>
  <c r="AI56" i="26" s="1"/>
  <c r="Z56" i="26"/>
  <c r="AH56" i="26" s="1"/>
  <c r="Y56" i="26"/>
  <c r="AG56" i="26" s="1"/>
  <c r="X56" i="26"/>
  <c r="AF56" i="26" s="1"/>
  <c r="W56" i="26"/>
  <c r="AE56" i="26" s="1"/>
  <c r="AD55" i="26"/>
  <c r="AL55" i="26" s="1"/>
  <c r="AC55" i="26"/>
  <c r="AK55" i="26" s="1"/>
  <c r="AB55" i="26"/>
  <c r="AJ55" i="26" s="1"/>
  <c r="AA55" i="26"/>
  <c r="AI55" i="26" s="1"/>
  <c r="Z55" i="26"/>
  <c r="AH55" i="26" s="1"/>
  <c r="Y55" i="26"/>
  <c r="AG55" i="26" s="1"/>
  <c r="X55" i="26"/>
  <c r="AF55" i="26" s="1"/>
  <c r="W55" i="26"/>
  <c r="AE55" i="26" s="1"/>
  <c r="AD54" i="26"/>
  <c r="AL54" i="26" s="1"/>
  <c r="AC54" i="26"/>
  <c r="AK54" i="26" s="1"/>
  <c r="AB54" i="26"/>
  <c r="AJ54" i="26" s="1"/>
  <c r="AA54" i="26"/>
  <c r="AI54" i="26" s="1"/>
  <c r="Z54" i="26"/>
  <c r="AH54" i="26" s="1"/>
  <c r="Y54" i="26"/>
  <c r="AG54" i="26" s="1"/>
  <c r="X54" i="26"/>
  <c r="AF54" i="26" s="1"/>
  <c r="W54" i="26"/>
  <c r="AE54" i="26" s="1"/>
  <c r="AD53" i="26"/>
  <c r="AL53" i="26" s="1"/>
  <c r="AC53" i="26"/>
  <c r="AK53" i="26" s="1"/>
  <c r="AB53" i="26"/>
  <c r="AJ53" i="26" s="1"/>
  <c r="AA53" i="26"/>
  <c r="AI53" i="26" s="1"/>
  <c r="Z53" i="26"/>
  <c r="AH53" i="26" s="1"/>
  <c r="Y53" i="26"/>
  <c r="AG53" i="26" s="1"/>
  <c r="X53" i="26"/>
  <c r="AF53" i="26" s="1"/>
  <c r="W53" i="26"/>
  <c r="AE53" i="26" s="1"/>
  <c r="AD52" i="26"/>
  <c r="AL52" i="26" s="1"/>
  <c r="AC52" i="26"/>
  <c r="AK52" i="26" s="1"/>
  <c r="AB52" i="26"/>
  <c r="AJ52" i="26" s="1"/>
  <c r="AA52" i="26"/>
  <c r="AI52" i="26" s="1"/>
  <c r="Z52" i="26"/>
  <c r="AH52" i="26" s="1"/>
  <c r="Y52" i="26"/>
  <c r="AG52" i="26" s="1"/>
  <c r="X52" i="26"/>
  <c r="AF52" i="26" s="1"/>
  <c r="W52" i="26"/>
  <c r="AE52" i="26" s="1"/>
  <c r="AH51" i="26"/>
  <c r="AD51" i="26"/>
  <c r="AL51" i="26" s="1"/>
  <c r="AC51" i="26"/>
  <c r="AK51" i="26" s="1"/>
  <c r="AB51" i="26"/>
  <c r="AJ51" i="26" s="1"/>
  <c r="AA51" i="26"/>
  <c r="AI51" i="26" s="1"/>
  <c r="Z51" i="26"/>
  <c r="Y51" i="26"/>
  <c r="AG51" i="26" s="1"/>
  <c r="X51" i="26"/>
  <c r="AF51" i="26" s="1"/>
  <c r="W51" i="26"/>
  <c r="AE51" i="26" s="1"/>
  <c r="AD50" i="26"/>
  <c r="AL50" i="26" s="1"/>
  <c r="AC50" i="26"/>
  <c r="AK50" i="26" s="1"/>
  <c r="AB50" i="26"/>
  <c r="AJ50" i="26" s="1"/>
  <c r="AA50" i="26"/>
  <c r="AI50" i="26" s="1"/>
  <c r="Z50" i="26"/>
  <c r="AH50" i="26" s="1"/>
  <c r="Y50" i="26"/>
  <c r="AG50" i="26" s="1"/>
  <c r="X50" i="26"/>
  <c r="AF50" i="26" s="1"/>
  <c r="W50" i="26"/>
  <c r="AE50" i="26" s="1"/>
  <c r="AD49" i="26"/>
  <c r="AL49" i="26" s="1"/>
  <c r="AC49" i="26"/>
  <c r="AK49" i="26" s="1"/>
  <c r="AB49" i="26"/>
  <c r="AJ49" i="26" s="1"/>
  <c r="AA49" i="26"/>
  <c r="AI49" i="26" s="1"/>
  <c r="Z49" i="26"/>
  <c r="AH49" i="26" s="1"/>
  <c r="Y49" i="26"/>
  <c r="AG49" i="26" s="1"/>
  <c r="X49" i="26"/>
  <c r="AF49" i="26" s="1"/>
  <c r="W49" i="26"/>
  <c r="AE49" i="26" s="1"/>
  <c r="AD48" i="26"/>
  <c r="AL48" i="26" s="1"/>
  <c r="AC48" i="26"/>
  <c r="AK48" i="26" s="1"/>
  <c r="AB48" i="26"/>
  <c r="AJ48" i="26" s="1"/>
  <c r="AA48" i="26"/>
  <c r="AI48" i="26" s="1"/>
  <c r="Z48" i="26"/>
  <c r="AH48" i="26" s="1"/>
  <c r="Y48" i="26"/>
  <c r="AG48" i="26" s="1"/>
  <c r="X48" i="26"/>
  <c r="AF48" i="26" s="1"/>
  <c r="W48" i="26"/>
  <c r="AE48" i="26" s="1"/>
  <c r="AD47" i="26"/>
  <c r="AL47" i="26" s="1"/>
  <c r="AC47" i="26"/>
  <c r="AK47" i="26" s="1"/>
  <c r="AB47" i="26"/>
  <c r="AJ47" i="26" s="1"/>
  <c r="AA47" i="26"/>
  <c r="AI47" i="26" s="1"/>
  <c r="Z47" i="26"/>
  <c r="AH47" i="26" s="1"/>
  <c r="Y47" i="26"/>
  <c r="AG47" i="26" s="1"/>
  <c r="X47" i="26"/>
  <c r="AF47" i="26" s="1"/>
  <c r="W47" i="26"/>
  <c r="AE47" i="26" s="1"/>
  <c r="AD46" i="26"/>
  <c r="AL46" i="26" s="1"/>
  <c r="AC46" i="26"/>
  <c r="AK46" i="26" s="1"/>
  <c r="AB46" i="26"/>
  <c r="AJ46" i="26" s="1"/>
  <c r="AA46" i="26"/>
  <c r="AI46" i="26" s="1"/>
  <c r="Z46" i="26"/>
  <c r="AH46" i="26" s="1"/>
  <c r="Y46" i="26"/>
  <c r="AG46" i="26" s="1"/>
  <c r="X46" i="26"/>
  <c r="AF46" i="26" s="1"/>
  <c r="W46" i="26"/>
  <c r="AE46" i="26" s="1"/>
  <c r="AH45" i="26"/>
  <c r="AD45" i="26"/>
  <c r="AL45" i="26" s="1"/>
  <c r="AC45" i="26"/>
  <c r="AK45" i="26" s="1"/>
  <c r="AB45" i="26"/>
  <c r="AJ45" i="26" s="1"/>
  <c r="AA45" i="26"/>
  <c r="AI45" i="26" s="1"/>
  <c r="Z45" i="26"/>
  <c r="Y45" i="26"/>
  <c r="AG45" i="26" s="1"/>
  <c r="X45" i="26"/>
  <c r="AF45" i="26" s="1"/>
  <c r="W45" i="26"/>
  <c r="AE45" i="26" s="1"/>
  <c r="AR44" i="26"/>
  <c r="AD43" i="26"/>
  <c r="AL43" i="26" s="1"/>
  <c r="AC43" i="26"/>
  <c r="AK43" i="26" s="1"/>
  <c r="AB43" i="26"/>
  <c r="AJ43" i="26" s="1"/>
  <c r="AA43" i="26"/>
  <c r="AI43" i="26" s="1"/>
  <c r="Z43" i="26"/>
  <c r="AH43" i="26" s="1"/>
  <c r="Y43" i="26"/>
  <c r="AG43" i="26" s="1"/>
  <c r="X43" i="26"/>
  <c r="AF43" i="26" s="1"/>
  <c r="W43" i="26"/>
  <c r="AE43" i="26" s="1"/>
  <c r="AI42" i="26"/>
  <c r="AD42" i="26"/>
  <c r="AL42" i="26" s="1"/>
  <c r="AC42" i="26"/>
  <c r="AK42" i="26" s="1"/>
  <c r="AB42" i="26"/>
  <c r="AJ42" i="26" s="1"/>
  <c r="AA42" i="26"/>
  <c r="Z42" i="26"/>
  <c r="AH42" i="26" s="1"/>
  <c r="Y42" i="26"/>
  <c r="AG42" i="26" s="1"/>
  <c r="X42" i="26"/>
  <c r="AF42" i="26" s="1"/>
  <c r="W42" i="26"/>
  <c r="AE42" i="26" s="1"/>
  <c r="AD41" i="26"/>
  <c r="AL41" i="26" s="1"/>
  <c r="AC41" i="26"/>
  <c r="AK41" i="26" s="1"/>
  <c r="AB41" i="26"/>
  <c r="AJ41" i="26" s="1"/>
  <c r="AA41" i="26"/>
  <c r="AI41" i="26" s="1"/>
  <c r="Z41" i="26"/>
  <c r="AH41" i="26" s="1"/>
  <c r="Y41" i="26"/>
  <c r="AG41" i="26" s="1"/>
  <c r="X41" i="26"/>
  <c r="AF41" i="26" s="1"/>
  <c r="W41" i="26"/>
  <c r="AE41" i="26" s="1"/>
  <c r="AK40" i="26"/>
  <c r="AG40" i="26"/>
  <c r="AD40" i="26"/>
  <c r="AL40" i="26" s="1"/>
  <c r="AC40" i="26"/>
  <c r="AB40" i="26"/>
  <c r="AJ40" i="26" s="1"/>
  <c r="AA40" i="26"/>
  <c r="AI40" i="26" s="1"/>
  <c r="Z40" i="26"/>
  <c r="AH40" i="26" s="1"/>
  <c r="Y40" i="26"/>
  <c r="X40" i="26"/>
  <c r="AF40" i="26" s="1"/>
  <c r="W40" i="26"/>
  <c r="AE40" i="26" s="1"/>
  <c r="AD39" i="26"/>
  <c r="AL39" i="26" s="1"/>
  <c r="AC39" i="26"/>
  <c r="AK39" i="26" s="1"/>
  <c r="AB39" i="26"/>
  <c r="AJ39" i="26" s="1"/>
  <c r="AA39" i="26"/>
  <c r="AI39" i="26" s="1"/>
  <c r="Z39" i="26"/>
  <c r="AH39" i="26" s="1"/>
  <c r="Y39" i="26"/>
  <c r="AG39" i="26" s="1"/>
  <c r="X39" i="26"/>
  <c r="AF39" i="26" s="1"/>
  <c r="W39" i="26"/>
  <c r="AE39" i="26" s="1"/>
  <c r="AD38" i="26"/>
  <c r="AL38" i="26" s="1"/>
  <c r="AC38" i="26"/>
  <c r="AK38" i="26" s="1"/>
  <c r="AB38" i="26"/>
  <c r="AJ38" i="26" s="1"/>
  <c r="AA38" i="26"/>
  <c r="AI38" i="26" s="1"/>
  <c r="Z38" i="26"/>
  <c r="AH38" i="26" s="1"/>
  <c r="Y38" i="26"/>
  <c r="AG38" i="26" s="1"/>
  <c r="X38" i="26"/>
  <c r="AF38" i="26" s="1"/>
  <c r="W38" i="26"/>
  <c r="AE38" i="26" s="1"/>
  <c r="AD37" i="26"/>
  <c r="AL37" i="26" s="1"/>
  <c r="AC37" i="26"/>
  <c r="AK37" i="26" s="1"/>
  <c r="AB37" i="26"/>
  <c r="AJ37" i="26" s="1"/>
  <c r="AA37" i="26"/>
  <c r="AI37" i="26" s="1"/>
  <c r="Z37" i="26"/>
  <c r="AH37" i="26" s="1"/>
  <c r="Y37" i="26"/>
  <c r="AG37" i="26" s="1"/>
  <c r="X37" i="26"/>
  <c r="AF37" i="26" s="1"/>
  <c r="W37" i="26"/>
  <c r="AE37" i="26" s="1"/>
  <c r="AD36" i="26"/>
  <c r="AL36" i="26" s="1"/>
  <c r="AC36" i="26"/>
  <c r="AK36" i="26" s="1"/>
  <c r="AB36" i="26"/>
  <c r="AJ36" i="26" s="1"/>
  <c r="AA36" i="26"/>
  <c r="AI36" i="26" s="1"/>
  <c r="Z36" i="26"/>
  <c r="AH36" i="26" s="1"/>
  <c r="Y36" i="26"/>
  <c r="AG36" i="26" s="1"/>
  <c r="X36" i="26"/>
  <c r="AF36" i="26" s="1"/>
  <c r="W36" i="26"/>
  <c r="AE36" i="26" s="1"/>
  <c r="AJ35" i="26"/>
  <c r="AD35" i="26"/>
  <c r="AL35" i="26" s="1"/>
  <c r="AC35" i="26"/>
  <c r="AK35" i="26" s="1"/>
  <c r="AB35" i="26"/>
  <c r="AA35" i="26"/>
  <c r="AI35" i="26" s="1"/>
  <c r="Z35" i="26"/>
  <c r="AH35" i="26" s="1"/>
  <c r="Y35" i="26"/>
  <c r="AG35" i="26" s="1"/>
  <c r="X35" i="26"/>
  <c r="AF35" i="26" s="1"/>
  <c r="W35" i="26"/>
  <c r="AE35" i="26" s="1"/>
  <c r="AD34" i="26"/>
  <c r="AL34" i="26" s="1"/>
  <c r="AC34" i="26"/>
  <c r="AK34" i="26" s="1"/>
  <c r="AB34" i="26"/>
  <c r="AJ34" i="26" s="1"/>
  <c r="AA34" i="26"/>
  <c r="AI34" i="26" s="1"/>
  <c r="Z34" i="26"/>
  <c r="AH34" i="26" s="1"/>
  <c r="Y34" i="26"/>
  <c r="AG34" i="26" s="1"/>
  <c r="X34" i="26"/>
  <c r="AF34" i="26" s="1"/>
  <c r="W34" i="26"/>
  <c r="AE34" i="26" s="1"/>
  <c r="AD33" i="26"/>
  <c r="AL33" i="26" s="1"/>
  <c r="AC33" i="26"/>
  <c r="AK33" i="26" s="1"/>
  <c r="AB33" i="26"/>
  <c r="AJ33" i="26" s="1"/>
  <c r="AA33" i="26"/>
  <c r="AI33" i="26" s="1"/>
  <c r="Z33" i="26"/>
  <c r="AH33" i="26" s="1"/>
  <c r="Y33" i="26"/>
  <c r="AG33" i="26" s="1"/>
  <c r="X33" i="26"/>
  <c r="AF33" i="26" s="1"/>
  <c r="W33" i="26"/>
  <c r="AE33" i="26" s="1"/>
  <c r="AD32" i="26"/>
  <c r="AL32" i="26" s="1"/>
  <c r="AC32" i="26"/>
  <c r="AK32" i="26" s="1"/>
  <c r="AB32" i="26"/>
  <c r="AJ32" i="26" s="1"/>
  <c r="AA32" i="26"/>
  <c r="AI32" i="26" s="1"/>
  <c r="Z32" i="26"/>
  <c r="AH32" i="26" s="1"/>
  <c r="Y32" i="26"/>
  <c r="AG32" i="26" s="1"/>
  <c r="X32" i="26"/>
  <c r="AF32" i="26" s="1"/>
  <c r="W32" i="26"/>
  <c r="AE32" i="26" s="1"/>
  <c r="AD31" i="26"/>
  <c r="AL31" i="26" s="1"/>
  <c r="AC31" i="26"/>
  <c r="AK31" i="26" s="1"/>
  <c r="AB31" i="26"/>
  <c r="AJ31" i="26" s="1"/>
  <c r="AA31" i="26"/>
  <c r="AI31" i="26" s="1"/>
  <c r="Z31" i="26"/>
  <c r="AH31" i="26" s="1"/>
  <c r="Y31" i="26"/>
  <c r="AG31" i="26" s="1"/>
  <c r="X31" i="26"/>
  <c r="AF31" i="26" s="1"/>
  <c r="W31" i="26"/>
  <c r="AE31" i="26" s="1"/>
  <c r="AD30" i="26"/>
  <c r="AL30" i="26" s="1"/>
  <c r="AC30" i="26"/>
  <c r="AK30" i="26" s="1"/>
  <c r="AB30" i="26"/>
  <c r="AJ30" i="26" s="1"/>
  <c r="AA30" i="26"/>
  <c r="AI30" i="26" s="1"/>
  <c r="Z30" i="26"/>
  <c r="AH30" i="26" s="1"/>
  <c r="Y30" i="26"/>
  <c r="AG30" i="26" s="1"/>
  <c r="X30" i="26"/>
  <c r="AF30" i="26" s="1"/>
  <c r="W30" i="26"/>
  <c r="AE30" i="26" s="1"/>
  <c r="AD29" i="26"/>
  <c r="AL29" i="26" s="1"/>
  <c r="AC29" i="26"/>
  <c r="AK29" i="26" s="1"/>
  <c r="AB29" i="26"/>
  <c r="AJ29" i="26" s="1"/>
  <c r="AA29" i="26"/>
  <c r="AI29" i="26" s="1"/>
  <c r="Z29" i="26"/>
  <c r="AH29" i="26" s="1"/>
  <c r="Y29" i="26"/>
  <c r="AG29" i="26" s="1"/>
  <c r="X29" i="26"/>
  <c r="AF29" i="26" s="1"/>
  <c r="W29" i="26"/>
  <c r="AE29" i="26" s="1"/>
  <c r="AK27" i="26"/>
  <c r="AD27" i="26"/>
  <c r="AL27" i="26" s="1"/>
  <c r="AC27" i="26"/>
  <c r="AB27" i="26"/>
  <c r="AJ27" i="26" s="1"/>
  <c r="AA27" i="26"/>
  <c r="AI27" i="26" s="1"/>
  <c r="Z27" i="26"/>
  <c r="AH27" i="26" s="1"/>
  <c r="Y27" i="26"/>
  <c r="AG27" i="26" s="1"/>
  <c r="X27" i="26"/>
  <c r="AF27" i="26" s="1"/>
  <c r="W27" i="26"/>
  <c r="AE27" i="26" s="1"/>
  <c r="AD26" i="26"/>
  <c r="AL26" i="26" s="1"/>
  <c r="AC26" i="26"/>
  <c r="AK26" i="26" s="1"/>
  <c r="AB26" i="26"/>
  <c r="AJ26" i="26" s="1"/>
  <c r="AA26" i="26"/>
  <c r="AI26" i="26" s="1"/>
  <c r="Z26" i="26"/>
  <c r="AH26" i="26" s="1"/>
  <c r="Y26" i="26"/>
  <c r="AG26" i="26" s="1"/>
  <c r="X26" i="26"/>
  <c r="AF26" i="26" s="1"/>
  <c r="W26" i="26"/>
  <c r="AE26" i="26" s="1"/>
  <c r="AD25" i="26"/>
  <c r="AL25" i="26" s="1"/>
  <c r="AC25" i="26"/>
  <c r="AK25" i="26" s="1"/>
  <c r="AB25" i="26"/>
  <c r="AJ25" i="26" s="1"/>
  <c r="AA25" i="26"/>
  <c r="AI25" i="26" s="1"/>
  <c r="Z25" i="26"/>
  <c r="AH25" i="26" s="1"/>
  <c r="Y25" i="26"/>
  <c r="AG25" i="26" s="1"/>
  <c r="X25" i="26"/>
  <c r="AF25" i="26" s="1"/>
  <c r="W25" i="26"/>
  <c r="AE25" i="26" s="1"/>
  <c r="AD24" i="26"/>
  <c r="AL24" i="26" s="1"/>
  <c r="AC24" i="26"/>
  <c r="AK24" i="26" s="1"/>
  <c r="AB24" i="26"/>
  <c r="AJ24" i="26" s="1"/>
  <c r="AA24" i="26"/>
  <c r="AI24" i="26" s="1"/>
  <c r="Z24" i="26"/>
  <c r="AH24" i="26" s="1"/>
  <c r="Y24" i="26"/>
  <c r="AG24" i="26" s="1"/>
  <c r="X24" i="26"/>
  <c r="AF24" i="26" s="1"/>
  <c r="W24" i="26"/>
  <c r="AE24" i="26" s="1"/>
  <c r="AG23" i="26"/>
  <c r="AD23" i="26"/>
  <c r="AL23" i="26" s="1"/>
  <c r="AC23" i="26"/>
  <c r="AK23" i="26" s="1"/>
  <c r="AB23" i="26"/>
  <c r="AJ23" i="26" s="1"/>
  <c r="AA23" i="26"/>
  <c r="AI23" i="26" s="1"/>
  <c r="Z23" i="26"/>
  <c r="AH23" i="26" s="1"/>
  <c r="Y23" i="26"/>
  <c r="X23" i="26"/>
  <c r="AF23" i="26" s="1"/>
  <c r="W23" i="26"/>
  <c r="AE23" i="26" s="1"/>
  <c r="AD22" i="26"/>
  <c r="AL22" i="26" s="1"/>
  <c r="AC22" i="26"/>
  <c r="AK22" i="26" s="1"/>
  <c r="AB22" i="26"/>
  <c r="AJ22" i="26" s="1"/>
  <c r="AA22" i="26"/>
  <c r="AI22" i="26" s="1"/>
  <c r="Z22" i="26"/>
  <c r="AH22" i="26" s="1"/>
  <c r="Y22" i="26"/>
  <c r="AG22" i="26" s="1"/>
  <c r="X22" i="26"/>
  <c r="AF22" i="26" s="1"/>
  <c r="W22" i="26"/>
  <c r="AE22" i="26" s="1"/>
  <c r="AD21" i="26"/>
  <c r="AL21" i="26" s="1"/>
  <c r="AC21" i="26"/>
  <c r="AK21" i="26" s="1"/>
  <c r="AB21" i="26"/>
  <c r="AJ21" i="26" s="1"/>
  <c r="AA21" i="26"/>
  <c r="AI21" i="26" s="1"/>
  <c r="Z21" i="26"/>
  <c r="AH21" i="26" s="1"/>
  <c r="Y21" i="26"/>
  <c r="AG21" i="26" s="1"/>
  <c r="X21" i="26"/>
  <c r="AF21" i="26" s="1"/>
  <c r="W21" i="26"/>
  <c r="AE21" i="26" s="1"/>
  <c r="AD20" i="26"/>
  <c r="AL20" i="26" s="1"/>
  <c r="AC20" i="26"/>
  <c r="AK20" i="26" s="1"/>
  <c r="AB20" i="26"/>
  <c r="AJ20" i="26" s="1"/>
  <c r="AA20" i="26"/>
  <c r="AI20" i="26" s="1"/>
  <c r="Z20" i="26"/>
  <c r="AH20" i="26" s="1"/>
  <c r="Y20" i="26"/>
  <c r="AG20" i="26" s="1"/>
  <c r="X20" i="26"/>
  <c r="AF20" i="26" s="1"/>
  <c r="W20" i="26"/>
  <c r="AE20" i="26" s="1"/>
  <c r="AI19" i="26"/>
  <c r="AD19" i="26"/>
  <c r="AL19" i="26" s="1"/>
  <c r="AC19" i="26"/>
  <c r="AK19" i="26" s="1"/>
  <c r="AB19" i="26"/>
  <c r="AJ19" i="26" s="1"/>
  <c r="AA19" i="26"/>
  <c r="Z19" i="26"/>
  <c r="AH19" i="26" s="1"/>
  <c r="Y19" i="26"/>
  <c r="AG19" i="26" s="1"/>
  <c r="X19" i="26"/>
  <c r="AF19" i="26" s="1"/>
  <c r="W19" i="26"/>
  <c r="AE19" i="26" s="1"/>
  <c r="AD18" i="26"/>
  <c r="AL18" i="26" s="1"/>
  <c r="AC18" i="26"/>
  <c r="AK18" i="26" s="1"/>
  <c r="AB18" i="26"/>
  <c r="AJ18" i="26" s="1"/>
  <c r="AA18" i="26"/>
  <c r="AI18" i="26" s="1"/>
  <c r="Z18" i="26"/>
  <c r="AH18" i="26" s="1"/>
  <c r="Y18" i="26"/>
  <c r="AG18" i="26" s="1"/>
  <c r="X18" i="26"/>
  <c r="AF18" i="26" s="1"/>
  <c r="W18" i="26"/>
  <c r="AE18" i="26" s="1"/>
  <c r="AI17" i="26"/>
  <c r="AG17" i="26"/>
  <c r="AD17" i="26"/>
  <c r="AL17" i="26" s="1"/>
  <c r="AC17" i="26"/>
  <c r="AK17" i="26" s="1"/>
  <c r="AB17" i="26"/>
  <c r="AJ17" i="26" s="1"/>
  <c r="AA17" i="26"/>
  <c r="Z17" i="26"/>
  <c r="AH17" i="26" s="1"/>
  <c r="Y17" i="26"/>
  <c r="X17" i="26"/>
  <c r="AF17" i="26" s="1"/>
  <c r="W17" i="26"/>
  <c r="AE17" i="26" s="1"/>
  <c r="AJ16" i="26"/>
  <c r="AD16" i="26"/>
  <c r="AL16" i="26" s="1"/>
  <c r="AC16" i="26"/>
  <c r="AK16" i="26" s="1"/>
  <c r="AB16" i="26"/>
  <c r="AA16" i="26"/>
  <c r="AI16" i="26" s="1"/>
  <c r="Z16" i="26"/>
  <c r="AH16" i="26" s="1"/>
  <c r="Y16" i="26"/>
  <c r="AG16" i="26" s="1"/>
  <c r="X16" i="26"/>
  <c r="AF16" i="26" s="1"/>
  <c r="W16" i="26"/>
  <c r="AE16" i="26" s="1"/>
  <c r="AD15" i="26"/>
  <c r="AL15" i="26" s="1"/>
  <c r="AC15" i="26"/>
  <c r="AK15" i="26" s="1"/>
  <c r="AB15" i="26"/>
  <c r="AJ15" i="26" s="1"/>
  <c r="AA15" i="26"/>
  <c r="AI15" i="26" s="1"/>
  <c r="Z15" i="26"/>
  <c r="AH15" i="26" s="1"/>
  <c r="Y15" i="26"/>
  <c r="AG15" i="26" s="1"/>
  <c r="X15" i="26"/>
  <c r="AF15" i="26" s="1"/>
  <c r="W15" i="26"/>
  <c r="AE15" i="26" s="1"/>
  <c r="AD14" i="26"/>
  <c r="AL14" i="26" s="1"/>
  <c r="AC14" i="26"/>
  <c r="AK14" i="26" s="1"/>
  <c r="AB14" i="26"/>
  <c r="AJ14" i="26" s="1"/>
  <c r="AA14" i="26"/>
  <c r="AI14" i="26" s="1"/>
  <c r="Z14" i="26"/>
  <c r="AH14" i="26" s="1"/>
  <c r="Y14" i="26"/>
  <c r="AG14" i="26" s="1"/>
  <c r="X14" i="26"/>
  <c r="AF14" i="26" s="1"/>
  <c r="W14" i="26"/>
  <c r="AE14" i="26" s="1"/>
  <c r="AD13" i="26"/>
  <c r="AL13" i="26" s="1"/>
  <c r="AC13" i="26"/>
  <c r="AK13" i="26" s="1"/>
  <c r="AB13" i="26"/>
  <c r="AJ13" i="26" s="1"/>
  <c r="AA13" i="26"/>
  <c r="AI13" i="26" s="1"/>
  <c r="Z13" i="26"/>
  <c r="AH13" i="26" s="1"/>
  <c r="Y13" i="26"/>
  <c r="AG13" i="26" s="1"/>
  <c r="X13" i="26"/>
  <c r="AF13" i="26" s="1"/>
  <c r="W13" i="26"/>
  <c r="AE13" i="26" s="1"/>
  <c r="G72" i="27" l="1"/>
  <c r="D67" i="26"/>
  <c r="F67" i="26" s="1"/>
  <c r="D68" i="26"/>
  <c r="F68" i="26" s="1"/>
  <c r="AS13" i="27"/>
  <c r="AR60" i="27"/>
  <c r="AS60" i="27" s="1"/>
  <c r="D69" i="26"/>
  <c r="F69" i="26" s="1"/>
  <c r="AN17" i="26"/>
  <c r="AP17" i="26" s="1"/>
  <c r="AM17" i="26"/>
  <c r="AO17" i="26" s="1"/>
  <c r="AN29" i="26"/>
  <c r="AP29" i="26" s="1"/>
  <c r="AM29" i="26"/>
  <c r="AO29" i="26" s="1"/>
  <c r="AN20" i="26"/>
  <c r="AP20" i="26" s="1"/>
  <c r="AM20" i="26"/>
  <c r="AO20" i="26" s="1"/>
  <c r="AQ20" i="26" s="1"/>
  <c r="AR20" i="26" s="1"/>
  <c r="AN21" i="26"/>
  <c r="AP21" i="26" s="1"/>
  <c r="AM21" i="26"/>
  <c r="AO21" i="26" s="1"/>
  <c r="AN26" i="26"/>
  <c r="AP26" i="26" s="1"/>
  <c r="AM26" i="26"/>
  <c r="AO26" i="26" s="1"/>
  <c r="AQ26" i="26" s="1"/>
  <c r="AR26" i="26" s="1"/>
  <c r="AN27" i="26"/>
  <c r="AP27" i="26" s="1"/>
  <c r="AM27" i="26"/>
  <c r="AO27" i="26" s="1"/>
  <c r="AN30" i="26"/>
  <c r="AP30" i="26" s="1"/>
  <c r="AM30" i="26"/>
  <c r="AO30" i="26" s="1"/>
  <c r="AQ30" i="26" s="1"/>
  <c r="AR30" i="26" s="1"/>
  <c r="AN35" i="26"/>
  <c r="AP35" i="26" s="1"/>
  <c r="AM35" i="26"/>
  <c r="AO35" i="26" s="1"/>
  <c r="AN18" i="26"/>
  <c r="AP18" i="26" s="1"/>
  <c r="AM18" i="26"/>
  <c r="AO18" i="26" s="1"/>
  <c r="AQ18" i="26" s="1"/>
  <c r="AR18" i="26" s="1"/>
  <c r="AN19" i="26"/>
  <c r="AP19" i="26" s="1"/>
  <c r="AM19" i="26"/>
  <c r="AO19" i="26" s="1"/>
  <c r="AN24" i="26"/>
  <c r="AP24" i="26" s="1"/>
  <c r="AM24" i="26"/>
  <c r="AO24" i="26" s="1"/>
  <c r="AQ24" i="26" s="1"/>
  <c r="AR24" i="26" s="1"/>
  <c r="AN33" i="26"/>
  <c r="AP33" i="26" s="1"/>
  <c r="AM33" i="26"/>
  <c r="AO33" i="26" s="1"/>
  <c r="AN13" i="26"/>
  <c r="AP13" i="26" s="1"/>
  <c r="AM13" i="26"/>
  <c r="AO13" i="26" s="1"/>
  <c r="AQ13" i="26" s="1"/>
  <c r="AM14" i="26"/>
  <c r="AO14" i="26" s="1"/>
  <c r="AN14" i="26"/>
  <c r="AP14" i="26" s="1"/>
  <c r="AN15" i="26"/>
  <c r="AP15" i="26" s="1"/>
  <c r="AM15" i="26"/>
  <c r="AO15" i="26" s="1"/>
  <c r="AQ15" i="26" s="1"/>
  <c r="AR15" i="26" s="1"/>
  <c r="AN16" i="26"/>
  <c r="AP16" i="26" s="1"/>
  <c r="AM16" i="26"/>
  <c r="AO16" i="26" s="1"/>
  <c r="AN22" i="26"/>
  <c r="AP22" i="26" s="1"/>
  <c r="AM22" i="26"/>
  <c r="AO22" i="26" s="1"/>
  <c r="AQ22" i="26" s="1"/>
  <c r="AR22" i="26" s="1"/>
  <c r="AN23" i="26"/>
  <c r="AP23" i="26" s="1"/>
  <c r="AM23" i="26"/>
  <c r="AO23" i="26" s="1"/>
  <c r="AN25" i="26"/>
  <c r="AP25" i="26" s="1"/>
  <c r="AM25" i="26"/>
  <c r="AO25" i="26" s="1"/>
  <c r="AQ25" i="26" s="1"/>
  <c r="AR25" i="26" s="1"/>
  <c r="AN31" i="26"/>
  <c r="AP31" i="26" s="1"/>
  <c r="AM31" i="26"/>
  <c r="AO31" i="26" s="1"/>
  <c r="AN32" i="26"/>
  <c r="AP32" i="26" s="1"/>
  <c r="AM32" i="26"/>
  <c r="AO32" i="26" s="1"/>
  <c r="AQ32" i="26" s="1"/>
  <c r="AR32" i="26" s="1"/>
  <c r="AN34" i="26"/>
  <c r="AP34" i="26" s="1"/>
  <c r="AM34" i="26"/>
  <c r="AO34" i="26" s="1"/>
  <c r="AN39" i="26"/>
  <c r="AP39" i="26" s="1"/>
  <c r="AM39" i="26"/>
  <c r="AO39" i="26" s="1"/>
  <c r="AQ39" i="26" s="1"/>
  <c r="AR39" i="26" s="1"/>
  <c r="AN37" i="26"/>
  <c r="AP37" i="26" s="1"/>
  <c r="AM37" i="26"/>
  <c r="AO37" i="26" s="1"/>
  <c r="AN38" i="26"/>
  <c r="AP38" i="26" s="1"/>
  <c r="AM38" i="26"/>
  <c r="AO38" i="26" s="1"/>
  <c r="AQ38" i="26" s="1"/>
  <c r="AR38" i="26" s="1"/>
  <c r="AN40" i="26"/>
  <c r="AP40" i="26" s="1"/>
  <c r="AM40" i="26"/>
  <c r="AO40" i="26" s="1"/>
  <c r="AN43" i="26"/>
  <c r="AP43" i="26" s="1"/>
  <c r="AM43" i="26"/>
  <c r="AO43" i="26" s="1"/>
  <c r="AQ43" i="26" s="1"/>
  <c r="AR43" i="26" s="1"/>
  <c r="AN36" i="26"/>
  <c r="AP36" i="26" s="1"/>
  <c r="AM36" i="26"/>
  <c r="AO36" i="26" s="1"/>
  <c r="AN41" i="26"/>
  <c r="AP41" i="26" s="1"/>
  <c r="AM41" i="26"/>
  <c r="AO41" i="26" s="1"/>
  <c r="AQ41" i="26" s="1"/>
  <c r="AR41" i="26" s="1"/>
  <c r="AN42" i="26"/>
  <c r="AP42" i="26" s="1"/>
  <c r="AM42" i="26"/>
  <c r="AO42" i="26" s="1"/>
  <c r="AM48" i="26"/>
  <c r="AO48" i="26" s="1"/>
  <c r="AN48" i="26"/>
  <c r="AP48" i="26" s="1"/>
  <c r="AN52" i="26"/>
  <c r="AP52" i="26" s="1"/>
  <c r="AM52" i="26"/>
  <c r="AO52" i="26" s="1"/>
  <c r="AM47" i="26"/>
  <c r="AO47" i="26" s="1"/>
  <c r="AN47" i="26"/>
  <c r="AP47" i="26" s="1"/>
  <c r="AN51" i="26"/>
  <c r="AP51" i="26" s="1"/>
  <c r="AM51" i="26"/>
  <c r="AO51" i="26" s="1"/>
  <c r="AN53" i="26"/>
  <c r="AP53" i="26" s="1"/>
  <c r="AM53" i="26"/>
  <c r="AO53" i="26" s="1"/>
  <c r="AQ53" i="26" s="1"/>
  <c r="AR53" i="26" s="1"/>
  <c r="AN54" i="26"/>
  <c r="AP54" i="26" s="1"/>
  <c r="AM54" i="26"/>
  <c r="AO54" i="26" s="1"/>
  <c r="AN55" i="26"/>
  <c r="AP55" i="26" s="1"/>
  <c r="AM55" i="26"/>
  <c r="AO55" i="26" s="1"/>
  <c r="AQ55" i="26" s="1"/>
  <c r="AR55" i="26" s="1"/>
  <c r="AN56" i="26"/>
  <c r="AP56" i="26" s="1"/>
  <c r="AM56" i="26"/>
  <c r="AO56" i="26" s="1"/>
  <c r="AN57" i="26"/>
  <c r="AP57" i="26" s="1"/>
  <c r="AM57" i="26"/>
  <c r="AO57" i="26" s="1"/>
  <c r="AQ57" i="26" s="1"/>
  <c r="AR57" i="26" s="1"/>
  <c r="AN58" i="26"/>
  <c r="AP58" i="26" s="1"/>
  <c r="AM58" i="26"/>
  <c r="AO58" i="26" s="1"/>
  <c r="AN59" i="26"/>
  <c r="AP59" i="26" s="1"/>
  <c r="AM59" i="26"/>
  <c r="AO59" i="26" s="1"/>
  <c r="AQ59" i="26" s="1"/>
  <c r="AR59" i="26" s="1"/>
  <c r="AM46" i="26"/>
  <c r="AO46" i="26" s="1"/>
  <c r="AN46" i="26"/>
  <c r="AP46" i="26" s="1"/>
  <c r="AM50" i="26"/>
  <c r="AO50" i="26" s="1"/>
  <c r="AN50" i="26"/>
  <c r="AP50" i="26" s="1"/>
  <c r="F72" i="26"/>
  <c r="AM45" i="26"/>
  <c r="AO45" i="26" s="1"/>
  <c r="AQ45" i="26" s="1"/>
  <c r="AR45" i="26" s="1"/>
  <c r="AN45" i="26"/>
  <c r="AP45" i="26" s="1"/>
  <c r="AM49" i="26"/>
  <c r="AO49" i="26" s="1"/>
  <c r="AN49" i="26"/>
  <c r="AP49" i="26" s="1"/>
  <c r="AR13" i="26" l="1"/>
  <c r="AQ58" i="26"/>
  <c r="AR58" i="26" s="1"/>
  <c r="AQ54" i="26"/>
  <c r="AR54" i="26" s="1"/>
  <c r="AQ52" i="26"/>
  <c r="AR52" i="26" s="1"/>
  <c r="AQ36" i="26"/>
  <c r="AR36" i="26" s="1"/>
  <c r="AQ37" i="26"/>
  <c r="AR37" i="26" s="1"/>
  <c r="AQ31" i="26"/>
  <c r="AR31" i="26" s="1"/>
  <c r="AQ16" i="26"/>
  <c r="AR16" i="26" s="1"/>
  <c r="AQ33" i="26"/>
  <c r="AR33" i="26" s="1"/>
  <c r="AQ35" i="26"/>
  <c r="AR35" i="26" s="1"/>
  <c r="AQ56" i="26"/>
  <c r="AR56" i="26" s="1"/>
  <c r="AQ51" i="26"/>
  <c r="AR51" i="26" s="1"/>
  <c r="AQ42" i="26"/>
  <c r="AR42" i="26" s="1"/>
  <c r="AQ40" i="26"/>
  <c r="AR40" i="26" s="1"/>
  <c r="AQ34" i="26"/>
  <c r="AR34" i="26" s="1"/>
  <c r="AQ23" i="26"/>
  <c r="AR23" i="26" s="1"/>
  <c r="AQ19" i="26"/>
  <c r="AR19" i="26" s="1"/>
  <c r="AQ27" i="26"/>
  <c r="AR27" i="26" s="1"/>
  <c r="AQ21" i="26"/>
  <c r="AR21" i="26" s="1"/>
  <c r="AQ49" i="26"/>
  <c r="AR49" i="26" s="1"/>
  <c r="AQ29" i="26"/>
  <c r="AR29" i="26" s="1"/>
  <c r="AQ46" i="26"/>
  <c r="AR46" i="26" s="1"/>
  <c r="AQ14" i="26"/>
  <c r="AR14" i="26" s="1"/>
  <c r="AQ17" i="26"/>
  <c r="AR17" i="26" s="1"/>
  <c r="AQ50" i="26"/>
  <c r="AR50" i="26" s="1"/>
  <c r="AQ47" i="26"/>
  <c r="AR47" i="26" s="1"/>
  <c r="AQ48" i="26"/>
  <c r="AR48" i="26" s="1"/>
  <c r="AQ60" i="26" l="1"/>
  <c r="AR60" i="26" s="1"/>
  <c r="AO56" i="23"/>
  <c r="C65" i="23" s="1"/>
  <c r="AN56" i="23"/>
  <c r="C64" i="23" s="1"/>
  <c r="AM56" i="23"/>
  <c r="AP56" i="23" l="1"/>
  <c r="C66" i="23"/>
  <c r="C67" i="23" l="1"/>
  <c r="D63" i="23" s="1"/>
  <c r="F63" i="23" s="1"/>
  <c r="AF39" i="23" l="1"/>
  <c r="AC39" i="23"/>
  <c r="AB39" i="23"/>
  <c r="Z39" i="23"/>
  <c r="X39" i="23"/>
  <c r="AE39" i="23" s="1"/>
  <c r="W39" i="23"/>
  <c r="AD39" i="23" s="1"/>
  <c r="V39" i="23"/>
  <c r="U39" i="23"/>
  <c r="T39" i="23"/>
  <c r="AA39" i="23" s="1"/>
  <c r="S39" i="23"/>
  <c r="AF38" i="23"/>
  <c r="AC38" i="23"/>
  <c r="AB38" i="23"/>
  <c r="Z38" i="23"/>
  <c r="X38" i="23"/>
  <c r="AE38" i="23" s="1"/>
  <c r="W38" i="23"/>
  <c r="AD38" i="23" s="1"/>
  <c r="V38" i="23"/>
  <c r="U38" i="23"/>
  <c r="T38" i="23"/>
  <c r="AA38" i="23" s="1"/>
  <c r="S38" i="23"/>
  <c r="AF37" i="23"/>
  <c r="AC37" i="23"/>
  <c r="AB37" i="23"/>
  <c r="Z37" i="23"/>
  <c r="X37" i="23"/>
  <c r="AE37" i="23" s="1"/>
  <c r="W37" i="23"/>
  <c r="AD37" i="23" s="1"/>
  <c r="V37" i="23"/>
  <c r="U37" i="23"/>
  <c r="T37" i="23"/>
  <c r="AA37" i="23" s="1"/>
  <c r="S37" i="23"/>
  <c r="AF36" i="23"/>
  <c r="AC36" i="23"/>
  <c r="AB36" i="23"/>
  <c r="Z36" i="23"/>
  <c r="X36" i="23"/>
  <c r="AE36" i="23" s="1"/>
  <c r="W36" i="23"/>
  <c r="AD36" i="23" s="1"/>
  <c r="V36" i="23"/>
  <c r="U36" i="23"/>
  <c r="T36" i="23"/>
  <c r="AA36" i="23" s="1"/>
  <c r="S36" i="23"/>
  <c r="AF35" i="23"/>
  <c r="AC35" i="23"/>
  <c r="AB35" i="23"/>
  <c r="Z35" i="23"/>
  <c r="X35" i="23"/>
  <c r="AE35" i="23" s="1"/>
  <c r="W35" i="23"/>
  <c r="AD35" i="23" s="1"/>
  <c r="V35" i="23"/>
  <c r="U35" i="23"/>
  <c r="T35" i="23"/>
  <c r="AA35" i="23" s="1"/>
  <c r="S35" i="23"/>
  <c r="AF34" i="23"/>
  <c r="AC34" i="23"/>
  <c r="AB34" i="23"/>
  <c r="Z34" i="23"/>
  <c r="X34" i="23"/>
  <c r="AE34" i="23" s="1"/>
  <c r="W34" i="23"/>
  <c r="AD34" i="23" s="1"/>
  <c r="V34" i="23"/>
  <c r="U34" i="23"/>
  <c r="T34" i="23"/>
  <c r="AA34" i="23" s="1"/>
  <c r="S34" i="23"/>
  <c r="AF33" i="23"/>
  <c r="AC33" i="23"/>
  <c r="AB33" i="23"/>
  <c r="Z33" i="23"/>
  <c r="X33" i="23"/>
  <c r="AE33" i="23" s="1"/>
  <c r="W33" i="23"/>
  <c r="AD33" i="23" s="1"/>
  <c r="V33" i="23"/>
  <c r="U33" i="23"/>
  <c r="T33" i="23"/>
  <c r="AA33" i="23" s="1"/>
  <c r="S33" i="23"/>
  <c r="AF32" i="23"/>
  <c r="AC32" i="23"/>
  <c r="AB32" i="23"/>
  <c r="Z32" i="23"/>
  <c r="X32" i="23"/>
  <c r="AE32" i="23" s="1"/>
  <c r="W32" i="23"/>
  <c r="AD32" i="23" s="1"/>
  <c r="V32" i="23"/>
  <c r="U32" i="23"/>
  <c r="T32" i="23"/>
  <c r="AA32" i="23" s="1"/>
  <c r="S32" i="23"/>
  <c r="AF31" i="23"/>
  <c r="AC31" i="23"/>
  <c r="AB31" i="23"/>
  <c r="Z31" i="23"/>
  <c r="X31" i="23"/>
  <c r="AE31" i="23" s="1"/>
  <c r="W31" i="23"/>
  <c r="AD31" i="23" s="1"/>
  <c r="V31" i="23"/>
  <c r="U31" i="23"/>
  <c r="T31" i="23"/>
  <c r="AA31" i="23" s="1"/>
  <c r="S31" i="23"/>
  <c r="AF30" i="23"/>
  <c r="AC30" i="23"/>
  <c r="AB30" i="23"/>
  <c r="Z30" i="23"/>
  <c r="X30" i="23"/>
  <c r="AE30" i="23" s="1"/>
  <c r="W30" i="23"/>
  <c r="AD30" i="23" s="1"/>
  <c r="V30" i="23"/>
  <c r="U30" i="23"/>
  <c r="T30" i="23"/>
  <c r="AA30" i="23" s="1"/>
  <c r="S30" i="23"/>
  <c r="AF29" i="23"/>
  <c r="AC29" i="23"/>
  <c r="AB29" i="23"/>
  <c r="Z29" i="23"/>
  <c r="X29" i="23"/>
  <c r="AE29" i="23" s="1"/>
  <c r="W29" i="23"/>
  <c r="AD29" i="23" s="1"/>
  <c r="V29" i="23"/>
  <c r="U29" i="23"/>
  <c r="T29" i="23"/>
  <c r="AA29" i="23" s="1"/>
  <c r="S29" i="23"/>
  <c r="AF28" i="23"/>
  <c r="AC28" i="23"/>
  <c r="AB28" i="23"/>
  <c r="Z28" i="23"/>
  <c r="X28" i="23"/>
  <c r="AE28" i="23" s="1"/>
  <c r="W28" i="23"/>
  <c r="AD28" i="23" s="1"/>
  <c r="V28" i="23"/>
  <c r="U28" i="23"/>
  <c r="T28" i="23"/>
  <c r="AA28" i="23" s="1"/>
  <c r="S28" i="23"/>
  <c r="AF27" i="23"/>
  <c r="AC27" i="23"/>
  <c r="AB27" i="23"/>
  <c r="Z27" i="23"/>
  <c r="X27" i="23"/>
  <c r="AE27" i="23" s="1"/>
  <c r="W27" i="23"/>
  <c r="AD27" i="23" s="1"/>
  <c r="V27" i="23"/>
  <c r="U27" i="23"/>
  <c r="T27" i="23"/>
  <c r="AA27" i="23" s="1"/>
  <c r="S27" i="23"/>
  <c r="AF26" i="23"/>
  <c r="AC26" i="23"/>
  <c r="AB26" i="23"/>
  <c r="Z26" i="23"/>
  <c r="X26" i="23"/>
  <c r="AE26" i="23" s="1"/>
  <c r="W26" i="23"/>
  <c r="AD26" i="23" s="1"/>
  <c r="V26" i="23"/>
  <c r="U26" i="23"/>
  <c r="T26" i="23"/>
  <c r="AA26" i="23" s="1"/>
  <c r="S26" i="23"/>
  <c r="AF25" i="23"/>
  <c r="AA25" i="23"/>
  <c r="Z25" i="23"/>
  <c r="X25" i="23"/>
  <c r="AE25" i="23" s="1"/>
  <c r="W25" i="23"/>
  <c r="AD25" i="23" s="1"/>
  <c r="V25" i="23"/>
  <c r="AC25" i="23" s="1"/>
  <c r="U25" i="23"/>
  <c r="AB25" i="23" s="1"/>
  <c r="T25" i="23"/>
  <c r="S25" i="23"/>
  <c r="AF9" i="23"/>
  <c r="AF15" i="23"/>
  <c r="AF17" i="23"/>
  <c r="AF19" i="23"/>
  <c r="AF23" i="23"/>
  <c r="AF42" i="23"/>
  <c r="AF44" i="23"/>
  <c r="AF46" i="23"/>
  <c r="AF48" i="23"/>
  <c r="AF10" i="23"/>
  <c r="AF14" i="23"/>
  <c r="D66" i="23"/>
  <c r="F66" i="23" s="1"/>
  <c r="D65" i="23"/>
  <c r="F65" i="23" s="1"/>
  <c r="AC55" i="23"/>
  <c r="AB55" i="23"/>
  <c r="Z55" i="23"/>
  <c r="X55" i="23"/>
  <c r="AE55" i="23" s="1"/>
  <c r="W55" i="23"/>
  <c r="AD55" i="23" s="1"/>
  <c r="V55" i="23"/>
  <c r="U55" i="23"/>
  <c r="T55" i="23"/>
  <c r="AA55" i="23" s="1"/>
  <c r="S55" i="23"/>
  <c r="AF55" i="23"/>
  <c r="AC54" i="23"/>
  <c r="AB54" i="23"/>
  <c r="Z54" i="23"/>
  <c r="X54" i="23"/>
  <c r="AE54" i="23" s="1"/>
  <c r="W54" i="23"/>
  <c r="AD54" i="23" s="1"/>
  <c r="V54" i="23"/>
  <c r="U54" i="23"/>
  <c r="T54" i="23"/>
  <c r="AA54" i="23" s="1"/>
  <c r="S54" i="23"/>
  <c r="AC53" i="23"/>
  <c r="AB53" i="23"/>
  <c r="Z53" i="23"/>
  <c r="X53" i="23"/>
  <c r="AE53" i="23" s="1"/>
  <c r="W53" i="23"/>
  <c r="AD53" i="23" s="1"/>
  <c r="V53" i="23"/>
  <c r="U53" i="23"/>
  <c r="T53" i="23"/>
  <c r="AA53" i="23" s="1"/>
  <c r="S53" i="23"/>
  <c r="AF53" i="23"/>
  <c r="AC52" i="23"/>
  <c r="AB52" i="23"/>
  <c r="Z52" i="23"/>
  <c r="X52" i="23"/>
  <c r="AE52" i="23" s="1"/>
  <c r="W52" i="23"/>
  <c r="AD52" i="23" s="1"/>
  <c r="V52" i="23"/>
  <c r="U52" i="23"/>
  <c r="T52" i="23"/>
  <c r="AA52" i="23" s="1"/>
  <c r="S52" i="23"/>
  <c r="AF52" i="23"/>
  <c r="AC51" i="23"/>
  <c r="AB51" i="23"/>
  <c r="Z51" i="23"/>
  <c r="X51" i="23"/>
  <c r="AE51" i="23" s="1"/>
  <c r="W51" i="23"/>
  <c r="AD51" i="23" s="1"/>
  <c r="V51" i="23"/>
  <c r="U51" i="23"/>
  <c r="T51" i="23"/>
  <c r="AA51" i="23" s="1"/>
  <c r="S51" i="23"/>
  <c r="AF51" i="23"/>
  <c r="AC50" i="23"/>
  <c r="AB50" i="23"/>
  <c r="Z50" i="23"/>
  <c r="X50" i="23"/>
  <c r="AE50" i="23" s="1"/>
  <c r="W50" i="23"/>
  <c r="AD50" i="23" s="1"/>
  <c r="V50" i="23"/>
  <c r="U50" i="23"/>
  <c r="T50" i="23"/>
  <c r="AA50" i="23" s="1"/>
  <c r="S50" i="23"/>
  <c r="AC49" i="23"/>
  <c r="AB49" i="23"/>
  <c r="Z49" i="23"/>
  <c r="X49" i="23"/>
  <c r="AE49" i="23" s="1"/>
  <c r="W49" i="23"/>
  <c r="AD49" i="23" s="1"/>
  <c r="V49" i="23"/>
  <c r="U49" i="23"/>
  <c r="T49" i="23"/>
  <c r="AA49" i="23" s="1"/>
  <c r="S49" i="23"/>
  <c r="AF49" i="23"/>
  <c r="AC48" i="23"/>
  <c r="AB48" i="23"/>
  <c r="Z48" i="23"/>
  <c r="X48" i="23"/>
  <c r="AE48" i="23" s="1"/>
  <c r="W48" i="23"/>
  <c r="AD48" i="23" s="1"/>
  <c r="V48" i="23"/>
  <c r="U48" i="23"/>
  <c r="T48" i="23"/>
  <c r="AA48" i="23" s="1"/>
  <c r="S48" i="23"/>
  <c r="AC47" i="23"/>
  <c r="AB47" i="23"/>
  <c r="Z47" i="23"/>
  <c r="X47" i="23"/>
  <c r="AE47" i="23" s="1"/>
  <c r="W47" i="23"/>
  <c r="AD47" i="23" s="1"/>
  <c r="V47" i="23"/>
  <c r="U47" i="23"/>
  <c r="T47" i="23"/>
  <c r="AA47" i="23" s="1"/>
  <c r="S47" i="23"/>
  <c r="AF47" i="23"/>
  <c r="AC46" i="23"/>
  <c r="AB46" i="23"/>
  <c r="Z46" i="23"/>
  <c r="X46" i="23"/>
  <c r="AE46" i="23" s="1"/>
  <c r="W46" i="23"/>
  <c r="AD46" i="23" s="1"/>
  <c r="V46" i="23"/>
  <c r="U46" i="23"/>
  <c r="T46" i="23"/>
  <c r="AA46" i="23" s="1"/>
  <c r="S46" i="23"/>
  <c r="AC45" i="23"/>
  <c r="AB45" i="23"/>
  <c r="Z45" i="23"/>
  <c r="X45" i="23"/>
  <c r="AE45" i="23" s="1"/>
  <c r="W45" i="23"/>
  <c r="AD45" i="23" s="1"/>
  <c r="V45" i="23"/>
  <c r="U45" i="23"/>
  <c r="T45" i="23"/>
  <c r="AA45" i="23" s="1"/>
  <c r="S45" i="23"/>
  <c r="AF45" i="23"/>
  <c r="AC44" i="23"/>
  <c r="AB44" i="23"/>
  <c r="Z44" i="23"/>
  <c r="X44" i="23"/>
  <c r="AE44" i="23" s="1"/>
  <c r="W44" i="23"/>
  <c r="AD44" i="23" s="1"/>
  <c r="V44" i="23"/>
  <c r="U44" i="23"/>
  <c r="T44" i="23"/>
  <c r="AA44" i="23" s="1"/>
  <c r="S44" i="23"/>
  <c r="AC43" i="23"/>
  <c r="AB43" i="23"/>
  <c r="Z43" i="23"/>
  <c r="X43" i="23"/>
  <c r="AE43" i="23" s="1"/>
  <c r="W43" i="23"/>
  <c r="AD43" i="23" s="1"/>
  <c r="V43" i="23"/>
  <c r="U43" i="23"/>
  <c r="T43" i="23"/>
  <c r="AA43" i="23" s="1"/>
  <c r="S43" i="23"/>
  <c r="AF43" i="23"/>
  <c r="AC42" i="23"/>
  <c r="AB42" i="23"/>
  <c r="Z42" i="23"/>
  <c r="X42" i="23"/>
  <c r="AE42" i="23" s="1"/>
  <c r="W42" i="23"/>
  <c r="AD42" i="23" s="1"/>
  <c r="V42" i="23"/>
  <c r="U42" i="23"/>
  <c r="T42" i="23"/>
  <c r="AA42" i="23" s="1"/>
  <c r="S42" i="23"/>
  <c r="AA41" i="23"/>
  <c r="Z41" i="23"/>
  <c r="X41" i="23"/>
  <c r="AE41" i="23" s="1"/>
  <c r="W41" i="23"/>
  <c r="AD41" i="23" s="1"/>
  <c r="V41" i="23"/>
  <c r="AC41" i="23" s="1"/>
  <c r="U41" i="23"/>
  <c r="AB41" i="23" s="1"/>
  <c r="T41" i="23"/>
  <c r="S41" i="23"/>
  <c r="AF41" i="23"/>
  <c r="AC23" i="23"/>
  <c r="AB23" i="23"/>
  <c r="Z23" i="23"/>
  <c r="W23" i="23"/>
  <c r="AD23" i="23" s="1"/>
  <c r="V23" i="23"/>
  <c r="U23" i="23"/>
  <c r="T23" i="23"/>
  <c r="AA23" i="23" s="1"/>
  <c r="S23" i="23"/>
  <c r="X23" i="23"/>
  <c r="AE23" i="23" s="1"/>
  <c r="AC22" i="23"/>
  <c r="Z22" i="23"/>
  <c r="AF22" i="23"/>
  <c r="W22" i="23"/>
  <c r="AD22" i="23" s="1"/>
  <c r="V22" i="23"/>
  <c r="U22" i="23"/>
  <c r="AB22" i="23" s="1"/>
  <c r="T22" i="23"/>
  <c r="AA22" i="23" s="1"/>
  <c r="S22" i="23"/>
  <c r="X22" i="23"/>
  <c r="AE22" i="23" s="1"/>
  <c r="AC21" i="23"/>
  <c r="AB21" i="23"/>
  <c r="Z21" i="23"/>
  <c r="W21" i="23"/>
  <c r="AD21" i="23" s="1"/>
  <c r="V21" i="23"/>
  <c r="U21" i="23"/>
  <c r="T21" i="23"/>
  <c r="AA21" i="23" s="1"/>
  <c r="S21" i="23"/>
  <c r="X21" i="23"/>
  <c r="AE21" i="23" s="1"/>
  <c r="AC20" i="23"/>
  <c r="AB20" i="23"/>
  <c r="Z20" i="23"/>
  <c r="AF20" i="23"/>
  <c r="W20" i="23"/>
  <c r="AD20" i="23" s="1"/>
  <c r="V20" i="23"/>
  <c r="U20" i="23"/>
  <c r="T20" i="23"/>
  <c r="AA20" i="23" s="1"/>
  <c r="S20" i="23"/>
  <c r="X20" i="23"/>
  <c r="AE20" i="23" s="1"/>
  <c r="AC19" i="23"/>
  <c r="AB19" i="23"/>
  <c r="Z19" i="23"/>
  <c r="W19" i="23"/>
  <c r="AD19" i="23" s="1"/>
  <c r="V19" i="23"/>
  <c r="U19" i="23"/>
  <c r="T19" i="23"/>
  <c r="AA19" i="23" s="1"/>
  <c r="S19" i="23"/>
  <c r="X19" i="23"/>
  <c r="AE19" i="23" s="1"/>
  <c r="AC18" i="23"/>
  <c r="AB18" i="23"/>
  <c r="Z18" i="23"/>
  <c r="AF18" i="23"/>
  <c r="W18" i="23"/>
  <c r="AD18" i="23" s="1"/>
  <c r="V18" i="23"/>
  <c r="U18" i="23"/>
  <c r="T18" i="23"/>
  <c r="AA18" i="23" s="1"/>
  <c r="S18" i="23"/>
  <c r="X18" i="23"/>
  <c r="AE18" i="23" s="1"/>
  <c r="AC17" i="23"/>
  <c r="AB17" i="23"/>
  <c r="Z17" i="23"/>
  <c r="X17" i="23"/>
  <c r="AE17" i="23" s="1"/>
  <c r="W17" i="23"/>
  <c r="AD17" i="23" s="1"/>
  <c r="V17" i="23"/>
  <c r="U17" i="23"/>
  <c r="T17" i="23"/>
  <c r="AA17" i="23" s="1"/>
  <c r="S17" i="23"/>
  <c r="AC16" i="23"/>
  <c r="AB16" i="23"/>
  <c r="Z16" i="23"/>
  <c r="AF16" i="23"/>
  <c r="X16" i="23"/>
  <c r="AE16" i="23" s="1"/>
  <c r="W16" i="23"/>
  <c r="AD16" i="23" s="1"/>
  <c r="V16" i="23"/>
  <c r="U16" i="23"/>
  <c r="T16" i="23"/>
  <c r="AA16" i="23" s="1"/>
  <c r="S16" i="23"/>
  <c r="AC15" i="23"/>
  <c r="AB15" i="23"/>
  <c r="Z15" i="23"/>
  <c r="X15" i="23"/>
  <c r="AE15" i="23" s="1"/>
  <c r="W15" i="23"/>
  <c r="AD15" i="23" s="1"/>
  <c r="V15" i="23"/>
  <c r="U15" i="23"/>
  <c r="T15" i="23"/>
  <c r="AA15" i="23" s="1"/>
  <c r="S15" i="23"/>
  <c r="AC14" i="23"/>
  <c r="AB14" i="23"/>
  <c r="Z14" i="23"/>
  <c r="W14" i="23"/>
  <c r="AD14" i="23" s="1"/>
  <c r="V14" i="23"/>
  <c r="U14" i="23"/>
  <c r="T14" i="23"/>
  <c r="AA14" i="23" s="1"/>
  <c r="S14" i="23"/>
  <c r="X14" i="23"/>
  <c r="AE14" i="23" s="1"/>
  <c r="AC13" i="23"/>
  <c r="AB13" i="23"/>
  <c r="Z13" i="23"/>
  <c r="AF13" i="23"/>
  <c r="W13" i="23"/>
  <c r="AD13" i="23" s="1"/>
  <c r="V13" i="23"/>
  <c r="U13" i="23"/>
  <c r="T13" i="23"/>
  <c r="AA13" i="23" s="1"/>
  <c r="S13" i="23"/>
  <c r="X13" i="23"/>
  <c r="AE13" i="23" s="1"/>
  <c r="AC12" i="23"/>
  <c r="AB12" i="23"/>
  <c r="Z12" i="23"/>
  <c r="AF12" i="23"/>
  <c r="W12" i="23"/>
  <c r="AD12" i="23" s="1"/>
  <c r="V12" i="23"/>
  <c r="U12" i="23"/>
  <c r="T12" i="23"/>
  <c r="AA12" i="23" s="1"/>
  <c r="S12" i="23"/>
  <c r="X12" i="23"/>
  <c r="AE12" i="23" s="1"/>
  <c r="AC11" i="23"/>
  <c r="AB11" i="23"/>
  <c r="Z11" i="23"/>
  <c r="AF11" i="23"/>
  <c r="W11" i="23"/>
  <c r="AD11" i="23" s="1"/>
  <c r="V11" i="23"/>
  <c r="U11" i="23"/>
  <c r="T11" i="23"/>
  <c r="AA11" i="23" s="1"/>
  <c r="S11" i="23"/>
  <c r="X11" i="23"/>
  <c r="AE11" i="23" s="1"/>
  <c r="AC10" i="23"/>
  <c r="AB10" i="23"/>
  <c r="Z10" i="23"/>
  <c r="W10" i="23"/>
  <c r="AD10" i="23" s="1"/>
  <c r="V10" i="23"/>
  <c r="U10" i="23"/>
  <c r="T10" i="23"/>
  <c r="AA10" i="23" s="1"/>
  <c r="S10" i="23"/>
  <c r="X10" i="23"/>
  <c r="AE10" i="23" s="1"/>
  <c r="AC9" i="23"/>
  <c r="AB9" i="23"/>
  <c r="AA9" i="23"/>
  <c r="Z9" i="23"/>
  <c r="W9" i="23"/>
  <c r="AD9" i="23" s="1"/>
  <c r="V9" i="23"/>
  <c r="U9" i="23"/>
  <c r="T9" i="23"/>
  <c r="S9" i="23"/>
  <c r="X9" i="23"/>
  <c r="AE9" i="23" s="1"/>
  <c r="M5" i="22"/>
  <c r="AG25" i="23" l="1"/>
  <c r="AI25" i="23" s="1"/>
  <c r="AG38" i="23"/>
  <c r="AI38" i="23" s="1"/>
  <c r="AG30" i="23"/>
  <c r="AI30" i="23" s="1"/>
  <c r="AG34" i="23"/>
  <c r="AI34" i="23" s="1"/>
  <c r="AG31" i="23"/>
  <c r="AI31" i="23" s="1"/>
  <c r="AG26" i="23"/>
  <c r="AI26" i="23" s="1"/>
  <c r="AG27" i="23"/>
  <c r="AI27" i="23" s="1"/>
  <c r="AG29" i="23"/>
  <c r="AI29" i="23" s="1"/>
  <c r="AG37" i="23"/>
  <c r="AI37" i="23" s="1"/>
  <c r="AG33" i="23"/>
  <c r="AI33" i="23" s="1"/>
  <c r="AG28" i="23"/>
  <c r="AI28" i="23" s="1"/>
  <c r="AG32" i="23"/>
  <c r="AI32" i="23" s="1"/>
  <c r="AG36" i="23"/>
  <c r="AI36" i="23" s="1"/>
  <c r="AG35" i="23"/>
  <c r="AI35" i="23" s="1"/>
  <c r="AG39" i="23"/>
  <c r="AI39" i="23" s="1"/>
  <c r="AF54" i="23"/>
  <c r="AG54" i="23" s="1"/>
  <c r="AI54" i="23" s="1"/>
  <c r="AF50" i="23"/>
  <c r="AG50" i="23" s="1"/>
  <c r="AI50" i="23" s="1"/>
  <c r="AF21" i="23"/>
  <c r="AG21" i="23" s="1"/>
  <c r="AI21" i="23" s="1"/>
  <c r="AG12" i="23"/>
  <c r="AI12" i="23" s="1"/>
  <c r="AG15" i="23"/>
  <c r="AI15" i="23" s="1"/>
  <c r="AG16" i="23"/>
  <c r="AI16" i="23" s="1"/>
  <c r="AG17" i="23"/>
  <c r="AI17" i="23" s="1"/>
  <c r="D64" i="23"/>
  <c r="F64" i="23" s="1"/>
  <c r="F68" i="23" s="1"/>
  <c r="AG9" i="23"/>
  <c r="AI9" i="23" s="1"/>
  <c r="AG11" i="23"/>
  <c r="AI11" i="23" s="1"/>
  <c r="AG13" i="23"/>
  <c r="AI13" i="23" s="1"/>
  <c r="AG14" i="23"/>
  <c r="AI14" i="23" s="1"/>
  <c r="AG18" i="23"/>
  <c r="AI18" i="23" s="1"/>
  <c r="AG19" i="23"/>
  <c r="AI19" i="23" s="1"/>
  <c r="AG20" i="23"/>
  <c r="AI20" i="23" s="1"/>
  <c r="AG10" i="23"/>
  <c r="AI10" i="23" s="1"/>
  <c r="AG23" i="23"/>
  <c r="AI23" i="23" s="1"/>
  <c r="AG22" i="23"/>
  <c r="AI22" i="23" s="1"/>
  <c r="AG41" i="23"/>
  <c r="AI41" i="23" s="1"/>
  <c r="AG43" i="23"/>
  <c r="AI43" i="23" s="1"/>
  <c r="AG45" i="23"/>
  <c r="AI45" i="23" s="1"/>
  <c r="AG47" i="23"/>
  <c r="AI47" i="23" s="1"/>
  <c r="AG49" i="23"/>
  <c r="AI49" i="23" s="1"/>
  <c r="AG51" i="23"/>
  <c r="AI51" i="23" s="1"/>
  <c r="AG53" i="23"/>
  <c r="AI53" i="23" s="1"/>
  <c r="AG55" i="23"/>
  <c r="AI55" i="23" s="1"/>
  <c r="AG42" i="23"/>
  <c r="AI42" i="23" s="1"/>
  <c r="AG44" i="23"/>
  <c r="AI44" i="23" s="1"/>
  <c r="AG46" i="23"/>
  <c r="AI46" i="23" s="1"/>
  <c r="AG48" i="23"/>
  <c r="AI48" i="23" s="1"/>
  <c r="AG52" i="23"/>
  <c r="AI52" i="23" s="1"/>
  <c r="J31" i="21"/>
  <c r="K31" i="21"/>
  <c r="AH38" i="23" l="1"/>
  <c r="AJ38" i="23" s="1"/>
  <c r="AK38" i="23" s="1"/>
  <c r="AL38" i="23" s="1"/>
  <c r="AH26" i="23"/>
  <c r="AJ26" i="23" s="1"/>
  <c r="AK26" i="23" s="1"/>
  <c r="AL26" i="23" s="1"/>
  <c r="AH30" i="23"/>
  <c r="AJ30" i="23" s="1"/>
  <c r="AK30" i="23" s="1"/>
  <c r="AL30" i="23" s="1"/>
  <c r="AH25" i="23"/>
  <c r="AJ25" i="23" s="1"/>
  <c r="AK25" i="23" s="1"/>
  <c r="AL25" i="23" s="1"/>
  <c r="AH12" i="23"/>
  <c r="AJ12" i="23" s="1"/>
  <c r="AH34" i="23"/>
  <c r="AJ34" i="23" s="1"/>
  <c r="AK34" i="23" s="1"/>
  <c r="AL34" i="23" s="1"/>
  <c r="AH39" i="23"/>
  <c r="AJ39" i="23" s="1"/>
  <c r="AK39" i="23" s="1"/>
  <c r="AL39" i="23" s="1"/>
  <c r="AH37" i="23"/>
  <c r="AJ37" i="23" s="1"/>
  <c r="AK37" i="23" s="1"/>
  <c r="AL37" i="23" s="1"/>
  <c r="AH29" i="23"/>
  <c r="AJ29" i="23" s="1"/>
  <c r="AK29" i="23" s="1"/>
  <c r="AL29" i="23" s="1"/>
  <c r="AH28" i="23"/>
  <c r="AJ28" i="23" s="1"/>
  <c r="AK28" i="23" s="1"/>
  <c r="AL28" i="23" s="1"/>
  <c r="AH36" i="23"/>
  <c r="AJ36" i="23" s="1"/>
  <c r="AK36" i="23" s="1"/>
  <c r="AL36" i="23" s="1"/>
  <c r="AH35" i="23"/>
  <c r="AJ35" i="23" s="1"/>
  <c r="AK35" i="23" s="1"/>
  <c r="AL35" i="23" s="1"/>
  <c r="AH33" i="23"/>
  <c r="AJ33" i="23" s="1"/>
  <c r="AK33" i="23" s="1"/>
  <c r="AL33" i="23" s="1"/>
  <c r="AH32" i="23"/>
  <c r="AJ32" i="23" s="1"/>
  <c r="AK32" i="23" s="1"/>
  <c r="AL32" i="23" s="1"/>
  <c r="AH31" i="23"/>
  <c r="AJ31" i="23" s="1"/>
  <c r="AK31" i="23" s="1"/>
  <c r="AL31" i="23" s="1"/>
  <c r="AH27" i="23"/>
  <c r="AJ27" i="23" s="1"/>
  <c r="AK27" i="23" s="1"/>
  <c r="AL27" i="23" s="1"/>
  <c r="AK12" i="23"/>
  <c r="AL12" i="23" s="1"/>
  <c r="AH11" i="23"/>
  <c r="AJ11" i="23" s="1"/>
  <c r="AK11" i="23" s="1"/>
  <c r="AL11" i="23" s="1"/>
  <c r="AH19" i="23"/>
  <c r="AJ19" i="23" s="1"/>
  <c r="AK19" i="23" s="1"/>
  <c r="AL19" i="23" s="1"/>
  <c r="AH18" i="23"/>
  <c r="AJ18" i="23" s="1"/>
  <c r="AK18" i="23" s="1"/>
  <c r="AL18" i="23" s="1"/>
  <c r="AH51" i="23"/>
  <c r="AJ51" i="23" s="1"/>
  <c r="AK51" i="23" s="1"/>
  <c r="AL51" i="23" s="1"/>
  <c r="AH17" i="23"/>
  <c r="AJ17" i="23" s="1"/>
  <c r="AK17" i="23" s="1"/>
  <c r="AL17" i="23" s="1"/>
  <c r="AH22" i="23"/>
  <c r="AJ22" i="23" s="1"/>
  <c r="AK22" i="23" s="1"/>
  <c r="AL22" i="23" s="1"/>
  <c r="AH15" i="23"/>
  <c r="AJ15" i="23" s="1"/>
  <c r="AK15" i="23" s="1"/>
  <c r="AL15" i="23" s="1"/>
  <c r="AH21" i="23"/>
  <c r="AJ21" i="23" s="1"/>
  <c r="AK21" i="23" s="1"/>
  <c r="AL21" i="23" s="1"/>
  <c r="AH43" i="23"/>
  <c r="AJ43" i="23" s="1"/>
  <c r="AK43" i="23" s="1"/>
  <c r="AL43" i="23" s="1"/>
  <c r="AH20" i="23"/>
  <c r="AJ20" i="23" s="1"/>
  <c r="AK20" i="23" s="1"/>
  <c r="AL20" i="23" s="1"/>
  <c r="AH13" i="23"/>
  <c r="AJ13" i="23" s="1"/>
  <c r="AK13" i="23" s="1"/>
  <c r="AL13" i="23" s="1"/>
  <c r="AH16" i="23"/>
  <c r="AJ16" i="23" s="1"/>
  <c r="AK16" i="23" s="1"/>
  <c r="AL16" i="23" s="1"/>
  <c r="AH42" i="23"/>
  <c r="AJ42" i="23" s="1"/>
  <c r="AK42" i="23" s="1"/>
  <c r="AL42" i="23" s="1"/>
  <c r="AH23" i="23"/>
  <c r="AJ23" i="23" s="1"/>
  <c r="AK23" i="23" s="1"/>
  <c r="AL23" i="23" s="1"/>
  <c r="AH50" i="23"/>
  <c r="AJ50" i="23" s="1"/>
  <c r="AK50" i="23" s="1"/>
  <c r="AL50" i="23" s="1"/>
  <c r="AH53" i="23"/>
  <c r="AJ53" i="23" s="1"/>
  <c r="AK53" i="23" s="1"/>
  <c r="AL53" i="23" s="1"/>
  <c r="AH49" i="23"/>
  <c r="AJ49" i="23" s="1"/>
  <c r="AK49" i="23" s="1"/>
  <c r="AL49" i="23" s="1"/>
  <c r="AH45" i="23"/>
  <c r="AJ45" i="23" s="1"/>
  <c r="AK45" i="23" s="1"/>
  <c r="AL45" i="23" s="1"/>
  <c r="AH41" i="23"/>
  <c r="AJ41" i="23" s="1"/>
  <c r="AK41" i="23" s="1"/>
  <c r="AL41" i="23" s="1"/>
  <c r="AH14" i="23"/>
  <c r="AJ14" i="23" s="1"/>
  <c r="AK14" i="23" s="1"/>
  <c r="AL14" i="23" s="1"/>
  <c r="AH9" i="23"/>
  <c r="AJ9" i="23" s="1"/>
  <c r="AK9" i="23" s="1"/>
  <c r="AL9" i="23" s="1"/>
  <c r="AH55" i="23"/>
  <c r="AJ55" i="23" s="1"/>
  <c r="AK55" i="23" s="1"/>
  <c r="AL55" i="23" s="1"/>
  <c r="AH47" i="23"/>
  <c r="AJ47" i="23" s="1"/>
  <c r="AK47" i="23" s="1"/>
  <c r="AL47" i="23" s="1"/>
  <c r="AH10" i="23"/>
  <c r="AJ10" i="23" s="1"/>
  <c r="AK10" i="23" s="1"/>
  <c r="AL10" i="23" s="1"/>
  <c r="AH54" i="23"/>
  <c r="AJ54" i="23" s="1"/>
  <c r="AK54" i="23" s="1"/>
  <c r="AL54" i="23" s="1"/>
  <c r="AH46" i="23"/>
  <c r="AJ46" i="23" s="1"/>
  <c r="AK46" i="23" s="1"/>
  <c r="AL46" i="23" s="1"/>
  <c r="AH52" i="23"/>
  <c r="AJ52" i="23" s="1"/>
  <c r="AK52" i="23" s="1"/>
  <c r="AL52" i="23" s="1"/>
  <c r="AH48" i="23"/>
  <c r="AJ48" i="23" s="1"/>
  <c r="AK48" i="23" s="1"/>
  <c r="AL48" i="23" s="1"/>
  <c r="AH44" i="23"/>
  <c r="AJ44" i="23" s="1"/>
  <c r="AK44" i="23" s="1"/>
  <c r="AL44" i="23" s="1"/>
  <c r="K23" i="21"/>
  <c r="K37" i="21"/>
  <c r="Y37" i="21" s="1"/>
  <c r="AF37" i="21" s="1"/>
  <c r="J37" i="21"/>
  <c r="K36" i="21"/>
  <c r="J36" i="21"/>
  <c r="K35" i="21"/>
  <c r="Y35" i="21" s="1"/>
  <c r="AF35" i="21" s="1"/>
  <c r="J35" i="21"/>
  <c r="K34" i="21"/>
  <c r="J34" i="21"/>
  <c r="K33" i="21"/>
  <c r="Y33" i="21" s="1"/>
  <c r="AF33" i="21" s="1"/>
  <c r="J33" i="21"/>
  <c r="K32" i="21"/>
  <c r="J32" i="21"/>
  <c r="K30" i="21"/>
  <c r="J30" i="21"/>
  <c r="K29" i="21"/>
  <c r="J29" i="21"/>
  <c r="K28" i="21"/>
  <c r="Y28" i="21" s="1"/>
  <c r="AF28" i="21" s="1"/>
  <c r="J28" i="21"/>
  <c r="K27" i="21"/>
  <c r="J27" i="21"/>
  <c r="K26" i="21"/>
  <c r="J26" i="21"/>
  <c r="X26" i="21" s="1"/>
  <c r="AE26" i="21" s="1"/>
  <c r="K25" i="21"/>
  <c r="J25" i="21"/>
  <c r="K24" i="21"/>
  <c r="Y24" i="21" s="1"/>
  <c r="AF24" i="21" s="1"/>
  <c r="J24" i="21"/>
  <c r="J8" i="21"/>
  <c r="K8" i="21"/>
  <c r="J9" i="21"/>
  <c r="X9" i="21" s="1"/>
  <c r="AE9" i="21" s="1"/>
  <c r="K9" i="21"/>
  <c r="J10" i="21"/>
  <c r="K10" i="21"/>
  <c r="J11" i="21"/>
  <c r="K11" i="21"/>
  <c r="J12" i="21"/>
  <c r="X12" i="21" s="1"/>
  <c r="AE12" i="21" s="1"/>
  <c r="K12" i="21"/>
  <c r="J13" i="21"/>
  <c r="X13" i="21" s="1"/>
  <c r="AE13" i="21" s="1"/>
  <c r="K13" i="21"/>
  <c r="J17" i="21"/>
  <c r="K17" i="21"/>
  <c r="J18" i="21"/>
  <c r="X18" i="21" s="1"/>
  <c r="AE18" i="21" s="1"/>
  <c r="K18" i="21"/>
  <c r="J19" i="21"/>
  <c r="X19" i="21" s="1"/>
  <c r="AE19" i="21" s="1"/>
  <c r="K19" i="21"/>
  <c r="J20" i="21"/>
  <c r="X20" i="21" s="1"/>
  <c r="AE20" i="21" s="1"/>
  <c r="K20" i="21"/>
  <c r="J21" i="21"/>
  <c r="K21" i="21"/>
  <c r="J22" i="21"/>
  <c r="X22" i="21" s="1"/>
  <c r="AE22" i="21" s="1"/>
  <c r="K22" i="21"/>
  <c r="Y23" i="21"/>
  <c r="AF23" i="21" s="1"/>
  <c r="X10" i="21"/>
  <c r="AE10" i="21" s="1"/>
  <c r="C49" i="21"/>
  <c r="D48" i="21" s="1"/>
  <c r="F48" i="21" s="1"/>
  <c r="AC37" i="21"/>
  <c r="AB37" i="21"/>
  <c r="Z37" i="21"/>
  <c r="X37" i="21"/>
  <c r="AE37" i="21" s="1"/>
  <c r="W37" i="21"/>
  <c r="AD37" i="21" s="1"/>
  <c r="V37" i="21"/>
  <c r="U37" i="21"/>
  <c r="T37" i="21"/>
  <c r="AA37" i="21" s="1"/>
  <c r="S37" i="21"/>
  <c r="AC36" i="21"/>
  <c r="AB36" i="21"/>
  <c r="Z36" i="21"/>
  <c r="Y36" i="21"/>
  <c r="AF36" i="21" s="1"/>
  <c r="X36" i="21"/>
  <c r="AE36" i="21" s="1"/>
  <c r="W36" i="21"/>
  <c r="AD36" i="21" s="1"/>
  <c r="V36" i="21"/>
  <c r="U36" i="21"/>
  <c r="T36" i="21"/>
  <c r="AA36" i="21" s="1"/>
  <c r="S36" i="21"/>
  <c r="AC35" i="21"/>
  <c r="AB35" i="21"/>
  <c r="Z35" i="21"/>
  <c r="X35" i="21"/>
  <c r="AE35" i="21" s="1"/>
  <c r="W35" i="21"/>
  <c r="AD35" i="21" s="1"/>
  <c r="V35" i="21"/>
  <c r="U35" i="21"/>
  <c r="T35" i="21"/>
  <c r="AA35" i="21" s="1"/>
  <c r="S35" i="21"/>
  <c r="AC34" i="21"/>
  <c r="AB34" i="21"/>
  <c r="Z34" i="21"/>
  <c r="Y34" i="21"/>
  <c r="AF34" i="21" s="1"/>
  <c r="X34" i="21"/>
  <c r="AE34" i="21" s="1"/>
  <c r="W34" i="21"/>
  <c r="AD34" i="21" s="1"/>
  <c r="V34" i="21"/>
  <c r="U34" i="21"/>
  <c r="T34" i="21"/>
  <c r="AA34" i="21" s="1"/>
  <c r="S34" i="21"/>
  <c r="AC33" i="21"/>
  <c r="AB33" i="21"/>
  <c r="Z33" i="21"/>
  <c r="X33" i="21"/>
  <c r="AE33" i="21" s="1"/>
  <c r="W33" i="21"/>
  <c r="AD33" i="21" s="1"/>
  <c r="V33" i="21"/>
  <c r="U33" i="21"/>
  <c r="T33" i="21"/>
  <c r="AA33" i="21" s="1"/>
  <c r="S33" i="21"/>
  <c r="AC32" i="21"/>
  <c r="AB32" i="21"/>
  <c r="Z32" i="21"/>
  <c r="Y32" i="21"/>
  <c r="AF32" i="21" s="1"/>
  <c r="X32" i="21"/>
  <c r="AE32" i="21" s="1"/>
  <c r="W32" i="21"/>
  <c r="AD32" i="21" s="1"/>
  <c r="V32" i="21"/>
  <c r="U32" i="21"/>
  <c r="T32" i="21"/>
  <c r="AA32" i="21" s="1"/>
  <c r="S32" i="21"/>
  <c r="AC31" i="21"/>
  <c r="AB31" i="21"/>
  <c r="Z31" i="21"/>
  <c r="Y31" i="21"/>
  <c r="AF31" i="21" s="1"/>
  <c r="X31" i="21"/>
  <c r="AE31" i="21" s="1"/>
  <c r="W31" i="21"/>
  <c r="AD31" i="21" s="1"/>
  <c r="V31" i="21"/>
  <c r="U31" i="21"/>
  <c r="T31" i="21"/>
  <c r="AA31" i="21" s="1"/>
  <c r="S31" i="21"/>
  <c r="AC30" i="21"/>
  <c r="AB30" i="21"/>
  <c r="Z30" i="21"/>
  <c r="Y30" i="21"/>
  <c r="AF30" i="21" s="1"/>
  <c r="X30" i="21"/>
  <c r="AE30" i="21" s="1"/>
  <c r="W30" i="21"/>
  <c r="AD30" i="21" s="1"/>
  <c r="V30" i="21"/>
  <c r="U30" i="21"/>
  <c r="T30" i="21"/>
  <c r="AA30" i="21" s="1"/>
  <c r="S30" i="21"/>
  <c r="AC29" i="21"/>
  <c r="AB29" i="21"/>
  <c r="Z29" i="21"/>
  <c r="Y29" i="21"/>
  <c r="AF29" i="21" s="1"/>
  <c r="X29" i="21"/>
  <c r="AE29" i="21" s="1"/>
  <c r="W29" i="21"/>
  <c r="AD29" i="21" s="1"/>
  <c r="V29" i="21"/>
  <c r="U29" i="21"/>
  <c r="T29" i="21"/>
  <c r="AA29" i="21" s="1"/>
  <c r="S29" i="21"/>
  <c r="AC28" i="21"/>
  <c r="AB28" i="21"/>
  <c r="Z28" i="21"/>
  <c r="X28" i="21"/>
  <c r="AE28" i="21" s="1"/>
  <c r="W28" i="21"/>
  <c r="AD28" i="21" s="1"/>
  <c r="V28" i="21"/>
  <c r="U28" i="21"/>
  <c r="T28" i="21"/>
  <c r="AA28" i="21" s="1"/>
  <c r="S28" i="21"/>
  <c r="AC27" i="21"/>
  <c r="AB27" i="21"/>
  <c r="Z27" i="21"/>
  <c r="Y27" i="21"/>
  <c r="AF27" i="21" s="1"/>
  <c r="X27" i="21"/>
  <c r="AE27" i="21" s="1"/>
  <c r="W27" i="21"/>
  <c r="AD27" i="21" s="1"/>
  <c r="V27" i="21"/>
  <c r="U27" i="21"/>
  <c r="T27" i="21"/>
  <c r="AA27" i="21" s="1"/>
  <c r="S27" i="21"/>
  <c r="AC26" i="21"/>
  <c r="AB26" i="21"/>
  <c r="Z26" i="21"/>
  <c r="Y26" i="21"/>
  <c r="AF26" i="21" s="1"/>
  <c r="W26" i="21"/>
  <c r="AD26" i="21" s="1"/>
  <c r="V26" i="21"/>
  <c r="U26" i="21"/>
  <c r="T26" i="21"/>
  <c r="AA26" i="21" s="1"/>
  <c r="S26" i="21"/>
  <c r="AC25" i="21"/>
  <c r="AB25" i="21"/>
  <c r="Z25" i="21"/>
  <c r="Y25" i="21"/>
  <c r="AF25" i="21" s="1"/>
  <c r="X25" i="21"/>
  <c r="AE25" i="21" s="1"/>
  <c r="W25" i="21"/>
  <c r="AD25" i="21" s="1"/>
  <c r="V25" i="21"/>
  <c r="U25" i="21"/>
  <c r="T25" i="21"/>
  <c r="AA25" i="21" s="1"/>
  <c r="S25" i="21"/>
  <c r="AC24" i="21"/>
  <c r="AB24" i="21"/>
  <c r="Z24" i="21"/>
  <c r="X24" i="21"/>
  <c r="AE24" i="21" s="1"/>
  <c r="W24" i="21"/>
  <c r="AD24" i="21" s="1"/>
  <c r="V24" i="21"/>
  <c r="U24" i="21"/>
  <c r="T24" i="21"/>
  <c r="AA24" i="21" s="1"/>
  <c r="S24" i="21"/>
  <c r="AA23" i="21"/>
  <c r="Z23" i="21"/>
  <c r="X23" i="21"/>
  <c r="AE23" i="21" s="1"/>
  <c r="W23" i="21"/>
  <c r="AD23" i="21" s="1"/>
  <c r="V23" i="21"/>
  <c r="AC23" i="21" s="1"/>
  <c r="U23" i="21"/>
  <c r="AB23" i="21" s="1"/>
  <c r="T23" i="21"/>
  <c r="S23" i="21"/>
  <c r="AC22" i="21"/>
  <c r="AB22" i="21"/>
  <c r="Z22" i="21"/>
  <c r="Y22" i="21"/>
  <c r="AF22" i="21" s="1"/>
  <c r="W22" i="21"/>
  <c r="AD22" i="21" s="1"/>
  <c r="V22" i="21"/>
  <c r="U22" i="21"/>
  <c r="T22" i="21"/>
  <c r="AA22" i="21" s="1"/>
  <c r="S22" i="21"/>
  <c r="AC21" i="21"/>
  <c r="Z21" i="21"/>
  <c r="Y21" i="21"/>
  <c r="AF21" i="21" s="1"/>
  <c r="X21" i="21"/>
  <c r="AE21" i="21" s="1"/>
  <c r="W21" i="21"/>
  <c r="AD21" i="21" s="1"/>
  <c r="V21" i="21"/>
  <c r="U21" i="21"/>
  <c r="AB21" i="21" s="1"/>
  <c r="T21" i="21"/>
  <c r="AA21" i="21" s="1"/>
  <c r="S21" i="21"/>
  <c r="AC20" i="21"/>
  <c r="AB20" i="21"/>
  <c r="Z20" i="21"/>
  <c r="Y20" i="21"/>
  <c r="AF20" i="21" s="1"/>
  <c r="W20" i="21"/>
  <c r="AD20" i="21" s="1"/>
  <c r="V20" i="21"/>
  <c r="U20" i="21"/>
  <c r="T20" i="21"/>
  <c r="AA20" i="21" s="1"/>
  <c r="S20" i="21"/>
  <c r="AC19" i="21"/>
  <c r="AB19" i="21"/>
  <c r="Z19" i="21"/>
  <c r="Y19" i="21"/>
  <c r="AF19" i="21" s="1"/>
  <c r="W19" i="21"/>
  <c r="AD19" i="21" s="1"/>
  <c r="V19" i="21"/>
  <c r="U19" i="21"/>
  <c r="T19" i="21"/>
  <c r="AA19" i="21" s="1"/>
  <c r="S19" i="21"/>
  <c r="AC18" i="21"/>
  <c r="AB18" i="21"/>
  <c r="Z18" i="21"/>
  <c r="Y18" i="21"/>
  <c r="AF18" i="21" s="1"/>
  <c r="W18" i="21"/>
  <c r="AD18" i="21" s="1"/>
  <c r="V18" i="21"/>
  <c r="U18" i="21"/>
  <c r="T18" i="21"/>
  <c r="AA18" i="21" s="1"/>
  <c r="S18" i="21"/>
  <c r="AC17" i="21"/>
  <c r="AB17" i="21"/>
  <c r="Z17" i="21"/>
  <c r="Y17" i="21"/>
  <c r="AF17" i="21" s="1"/>
  <c r="X17" i="21"/>
  <c r="AE17" i="21" s="1"/>
  <c r="W17" i="21"/>
  <c r="AD17" i="21" s="1"/>
  <c r="V17" i="21"/>
  <c r="U17" i="21"/>
  <c r="T17" i="21"/>
  <c r="AA17" i="21" s="1"/>
  <c r="S17" i="21"/>
  <c r="AC16" i="21"/>
  <c r="AB16" i="21"/>
  <c r="Z16" i="21"/>
  <c r="Y16" i="21"/>
  <c r="AF16" i="21" s="1"/>
  <c r="X16" i="21"/>
  <c r="AE16" i="21" s="1"/>
  <c r="W16" i="21"/>
  <c r="AD16" i="21" s="1"/>
  <c r="V16" i="21"/>
  <c r="U16" i="21"/>
  <c r="T16" i="21"/>
  <c r="AA16" i="21" s="1"/>
  <c r="S16" i="21"/>
  <c r="AC15" i="21"/>
  <c r="AB15" i="21"/>
  <c r="Z15" i="21"/>
  <c r="Y15" i="21"/>
  <c r="AF15" i="21" s="1"/>
  <c r="X15" i="21"/>
  <c r="AE15" i="21" s="1"/>
  <c r="W15" i="21"/>
  <c r="AD15" i="21" s="1"/>
  <c r="V15" i="21"/>
  <c r="U15" i="21"/>
  <c r="T15" i="21"/>
  <c r="AA15" i="21" s="1"/>
  <c r="S15" i="21"/>
  <c r="AC14" i="21"/>
  <c r="AB14" i="21"/>
  <c r="Z14" i="21"/>
  <c r="Y14" i="21"/>
  <c r="AF14" i="21" s="1"/>
  <c r="X14" i="21"/>
  <c r="AE14" i="21" s="1"/>
  <c r="W14" i="21"/>
  <c r="AD14" i="21" s="1"/>
  <c r="V14" i="21"/>
  <c r="U14" i="21"/>
  <c r="T14" i="21"/>
  <c r="AA14" i="21" s="1"/>
  <c r="S14" i="21"/>
  <c r="AC13" i="21"/>
  <c r="AB13" i="21"/>
  <c r="Z13" i="21"/>
  <c r="Y13" i="21"/>
  <c r="AF13" i="21" s="1"/>
  <c r="W13" i="21"/>
  <c r="AD13" i="21" s="1"/>
  <c r="V13" i="21"/>
  <c r="U13" i="21"/>
  <c r="T13" i="21"/>
  <c r="AA13" i="21" s="1"/>
  <c r="S13" i="21"/>
  <c r="AC12" i="21"/>
  <c r="AB12" i="21"/>
  <c r="Z12" i="21"/>
  <c r="Y12" i="21"/>
  <c r="AF12" i="21" s="1"/>
  <c r="W12" i="21"/>
  <c r="AD12" i="21" s="1"/>
  <c r="V12" i="21"/>
  <c r="U12" i="21"/>
  <c r="T12" i="21"/>
  <c r="AA12" i="21" s="1"/>
  <c r="S12" i="21"/>
  <c r="AC11" i="21"/>
  <c r="AB11" i="21"/>
  <c r="Z11" i="21"/>
  <c r="Y11" i="21"/>
  <c r="AF11" i="21" s="1"/>
  <c r="X11" i="21"/>
  <c r="AE11" i="21" s="1"/>
  <c r="W11" i="21"/>
  <c r="AD11" i="21" s="1"/>
  <c r="V11" i="21"/>
  <c r="U11" i="21"/>
  <c r="T11" i="21"/>
  <c r="AA11" i="21" s="1"/>
  <c r="S11" i="21"/>
  <c r="AC10" i="21"/>
  <c r="AB10" i="21"/>
  <c r="Z10" i="21"/>
  <c r="Y10" i="21"/>
  <c r="AF10" i="21" s="1"/>
  <c r="W10" i="21"/>
  <c r="AD10" i="21" s="1"/>
  <c r="V10" i="21"/>
  <c r="U10" i="21"/>
  <c r="T10" i="21"/>
  <c r="AA10" i="21" s="1"/>
  <c r="S10" i="21"/>
  <c r="AC9" i="21"/>
  <c r="AB9" i="21"/>
  <c r="Z9" i="21"/>
  <c r="Y9" i="21"/>
  <c r="AF9" i="21" s="1"/>
  <c r="W9" i="21"/>
  <c r="AD9" i="21" s="1"/>
  <c r="V9" i="21"/>
  <c r="U9" i="21"/>
  <c r="T9" i="21"/>
  <c r="AA9" i="21" s="1"/>
  <c r="S9" i="21"/>
  <c r="AC8" i="21"/>
  <c r="AB8" i="21"/>
  <c r="AA8" i="21"/>
  <c r="Z8" i="21"/>
  <c r="Y8" i="21"/>
  <c r="AF8" i="21" s="1"/>
  <c r="X8" i="21"/>
  <c r="AE8" i="21" s="1"/>
  <c r="W8" i="21"/>
  <c r="AD8" i="21" s="1"/>
  <c r="V8" i="21"/>
  <c r="U8" i="21"/>
  <c r="T8" i="21"/>
  <c r="S8" i="21"/>
  <c r="D45" i="21" l="1"/>
  <c r="F45" i="21" s="1"/>
  <c r="D47" i="21"/>
  <c r="F47" i="21" s="1"/>
  <c r="AG35" i="21"/>
  <c r="AI35" i="21" s="1"/>
  <c r="AG31" i="21"/>
  <c r="AI31" i="21" s="1"/>
  <c r="AG29" i="21"/>
  <c r="AI29" i="21" s="1"/>
  <c r="AG28" i="21"/>
  <c r="AI28" i="21" s="1"/>
  <c r="AG27" i="21"/>
  <c r="AI27" i="21" s="1"/>
  <c r="AG26" i="21"/>
  <c r="AI26" i="21" s="1"/>
  <c r="AG25" i="21"/>
  <c r="AI25" i="21" s="1"/>
  <c r="AG24" i="21"/>
  <c r="AI24" i="21" s="1"/>
  <c r="AG21" i="21"/>
  <c r="AI21" i="21" s="1"/>
  <c r="AG22" i="21"/>
  <c r="AI22" i="21" s="1"/>
  <c r="AG20" i="21"/>
  <c r="AI20" i="21" s="1"/>
  <c r="AG11" i="21"/>
  <c r="AI11" i="21" s="1"/>
  <c r="AG15" i="21"/>
  <c r="AI15" i="21" s="1"/>
  <c r="AG19" i="21"/>
  <c r="AI19" i="21" s="1"/>
  <c r="AG23" i="21"/>
  <c r="AI23" i="21" s="1"/>
  <c r="AG10" i="21"/>
  <c r="AI10" i="21" s="1"/>
  <c r="AG14" i="21"/>
  <c r="AI14" i="21" s="1"/>
  <c r="AG18" i="21"/>
  <c r="AI18" i="21" s="1"/>
  <c r="AG8" i="21"/>
  <c r="AI8" i="21" s="1"/>
  <c r="AG9" i="21"/>
  <c r="AI9" i="21" s="1"/>
  <c r="AG12" i="21"/>
  <c r="AI12" i="21" s="1"/>
  <c r="AG13" i="21"/>
  <c r="AI13" i="21" s="1"/>
  <c r="AG16" i="21"/>
  <c r="AI16" i="21" s="1"/>
  <c r="AG17" i="21"/>
  <c r="AI17" i="21" s="1"/>
  <c r="AH8" i="21"/>
  <c r="AJ8" i="21" s="1"/>
  <c r="AK8" i="21" s="1"/>
  <c r="AL8" i="21" s="1"/>
  <c r="AH22" i="21"/>
  <c r="AJ22" i="21" s="1"/>
  <c r="AK22" i="21" s="1"/>
  <c r="AL22" i="21" s="1"/>
  <c r="AG30" i="21"/>
  <c r="AI30" i="21" s="1"/>
  <c r="AH10" i="21"/>
  <c r="AJ10" i="21" s="1"/>
  <c r="AK10" i="21" s="1"/>
  <c r="AL10" i="21" s="1"/>
  <c r="AG33" i="21"/>
  <c r="AI33" i="21" s="1"/>
  <c r="AG37" i="21"/>
  <c r="AI37" i="21" s="1"/>
  <c r="AG34" i="21"/>
  <c r="AI34" i="21" s="1"/>
  <c r="AG32" i="21"/>
  <c r="AI32" i="21" s="1"/>
  <c r="AG36" i="21"/>
  <c r="AI36" i="21" s="1"/>
  <c r="D46" i="21"/>
  <c r="F46" i="21" s="1"/>
  <c r="AH12" i="21" l="1"/>
  <c r="AJ12" i="21" s="1"/>
  <c r="AK12" i="21" s="1"/>
  <c r="AL12" i="21" s="1"/>
  <c r="F50" i="21"/>
  <c r="I4" i="17" s="1"/>
  <c r="AH23" i="21"/>
  <c r="AJ23" i="21" s="1"/>
  <c r="AK23" i="21" s="1"/>
  <c r="AL23" i="21" s="1"/>
  <c r="AH37" i="21"/>
  <c r="AJ37" i="21" s="1"/>
  <c r="AK37" i="21" s="1"/>
  <c r="AL37" i="21" s="1"/>
  <c r="AH36" i="21"/>
  <c r="AJ36" i="21" s="1"/>
  <c r="AK36" i="21" s="1"/>
  <c r="AL36" i="21" s="1"/>
  <c r="AH35" i="21"/>
  <c r="AJ35" i="21" s="1"/>
  <c r="AK35" i="21" s="1"/>
  <c r="AL35" i="21" s="1"/>
  <c r="AH34" i="21"/>
  <c r="AJ34" i="21" s="1"/>
  <c r="AK34" i="21" s="1"/>
  <c r="AL34" i="21" s="1"/>
  <c r="AH31" i="21"/>
  <c r="AJ31" i="21" s="1"/>
  <c r="AK31" i="21" s="1"/>
  <c r="AL31" i="21" s="1"/>
  <c r="AH29" i="21"/>
  <c r="AJ29" i="21" s="1"/>
  <c r="AK29" i="21" s="1"/>
  <c r="AL29" i="21" s="1"/>
  <c r="AH28" i="21"/>
  <c r="AJ28" i="21" s="1"/>
  <c r="AK28" i="21" s="1"/>
  <c r="AL28" i="21" s="1"/>
  <c r="AH27" i="21"/>
  <c r="AJ27" i="21" s="1"/>
  <c r="AK27" i="21" s="1"/>
  <c r="AL27" i="21" s="1"/>
  <c r="AH26" i="21"/>
  <c r="AJ26" i="21" s="1"/>
  <c r="AK26" i="21" s="1"/>
  <c r="AL26" i="21" s="1"/>
  <c r="AH25" i="21"/>
  <c r="AJ25" i="21" s="1"/>
  <c r="AK25" i="21" s="1"/>
  <c r="AL25" i="21" s="1"/>
  <c r="AH24" i="21"/>
  <c r="AJ24" i="21" s="1"/>
  <c r="AK24" i="21" s="1"/>
  <c r="AL24" i="21" s="1"/>
  <c r="AH19" i="21"/>
  <c r="AJ19" i="21" s="1"/>
  <c r="AK19" i="21" s="1"/>
  <c r="AL19" i="21" s="1"/>
  <c r="AH21" i="21"/>
  <c r="AJ21" i="21" s="1"/>
  <c r="AK21" i="21" s="1"/>
  <c r="AL21" i="21" s="1"/>
  <c r="AH18" i="21"/>
  <c r="AJ18" i="21" s="1"/>
  <c r="AK18" i="21" s="1"/>
  <c r="AL18" i="21" s="1"/>
  <c r="AH13" i="21"/>
  <c r="AJ13" i="21" s="1"/>
  <c r="AK13" i="21" s="1"/>
  <c r="AL13" i="21" s="1"/>
  <c r="AH14" i="21"/>
  <c r="AJ14" i="21" s="1"/>
  <c r="AK14" i="21" s="1"/>
  <c r="AL14" i="21" s="1"/>
  <c r="AH16" i="21"/>
  <c r="AJ16" i="21" s="1"/>
  <c r="AK16" i="21" s="1"/>
  <c r="AL16" i="21" s="1"/>
  <c r="AH20" i="21"/>
  <c r="AJ20" i="21" s="1"/>
  <c r="AK20" i="21" s="1"/>
  <c r="AL20" i="21" s="1"/>
  <c r="AH15" i="21"/>
  <c r="AJ15" i="21" s="1"/>
  <c r="AK15" i="21" s="1"/>
  <c r="AL15" i="21" s="1"/>
  <c r="AH11" i="21"/>
  <c r="AJ11" i="21" s="1"/>
  <c r="AK11" i="21" s="1"/>
  <c r="AL11" i="21" s="1"/>
  <c r="AH9" i="21"/>
  <c r="AJ9" i="21" s="1"/>
  <c r="AK9" i="21" s="1"/>
  <c r="AL9" i="21" s="1"/>
  <c r="AH17" i="21"/>
  <c r="AJ17" i="21" s="1"/>
  <c r="AK17" i="21" s="1"/>
  <c r="AL17" i="21" s="1"/>
  <c r="AH32" i="21"/>
  <c r="AJ32" i="21" s="1"/>
  <c r="AK32" i="21" s="1"/>
  <c r="AL32" i="21" s="1"/>
  <c r="AH30" i="21"/>
  <c r="AJ30" i="21" s="1"/>
  <c r="AK30" i="21" s="1"/>
  <c r="AL30" i="21" s="1"/>
  <c r="AH33" i="21"/>
  <c r="AJ33" i="21" s="1"/>
  <c r="AK33" i="21" s="1"/>
  <c r="AL33" i="21" s="1"/>
  <c r="D72" i="2" l="1"/>
  <c r="D73" i="2"/>
  <c r="D74" i="2"/>
  <c r="D75" i="2"/>
  <c r="N66" i="2"/>
  <c r="N72" i="2" s="1"/>
  <c r="N67" i="2"/>
  <c r="N73" i="2" s="1"/>
  <c r="N68" i="2"/>
  <c r="N74" i="2" s="1"/>
  <c r="N69" i="2"/>
  <c r="N75" i="2" s="1"/>
  <c r="L66" i="2"/>
  <c r="L72" i="2" s="1"/>
  <c r="L67" i="2"/>
  <c r="L73" i="2" s="1"/>
  <c r="L68" i="2"/>
  <c r="L74" i="2" s="1"/>
  <c r="L69" i="2"/>
  <c r="L75" i="2" s="1"/>
  <c r="J66" i="2"/>
  <c r="J72" i="2" s="1"/>
  <c r="J67" i="2"/>
  <c r="J73" i="2" s="1"/>
  <c r="J68" i="2"/>
  <c r="J74" i="2" s="1"/>
  <c r="J69" i="2"/>
  <c r="J75" i="2" s="1"/>
  <c r="H66" i="2"/>
  <c r="H72" i="2" s="1"/>
  <c r="H67" i="2"/>
  <c r="H73" i="2" s="1"/>
  <c r="H68" i="2"/>
  <c r="H74" i="2" s="1"/>
  <c r="H69" i="2"/>
  <c r="H75" i="2" s="1"/>
  <c r="F66" i="2"/>
  <c r="F72" i="2" s="1"/>
  <c r="F67" i="2"/>
  <c r="F73" i="2" s="1"/>
  <c r="F68" i="2"/>
  <c r="F74" i="2" s="1"/>
  <c r="F69" i="2"/>
  <c r="F75" i="2" s="1"/>
  <c r="I14" i="17"/>
  <c r="J14" i="17"/>
  <c r="K14" i="17"/>
  <c r="L14" i="17"/>
  <c r="M14" i="17"/>
  <c r="I15" i="17"/>
  <c r="J15" i="17"/>
  <c r="K15" i="17"/>
  <c r="L15" i="17"/>
  <c r="M15" i="17"/>
  <c r="I13" i="17"/>
  <c r="J13" i="17"/>
  <c r="J12" i="17" s="1"/>
  <c r="K13" i="17"/>
  <c r="L13" i="17"/>
  <c r="M13" i="17"/>
  <c r="H15" i="17"/>
  <c r="H14" i="17"/>
  <c r="H13" i="17"/>
  <c r="D39" i="19"/>
  <c r="E39" i="19"/>
  <c r="F39" i="19"/>
  <c r="G39" i="19"/>
  <c r="H39" i="19"/>
  <c r="C39" i="19"/>
  <c r="D33" i="19"/>
  <c r="H12" i="17" l="1"/>
  <c r="L76" i="2"/>
  <c r="H76" i="2"/>
  <c r="L12" i="17"/>
  <c r="N76" i="2"/>
  <c r="F76" i="2"/>
  <c r="J76" i="2"/>
  <c r="M12" i="17"/>
  <c r="I12" i="17"/>
  <c r="K12" i="17"/>
  <c r="D76" i="2"/>
  <c r="D31" i="19"/>
  <c r="D35" i="19"/>
  <c r="D34" i="19"/>
  <c r="D32" i="19"/>
  <c r="B30" i="19"/>
  <c r="B31" i="19" s="1"/>
  <c r="H28" i="19"/>
  <c r="G30" i="19"/>
  <c r="G31" i="19" s="1"/>
  <c r="G32" i="19" s="1"/>
  <c r="G33" i="19" s="1"/>
  <c r="G34" i="19" s="1"/>
  <c r="G35" i="19" s="1"/>
  <c r="G28" i="19"/>
  <c r="D30" i="19"/>
  <c r="B32" i="19" l="1"/>
  <c r="H31" i="19"/>
  <c r="I31" i="19" s="1"/>
  <c r="H30" i="19"/>
  <c r="I30" i="19" s="1"/>
  <c r="I28" i="19"/>
  <c r="K28" i="19" s="1"/>
  <c r="E28" i="19"/>
  <c r="S8" i="2"/>
  <c r="Z8" i="2" s="1"/>
  <c r="C49" i="2"/>
  <c r="D47" i="2" s="1"/>
  <c r="F47" i="2" s="1"/>
  <c r="AF37" i="2"/>
  <c r="AE37" i="2"/>
  <c r="AD37" i="2"/>
  <c r="AC37" i="2"/>
  <c r="Z37" i="2"/>
  <c r="Y37" i="2"/>
  <c r="X37" i="2"/>
  <c r="W37" i="2"/>
  <c r="V37" i="2"/>
  <c r="U37" i="2"/>
  <c r="AB37" i="2" s="1"/>
  <c r="T37" i="2"/>
  <c r="AA37" i="2" s="1"/>
  <c r="S37" i="2"/>
  <c r="AF36" i="2"/>
  <c r="AE36" i="2"/>
  <c r="AD36" i="2"/>
  <c r="AC36" i="2"/>
  <c r="Y36" i="2"/>
  <c r="X36" i="2"/>
  <c r="W36" i="2"/>
  <c r="V36" i="2"/>
  <c r="U36" i="2"/>
  <c r="AB36" i="2" s="1"/>
  <c r="T36" i="2"/>
  <c r="AA36" i="2" s="1"/>
  <c r="S36" i="2"/>
  <c r="Z36" i="2" s="1"/>
  <c r="AF35" i="2"/>
  <c r="AE35" i="2"/>
  <c r="AD35" i="2"/>
  <c r="AC35" i="2"/>
  <c r="Y35" i="2"/>
  <c r="X35" i="2"/>
  <c r="W35" i="2"/>
  <c r="V35" i="2"/>
  <c r="U35" i="2"/>
  <c r="AB35" i="2" s="1"/>
  <c r="T35" i="2"/>
  <c r="AA35" i="2" s="1"/>
  <c r="S35" i="2"/>
  <c r="Z35" i="2" s="1"/>
  <c r="AF34" i="2"/>
  <c r="AE34" i="2"/>
  <c r="AC34" i="2"/>
  <c r="Z34" i="2"/>
  <c r="Y34" i="2"/>
  <c r="X34" i="2"/>
  <c r="W34" i="2"/>
  <c r="AD34" i="2" s="1"/>
  <c r="V34" i="2"/>
  <c r="U34" i="2"/>
  <c r="AB34" i="2" s="1"/>
  <c r="T34" i="2"/>
  <c r="AA34" i="2" s="1"/>
  <c r="S34" i="2"/>
  <c r="AF33" i="2"/>
  <c r="AE33" i="2"/>
  <c r="AC33" i="2"/>
  <c r="Y33" i="2"/>
  <c r="X33" i="2"/>
  <c r="W33" i="2"/>
  <c r="AD33" i="2" s="1"/>
  <c r="V33" i="2"/>
  <c r="U33" i="2"/>
  <c r="AB33" i="2" s="1"/>
  <c r="T33" i="2"/>
  <c r="AA33" i="2" s="1"/>
  <c r="S33" i="2"/>
  <c r="Z33" i="2" s="1"/>
  <c r="AF32" i="2"/>
  <c r="AE32" i="2"/>
  <c r="AC32" i="2"/>
  <c r="Y32" i="2"/>
  <c r="X32" i="2"/>
  <c r="W32" i="2"/>
  <c r="AD32" i="2" s="1"/>
  <c r="V32" i="2"/>
  <c r="U32" i="2"/>
  <c r="AB32" i="2" s="1"/>
  <c r="T32" i="2"/>
  <c r="AA32" i="2" s="1"/>
  <c r="S32" i="2"/>
  <c r="Z32" i="2" s="1"/>
  <c r="AF31" i="2"/>
  <c r="AE31" i="2"/>
  <c r="AC31" i="2"/>
  <c r="Z31" i="2"/>
  <c r="Y31" i="2"/>
  <c r="X31" i="2"/>
  <c r="W31" i="2"/>
  <c r="AD31" i="2" s="1"/>
  <c r="V31" i="2"/>
  <c r="U31" i="2"/>
  <c r="AB31" i="2" s="1"/>
  <c r="T31" i="2"/>
  <c r="AA31" i="2" s="1"/>
  <c r="S31" i="2"/>
  <c r="AF30" i="2"/>
  <c r="AE30" i="2"/>
  <c r="AC30" i="2"/>
  <c r="Z30" i="2"/>
  <c r="Y30" i="2"/>
  <c r="X30" i="2"/>
  <c r="W30" i="2"/>
  <c r="AD30" i="2" s="1"/>
  <c r="V30" i="2"/>
  <c r="U30" i="2"/>
  <c r="AB30" i="2" s="1"/>
  <c r="T30" i="2"/>
  <c r="AA30" i="2" s="1"/>
  <c r="S30" i="2"/>
  <c r="AF29" i="2"/>
  <c r="AE29" i="2"/>
  <c r="AC29" i="2"/>
  <c r="Z29" i="2"/>
  <c r="Y29" i="2"/>
  <c r="X29" i="2"/>
  <c r="W29" i="2"/>
  <c r="AD29" i="2" s="1"/>
  <c r="V29" i="2"/>
  <c r="U29" i="2"/>
  <c r="AB29" i="2" s="1"/>
  <c r="T29" i="2"/>
  <c r="AA29" i="2" s="1"/>
  <c r="S29" i="2"/>
  <c r="AF28" i="2"/>
  <c r="AE28" i="2"/>
  <c r="AD28" i="2"/>
  <c r="Y28" i="2"/>
  <c r="X28" i="2"/>
  <c r="W28" i="2"/>
  <c r="V28" i="2"/>
  <c r="AC28" i="2" s="1"/>
  <c r="U28" i="2"/>
  <c r="AB28" i="2" s="1"/>
  <c r="T28" i="2"/>
  <c r="AA28" i="2" s="1"/>
  <c r="S28" i="2"/>
  <c r="Z28" i="2" s="1"/>
  <c r="AF27" i="2"/>
  <c r="AE27" i="2"/>
  <c r="AD27" i="2"/>
  <c r="AC27" i="2"/>
  <c r="Y27" i="2"/>
  <c r="X27" i="2"/>
  <c r="W27" i="2"/>
  <c r="V27" i="2"/>
  <c r="U27" i="2"/>
  <c r="AB27" i="2" s="1"/>
  <c r="T27" i="2"/>
  <c r="AA27" i="2" s="1"/>
  <c r="S27" i="2"/>
  <c r="Z27" i="2" s="1"/>
  <c r="AF26" i="2"/>
  <c r="AE26" i="2"/>
  <c r="AD26" i="2"/>
  <c r="Z26" i="2"/>
  <c r="Y26" i="2"/>
  <c r="X26" i="2"/>
  <c r="W26" i="2"/>
  <c r="V26" i="2"/>
  <c r="AC26" i="2" s="1"/>
  <c r="U26" i="2"/>
  <c r="AB26" i="2" s="1"/>
  <c r="T26" i="2"/>
  <c r="AA26" i="2" s="1"/>
  <c r="S26" i="2"/>
  <c r="AF25" i="2"/>
  <c r="AE25" i="2"/>
  <c r="AC25" i="2"/>
  <c r="Z25" i="2"/>
  <c r="Y25" i="2"/>
  <c r="X25" i="2"/>
  <c r="W25" i="2"/>
  <c r="AD25" i="2" s="1"/>
  <c r="V25" i="2"/>
  <c r="U25" i="2"/>
  <c r="AB25" i="2" s="1"/>
  <c r="T25" i="2"/>
  <c r="AA25" i="2" s="1"/>
  <c r="S25" i="2"/>
  <c r="AF24" i="2"/>
  <c r="AE24" i="2"/>
  <c r="AC24" i="2"/>
  <c r="Z24" i="2"/>
  <c r="Y24" i="2"/>
  <c r="X24" i="2"/>
  <c r="W24" i="2"/>
  <c r="AD24" i="2" s="1"/>
  <c r="V24" i="2"/>
  <c r="U24" i="2"/>
  <c r="AB24" i="2" s="1"/>
  <c r="T24" i="2"/>
  <c r="AA24" i="2" s="1"/>
  <c r="S24" i="2"/>
  <c r="AF23" i="2"/>
  <c r="AE23" i="2"/>
  <c r="AC23" i="2"/>
  <c r="AA23" i="2"/>
  <c r="Z23" i="2"/>
  <c r="Y23" i="2"/>
  <c r="X23" i="2"/>
  <c r="W23" i="2"/>
  <c r="AD23" i="2" s="1"/>
  <c r="V23" i="2"/>
  <c r="U23" i="2"/>
  <c r="AB23" i="2" s="1"/>
  <c r="T23" i="2"/>
  <c r="S23" i="2"/>
  <c r="AF22" i="2"/>
  <c r="AE22" i="2"/>
  <c r="AD22" i="2"/>
  <c r="AC22" i="2"/>
  <c r="AB22" i="2"/>
  <c r="Z22" i="2"/>
  <c r="Y22" i="2"/>
  <c r="X22" i="2"/>
  <c r="W22" i="2"/>
  <c r="V22" i="2"/>
  <c r="U22" i="2"/>
  <c r="T22" i="2"/>
  <c r="AA22" i="2" s="1"/>
  <c r="S22" i="2"/>
  <c r="AF21" i="2"/>
  <c r="AE21" i="2"/>
  <c r="AD21" i="2"/>
  <c r="AC21" i="2"/>
  <c r="AB21" i="2"/>
  <c r="Z21" i="2"/>
  <c r="Y21" i="2"/>
  <c r="X21" i="2"/>
  <c r="W21" i="2"/>
  <c r="V21" i="2"/>
  <c r="U21" i="2"/>
  <c r="T21" i="2"/>
  <c r="AA21" i="2" s="1"/>
  <c r="S21" i="2"/>
  <c r="AF20" i="2"/>
  <c r="AE20" i="2"/>
  <c r="AD20" i="2"/>
  <c r="AC20" i="2"/>
  <c r="AB20" i="2"/>
  <c r="Y20" i="2"/>
  <c r="X20" i="2"/>
  <c r="W20" i="2"/>
  <c r="V20" i="2"/>
  <c r="U20" i="2"/>
  <c r="T20" i="2"/>
  <c r="AA20" i="2" s="1"/>
  <c r="S20" i="2"/>
  <c r="Z20" i="2" s="1"/>
  <c r="AF19" i="2"/>
  <c r="AE19" i="2"/>
  <c r="AC19" i="2"/>
  <c r="AB19" i="2"/>
  <c r="Z19" i="2"/>
  <c r="Y19" i="2"/>
  <c r="X19" i="2"/>
  <c r="W19" i="2"/>
  <c r="AD19" i="2" s="1"/>
  <c r="V19" i="2"/>
  <c r="U19" i="2"/>
  <c r="T19" i="2"/>
  <c r="AA19" i="2" s="1"/>
  <c r="S19" i="2"/>
  <c r="AF18" i="2"/>
  <c r="AE18" i="2"/>
  <c r="AD18" i="2"/>
  <c r="AC18" i="2"/>
  <c r="AB18" i="2"/>
  <c r="Y18" i="2"/>
  <c r="X18" i="2"/>
  <c r="W18" i="2"/>
  <c r="V18" i="2"/>
  <c r="U18" i="2"/>
  <c r="T18" i="2"/>
  <c r="AA18" i="2" s="1"/>
  <c r="S18" i="2"/>
  <c r="Z18" i="2" s="1"/>
  <c r="AF17" i="2"/>
  <c r="AE17" i="2"/>
  <c r="AD17" i="2"/>
  <c r="AC17" i="2"/>
  <c r="AB17" i="2"/>
  <c r="Y17" i="2"/>
  <c r="X17" i="2"/>
  <c r="W17" i="2"/>
  <c r="V17" i="2"/>
  <c r="U17" i="2"/>
  <c r="T17" i="2"/>
  <c r="AA17" i="2" s="1"/>
  <c r="S17" i="2"/>
  <c r="Z17" i="2" s="1"/>
  <c r="AF16" i="2"/>
  <c r="AE16" i="2"/>
  <c r="AC16" i="2"/>
  <c r="AB16" i="2"/>
  <c r="Y16" i="2"/>
  <c r="X16" i="2"/>
  <c r="W16" i="2"/>
  <c r="AD16" i="2" s="1"/>
  <c r="V16" i="2"/>
  <c r="U16" i="2"/>
  <c r="T16" i="2"/>
  <c r="AA16" i="2" s="1"/>
  <c r="S16" i="2"/>
  <c r="Z16" i="2" s="1"/>
  <c r="AF15" i="2"/>
  <c r="AE15" i="2"/>
  <c r="AC15" i="2"/>
  <c r="AB15" i="2"/>
  <c r="Z15" i="2"/>
  <c r="Y15" i="2"/>
  <c r="X15" i="2"/>
  <c r="W15" i="2"/>
  <c r="AD15" i="2" s="1"/>
  <c r="V15" i="2"/>
  <c r="U15" i="2"/>
  <c r="T15" i="2"/>
  <c r="AA15" i="2" s="1"/>
  <c r="S15" i="2"/>
  <c r="AF14" i="2"/>
  <c r="AE14" i="2"/>
  <c r="AD14" i="2"/>
  <c r="AC14" i="2"/>
  <c r="AB14" i="2"/>
  <c r="Z14" i="2"/>
  <c r="Y14" i="2"/>
  <c r="X14" i="2"/>
  <c r="W14" i="2"/>
  <c r="V14" i="2"/>
  <c r="U14" i="2"/>
  <c r="T14" i="2"/>
  <c r="AA14" i="2" s="1"/>
  <c r="S14" i="2"/>
  <c r="AF13" i="2"/>
  <c r="AE13" i="2"/>
  <c r="AD13" i="2"/>
  <c r="AC13" i="2"/>
  <c r="AB13" i="2"/>
  <c r="Z13" i="2"/>
  <c r="Y13" i="2"/>
  <c r="X13" i="2"/>
  <c r="W13" i="2"/>
  <c r="V13" i="2"/>
  <c r="U13" i="2"/>
  <c r="T13" i="2"/>
  <c r="AA13" i="2" s="1"/>
  <c r="S13" i="2"/>
  <c r="AF12" i="2"/>
  <c r="AE12" i="2"/>
  <c r="AD12" i="2"/>
  <c r="AC12" i="2"/>
  <c r="AB12" i="2"/>
  <c r="Z12" i="2"/>
  <c r="Y12" i="2"/>
  <c r="X12" i="2"/>
  <c r="W12" i="2"/>
  <c r="V12" i="2"/>
  <c r="U12" i="2"/>
  <c r="T12" i="2"/>
  <c r="AA12" i="2" s="1"/>
  <c r="S12" i="2"/>
  <c r="AF11" i="2"/>
  <c r="AE11" i="2"/>
  <c r="AC11" i="2"/>
  <c r="AB11" i="2"/>
  <c r="Y11" i="2"/>
  <c r="X11" i="2"/>
  <c r="W11" i="2"/>
  <c r="AD11" i="2" s="1"/>
  <c r="V11" i="2"/>
  <c r="U11" i="2"/>
  <c r="T11" i="2"/>
  <c r="AA11" i="2" s="1"/>
  <c r="S11" i="2"/>
  <c r="Z11" i="2" s="1"/>
  <c r="AF10" i="2"/>
  <c r="AE10" i="2"/>
  <c r="AC10" i="2"/>
  <c r="AB10" i="2"/>
  <c r="Z10" i="2"/>
  <c r="Y10" i="2"/>
  <c r="X10" i="2"/>
  <c r="W10" i="2"/>
  <c r="AD10" i="2" s="1"/>
  <c r="V10" i="2"/>
  <c r="U10" i="2"/>
  <c r="T10" i="2"/>
  <c r="AA10" i="2" s="1"/>
  <c r="S10" i="2"/>
  <c r="AF9" i="2"/>
  <c r="AE9" i="2"/>
  <c r="AD9" i="2"/>
  <c r="AC9" i="2"/>
  <c r="AB9" i="2"/>
  <c r="Y9" i="2"/>
  <c r="X9" i="2"/>
  <c r="W9" i="2"/>
  <c r="V9" i="2"/>
  <c r="U9" i="2"/>
  <c r="T9" i="2"/>
  <c r="AA9" i="2" s="1"/>
  <c r="S9" i="2"/>
  <c r="Z9" i="2" s="1"/>
  <c r="AE8" i="2"/>
  <c r="AB8" i="2"/>
  <c r="Y8" i="2"/>
  <c r="AF8" i="2" s="1"/>
  <c r="X8" i="2"/>
  <c r="W8" i="2"/>
  <c r="AD8" i="2" s="1"/>
  <c r="V8" i="2"/>
  <c r="AC8" i="2" s="1"/>
  <c r="U8" i="2"/>
  <c r="T8" i="2"/>
  <c r="AA8" i="2" s="1"/>
  <c r="AG11" i="2" l="1"/>
  <c r="AI11" i="2" s="1"/>
  <c r="AG27" i="2"/>
  <c r="AI27" i="2" s="1"/>
  <c r="AG20" i="2"/>
  <c r="AI20" i="2" s="1"/>
  <c r="B33" i="19"/>
  <c r="H32" i="19"/>
  <c r="I32" i="19" s="1"/>
  <c r="AG8" i="2"/>
  <c r="AH8" i="2" s="1"/>
  <c r="AJ8" i="2" s="1"/>
  <c r="AG12" i="2"/>
  <c r="AI12" i="2" s="1"/>
  <c r="AG15" i="2"/>
  <c r="AI15" i="2" s="1"/>
  <c r="AG23" i="2"/>
  <c r="AI23" i="2" s="1"/>
  <c r="D46" i="2"/>
  <c r="F46" i="2" s="1"/>
  <c r="D48" i="2"/>
  <c r="F48" i="2" s="1"/>
  <c r="D45" i="2"/>
  <c r="F45" i="2" s="1"/>
  <c r="AG19" i="2"/>
  <c r="AI19" i="2" s="1"/>
  <c r="AG28" i="2"/>
  <c r="AI28" i="2" s="1"/>
  <c r="AG10" i="2"/>
  <c r="AI10" i="2" s="1"/>
  <c r="AG18" i="2"/>
  <c r="AI18" i="2" s="1"/>
  <c r="AG22" i="2"/>
  <c r="AI22" i="2" s="1"/>
  <c r="AG29" i="2"/>
  <c r="AI29" i="2" s="1"/>
  <c r="AG30" i="2"/>
  <c r="AI30" i="2" s="1"/>
  <c r="AG32" i="2"/>
  <c r="AI32" i="2" s="1"/>
  <c r="AG33" i="2"/>
  <c r="AI33" i="2" s="1"/>
  <c r="AG36" i="2"/>
  <c r="AI36" i="2" s="1"/>
  <c r="AG9" i="2"/>
  <c r="AI9" i="2" s="1"/>
  <c r="AG13" i="2"/>
  <c r="AI13" i="2" s="1"/>
  <c r="AG21" i="2"/>
  <c r="AI21" i="2" s="1"/>
  <c r="AG24" i="2"/>
  <c r="AI24" i="2" s="1"/>
  <c r="AG26" i="2"/>
  <c r="AI26" i="2" s="1"/>
  <c r="AH11" i="2"/>
  <c r="AJ11" i="2" s="1"/>
  <c r="AK11" i="2" s="1"/>
  <c r="AL11" i="2" s="1"/>
  <c r="AH23" i="2"/>
  <c r="AJ23" i="2" s="1"/>
  <c r="AK23" i="2" s="1"/>
  <c r="AL23" i="2" s="1"/>
  <c r="AG14" i="2"/>
  <c r="AI14" i="2" s="1"/>
  <c r="AG16" i="2"/>
  <c r="AI16" i="2" s="1"/>
  <c r="AG17" i="2"/>
  <c r="AI17" i="2" s="1"/>
  <c r="AG25" i="2"/>
  <c r="AI25" i="2" s="1"/>
  <c r="AG31" i="2"/>
  <c r="AI31" i="2" s="1"/>
  <c r="AG34" i="2"/>
  <c r="AI34" i="2" s="1"/>
  <c r="AG35" i="2"/>
  <c r="AI35" i="2" s="1"/>
  <c r="AG37" i="2"/>
  <c r="AI37" i="2" s="1"/>
  <c r="AH20" i="2"/>
  <c r="AJ20" i="2" s="1"/>
  <c r="AK20" i="2" s="1"/>
  <c r="AL20" i="2" s="1"/>
  <c r="AH28" i="2" l="1"/>
  <c r="AJ28" i="2" s="1"/>
  <c r="AK28" i="2" s="1"/>
  <c r="AL28" i="2" s="1"/>
  <c r="AI8" i="2"/>
  <c r="AH15" i="2"/>
  <c r="AJ15" i="2" s="1"/>
  <c r="AK15" i="2" s="1"/>
  <c r="AL15" i="2" s="1"/>
  <c r="AH9" i="2"/>
  <c r="AJ9" i="2" s="1"/>
  <c r="AK9" i="2" s="1"/>
  <c r="AL9" i="2" s="1"/>
  <c r="AH30" i="2"/>
  <c r="AJ30" i="2" s="1"/>
  <c r="AK30" i="2" s="1"/>
  <c r="AL30" i="2" s="1"/>
  <c r="AH29" i="2"/>
  <c r="AJ29" i="2" s="1"/>
  <c r="AH36" i="2"/>
  <c r="AJ36" i="2" s="1"/>
  <c r="AH27" i="2"/>
  <c r="AJ27" i="2" s="1"/>
  <c r="AK27" i="2" s="1"/>
  <c r="AL27" i="2" s="1"/>
  <c r="AH12" i="2"/>
  <c r="AJ12" i="2" s="1"/>
  <c r="AK12" i="2" s="1"/>
  <c r="AL12" i="2" s="1"/>
  <c r="AH21" i="2"/>
  <c r="AJ21" i="2" s="1"/>
  <c r="B34" i="19"/>
  <c r="H33" i="19"/>
  <c r="I33" i="19" s="1"/>
  <c r="AH17" i="2"/>
  <c r="AJ17" i="2" s="1"/>
  <c r="AK17" i="2" s="1"/>
  <c r="AL17" i="2" s="1"/>
  <c r="AH16" i="2"/>
  <c r="AJ16" i="2" s="1"/>
  <c r="AH31" i="2"/>
  <c r="AJ31" i="2" s="1"/>
  <c r="AK31" i="2" s="1"/>
  <c r="AL31" i="2" s="1"/>
  <c r="AK8" i="2"/>
  <c r="AL8" i="2" s="1"/>
  <c r="AH26" i="2"/>
  <c r="AJ26" i="2" s="1"/>
  <c r="AK26" i="2" s="1"/>
  <c r="AL26" i="2" s="1"/>
  <c r="AH35" i="2"/>
  <c r="AJ35" i="2" s="1"/>
  <c r="AK35" i="2" s="1"/>
  <c r="AL35" i="2" s="1"/>
  <c r="AH33" i="2"/>
  <c r="AJ33" i="2" s="1"/>
  <c r="AK33" i="2" s="1"/>
  <c r="AL33" i="2" s="1"/>
  <c r="F50" i="2"/>
  <c r="AH19" i="2"/>
  <c r="AJ19" i="2" s="1"/>
  <c r="AK19" i="2" s="1"/>
  <c r="AL19" i="2" s="1"/>
  <c r="AH24" i="2"/>
  <c r="AJ24" i="2" s="1"/>
  <c r="AK24" i="2" s="1"/>
  <c r="AL24" i="2" s="1"/>
  <c r="AH25" i="2"/>
  <c r="AJ25" i="2" s="1"/>
  <c r="AK25" i="2" s="1"/>
  <c r="AL25" i="2" s="1"/>
  <c r="AK36" i="2"/>
  <c r="AL36" i="2" s="1"/>
  <c r="AK16" i="2"/>
  <c r="AL16" i="2" s="1"/>
  <c r="AH13" i="2"/>
  <c r="AJ13" i="2" s="1"/>
  <c r="AK13" i="2" s="1"/>
  <c r="AL13" i="2" s="1"/>
  <c r="AK21" i="2"/>
  <c r="AL21" i="2" s="1"/>
  <c r="AH37" i="2"/>
  <c r="AJ37" i="2" s="1"/>
  <c r="AK37" i="2" s="1"/>
  <c r="AL37" i="2" s="1"/>
  <c r="AK29" i="2"/>
  <c r="AL29" i="2" s="1"/>
  <c r="AH22" i="2"/>
  <c r="AJ22" i="2" s="1"/>
  <c r="AK22" i="2" s="1"/>
  <c r="AL22" i="2" s="1"/>
  <c r="AH18" i="2"/>
  <c r="AJ18" i="2" s="1"/>
  <c r="AK18" i="2" s="1"/>
  <c r="AL18" i="2" s="1"/>
  <c r="AH32" i="2"/>
  <c r="AJ32" i="2" s="1"/>
  <c r="AK32" i="2" s="1"/>
  <c r="AL32" i="2" s="1"/>
  <c r="AH10" i="2"/>
  <c r="AJ10" i="2" s="1"/>
  <c r="AK10" i="2" s="1"/>
  <c r="AL10" i="2" s="1"/>
  <c r="AH34" i="2"/>
  <c r="AJ34" i="2" s="1"/>
  <c r="AK34" i="2" s="1"/>
  <c r="AL34" i="2" s="1"/>
  <c r="AH14" i="2"/>
  <c r="AJ14" i="2" s="1"/>
  <c r="AK14" i="2" s="1"/>
  <c r="AL14" i="2" s="1"/>
  <c r="H34" i="19" l="1"/>
  <c r="I34" i="19" s="1"/>
  <c r="B35" i="19"/>
  <c r="H35" i="19" s="1"/>
  <c r="I35" i="19" s="1"/>
  <c r="O4" i="1"/>
  <c r="P4" i="1"/>
  <c r="G8" i="1"/>
  <c r="E8" i="1"/>
  <c r="G5" i="1"/>
  <c r="E5" i="1"/>
  <c r="G6" i="19"/>
  <c r="D6" i="19"/>
  <c r="C34" i="16"/>
  <c r="D33" i="16" s="1"/>
  <c r="F33" i="16" s="1"/>
  <c r="AF22" i="16"/>
  <c r="AC22" i="16"/>
  <c r="AB22" i="16"/>
  <c r="Z22" i="16"/>
  <c r="Y22" i="16"/>
  <c r="X22" i="16"/>
  <c r="AE22" i="16" s="1"/>
  <c r="W22" i="16"/>
  <c r="AD22" i="16" s="1"/>
  <c r="V22" i="16"/>
  <c r="U22" i="16"/>
  <c r="T22" i="16"/>
  <c r="AA22" i="16" s="1"/>
  <c r="S22" i="16"/>
  <c r="AF21" i="16"/>
  <c r="AE21" i="16"/>
  <c r="AC21" i="16"/>
  <c r="AB21" i="16"/>
  <c r="Z21" i="16"/>
  <c r="Y21" i="16"/>
  <c r="X21" i="16"/>
  <c r="W21" i="16"/>
  <c r="AD21" i="16" s="1"/>
  <c r="V21" i="16"/>
  <c r="U21" i="16"/>
  <c r="T21" i="16"/>
  <c r="AA21" i="16" s="1"/>
  <c r="S21" i="16"/>
  <c r="AF20" i="16"/>
  <c r="AE20" i="16"/>
  <c r="AC20" i="16"/>
  <c r="AB20" i="16"/>
  <c r="Z20" i="16"/>
  <c r="Y20" i="16"/>
  <c r="X20" i="16"/>
  <c r="W20" i="16"/>
  <c r="AD20" i="16" s="1"/>
  <c r="V20" i="16"/>
  <c r="U20" i="16"/>
  <c r="T20" i="16"/>
  <c r="AA20" i="16" s="1"/>
  <c r="S20" i="16"/>
  <c r="AF19" i="16"/>
  <c r="AE19" i="16"/>
  <c r="AC19" i="16"/>
  <c r="AB19" i="16"/>
  <c r="Z19" i="16"/>
  <c r="Y19" i="16"/>
  <c r="X19" i="16"/>
  <c r="W19" i="16"/>
  <c r="AD19" i="16" s="1"/>
  <c r="V19" i="16"/>
  <c r="U19" i="16"/>
  <c r="T19" i="16"/>
  <c r="AA19" i="16" s="1"/>
  <c r="S19" i="16"/>
  <c r="AF18" i="16"/>
  <c r="AE18" i="16"/>
  <c r="AC18" i="16"/>
  <c r="AB18" i="16"/>
  <c r="Z18" i="16"/>
  <c r="Y18" i="16"/>
  <c r="X18" i="16"/>
  <c r="W18" i="16"/>
  <c r="AD18" i="16" s="1"/>
  <c r="V18" i="16"/>
  <c r="U18" i="16"/>
  <c r="T18" i="16"/>
  <c r="AA18" i="16" s="1"/>
  <c r="S18" i="16"/>
  <c r="AF17" i="16"/>
  <c r="AE17" i="16"/>
  <c r="AC17" i="16"/>
  <c r="AB17" i="16"/>
  <c r="Y17" i="16"/>
  <c r="X17" i="16"/>
  <c r="W17" i="16"/>
  <c r="AD17" i="16" s="1"/>
  <c r="V17" i="16"/>
  <c r="U17" i="16"/>
  <c r="T17" i="16"/>
  <c r="AA17" i="16" s="1"/>
  <c r="S17" i="16"/>
  <c r="Z17" i="16" s="1"/>
  <c r="AF16" i="16"/>
  <c r="AE16" i="16"/>
  <c r="AC16" i="16"/>
  <c r="AB16" i="16"/>
  <c r="Z16" i="16"/>
  <c r="Y16" i="16"/>
  <c r="X16" i="16"/>
  <c r="W16" i="16"/>
  <c r="AD16" i="16" s="1"/>
  <c r="V16" i="16"/>
  <c r="U16" i="16"/>
  <c r="T16" i="16"/>
  <c r="AA16" i="16" s="1"/>
  <c r="S16" i="16"/>
  <c r="AF15" i="16"/>
  <c r="AE15" i="16"/>
  <c r="AC15" i="16"/>
  <c r="AB15" i="16"/>
  <c r="Z15" i="16"/>
  <c r="Y15" i="16"/>
  <c r="X15" i="16"/>
  <c r="W15" i="16"/>
  <c r="AD15" i="16" s="1"/>
  <c r="V15" i="16"/>
  <c r="U15" i="16"/>
  <c r="T15" i="16"/>
  <c r="AA15" i="16" s="1"/>
  <c r="S15" i="16"/>
  <c r="AF14" i="16"/>
  <c r="AE14" i="16"/>
  <c r="AC14" i="16"/>
  <c r="AB14" i="16"/>
  <c r="Z14" i="16"/>
  <c r="Y14" i="16"/>
  <c r="X14" i="16"/>
  <c r="W14" i="16"/>
  <c r="AD14" i="16" s="1"/>
  <c r="V14" i="16"/>
  <c r="U14" i="16"/>
  <c r="T14" i="16"/>
  <c r="AA14" i="16" s="1"/>
  <c r="S14" i="16"/>
  <c r="AF13" i="16"/>
  <c r="AE13" i="16"/>
  <c r="AC13" i="16"/>
  <c r="AB13" i="16"/>
  <c r="Z13" i="16"/>
  <c r="Y13" i="16"/>
  <c r="X13" i="16"/>
  <c r="W13" i="16"/>
  <c r="AD13" i="16" s="1"/>
  <c r="V13" i="16"/>
  <c r="U13" i="16"/>
  <c r="T13" i="16"/>
  <c r="AA13" i="16" s="1"/>
  <c r="S13" i="16"/>
  <c r="AF12" i="16"/>
  <c r="AE12" i="16"/>
  <c r="AC12" i="16"/>
  <c r="AB12" i="16"/>
  <c r="Z12" i="16"/>
  <c r="Y12" i="16"/>
  <c r="X12" i="16"/>
  <c r="W12" i="16"/>
  <c r="AD12" i="16" s="1"/>
  <c r="V12" i="16"/>
  <c r="U12" i="16"/>
  <c r="T12" i="16"/>
  <c r="AA12" i="16" s="1"/>
  <c r="S12" i="16"/>
  <c r="AF11" i="16"/>
  <c r="AE11" i="16"/>
  <c r="AC11" i="16"/>
  <c r="AB11" i="16"/>
  <c r="Y11" i="16"/>
  <c r="X11" i="16"/>
  <c r="W11" i="16"/>
  <c r="AD11" i="16" s="1"/>
  <c r="V11" i="16"/>
  <c r="U11" i="16"/>
  <c r="T11" i="16"/>
  <c r="AA11" i="16" s="1"/>
  <c r="S11" i="16"/>
  <c r="Z11" i="16" s="1"/>
  <c r="AF10" i="16"/>
  <c r="AE10" i="16"/>
  <c r="AC10" i="16"/>
  <c r="AB10" i="16"/>
  <c r="Z10" i="16"/>
  <c r="Y10" i="16"/>
  <c r="X10" i="16"/>
  <c r="W10" i="16"/>
  <c r="AD10" i="16" s="1"/>
  <c r="V10" i="16"/>
  <c r="U10" i="16"/>
  <c r="T10" i="16"/>
  <c r="AA10" i="16" s="1"/>
  <c r="S10" i="16"/>
  <c r="AF9" i="16"/>
  <c r="AE9" i="16"/>
  <c r="AC9" i="16"/>
  <c r="AB9" i="16"/>
  <c r="Z9" i="16"/>
  <c r="Y9" i="16"/>
  <c r="X9" i="16"/>
  <c r="W9" i="16"/>
  <c r="AD9" i="16" s="1"/>
  <c r="V9" i="16"/>
  <c r="U9" i="16"/>
  <c r="T9" i="16"/>
  <c r="AA9" i="16" s="1"/>
  <c r="S9" i="16"/>
  <c r="AF8" i="16"/>
  <c r="AE8" i="16"/>
  <c r="Y8" i="16"/>
  <c r="X8" i="16"/>
  <c r="W8" i="16"/>
  <c r="AD8" i="16" s="1"/>
  <c r="V8" i="16"/>
  <c r="AC8" i="16" s="1"/>
  <c r="U8" i="16"/>
  <c r="AB8" i="16" s="1"/>
  <c r="T8" i="16"/>
  <c r="AA8" i="16" s="1"/>
  <c r="S8" i="16"/>
  <c r="Z8" i="16" s="1"/>
  <c r="H14" i="15"/>
  <c r="E7" i="15"/>
  <c r="E4" i="15"/>
  <c r="D32" i="16" l="1"/>
  <c r="F32" i="16" s="1"/>
  <c r="M4" i="1"/>
  <c r="D31" i="16"/>
  <c r="F31" i="16" s="1"/>
  <c r="AG11" i="16"/>
  <c r="AI11" i="16" s="1"/>
  <c r="N4" i="1"/>
  <c r="Q4" i="1" s="1"/>
  <c r="R4" i="1" s="1"/>
  <c r="I3" i="15"/>
  <c r="K3" i="15" s="1"/>
  <c r="L3" i="15" s="1"/>
  <c r="D30" i="16"/>
  <c r="F30" i="16" s="1"/>
  <c r="AG15" i="16"/>
  <c r="AI15" i="16" s="1"/>
  <c r="AG19" i="16"/>
  <c r="AI19" i="16" s="1"/>
  <c r="AG12" i="16"/>
  <c r="AI12" i="16" s="1"/>
  <c r="AG16" i="16"/>
  <c r="AI16" i="16" s="1"/>
  <c r="AG20" i="16"/>
  <c r="AI20" i="16" s="1"/>
  <c r="S4" i="1"/>
  <c r="T4" i="1" s="1"/>
  <c r="AG10" i="16"/>
  <c r="AI10" i="16" s="1"/>
  <c r="AG14" i="16"/>
  <c r="AI14" i="16" s="1"/>
  <c r="AG18" i="16"/>
  <c r="AI18" i="16" s="1"/>
  <c r="AG22" i="16"/>
  <c r="AI22" i="16" s="1"/>
  <c r="AG8" i="16"/>
  <c r="AI8" i="16" s="1"/>
  <c r="AG9" i="16"/>
  <c r="AI9" i="16" s="1"/>
  <c r="AG13" i="16"/>
  <c r="AI13" i="16" s="1"/>
  <c r="AG17" i="16"/>
  <c r="AI17" i="16" s="1"/>
  <c r="AG21" i="16"/>
  <c r="AI21" i="16" s="1"/>
  <c r="AH9" i="16"/>
  <c r="AJ9" i="16" s="1"/>
  <c r="AH10" i="16"/>
  <c r="AJ10" i="16" s="1"/>
  <c r="AH17" i="16"/>
  <c r="AJ17" i="16" s="1"/>
  <c r="AH19" i="16"/>
  <c r="AJ19" i="16" s="1"/>
  <c r="AH21" i="16"/>
  <c r="AJ21" i="16" s="1"/>
  <c r="AH15" i="16" l="1"/>
  <c r="AJ15" i="16" s="1"/>
  <c r="AK15" i="16" s="1"/>
  <c r="AL15" i="16" s="1"/>
  <c r="AH20" i="16"/>
  <c r="AJ20" i="16" s="1"/>
  <c r="AK20" i="16" s="1"/>
  <c r="AL20" i="16" s="1"/>
  <c r="AH11" i="16"/>
  <c r="AJ11" i="16" s="1"/>
  <c r="AK11" i="16" s="1"/>
  <c r="AL11" i="16" s="1"/>
  <c r="F35" i="16"/>
  <c r="AH13" i="16"/>
  <c r="AJ13" i="16" s="1"/>
  <c r="AK19" i="16"/>
  <c r="AL19" i="16" s="1"/>
  <c r="AH16" i="16"/>
  <c r="AJ16" i="16" s="1"/>
  <c r="AK16" i="16" s="1"/>
  <c r="AL16" i="16" s="1"/>
  <c r="AH14" i="16"/>
  <c r="AJ14" i="16" s="1"/>
  <c r="AH22" i="16"/>
  <c r="AJ22" i="16" s="1"/>
  <c r="AH12" i="16"/>
  <c r="AJ12" i="16" s="1"/>
  <c r="AK12" i="16" s="1"/>
  <c r="AL12" i="16" s="1"/>
  <c r="AH8" i="16"/>
  <c r="AJ8" i="16" s="1"/>
  <c r="AK8" i="16" s="1"/>
  <c r="AL8" i="16" s="1"/>
  <c r="AK13" i="16"/>
  <c r="AL13" i="16" s="1"/>
  <c r="AH18" i="16"/>
  <c r="AJ18" i="16" s="1"/>
  <c r="AK18" i="16" s="1"/>
  <c r="AL18" i="16" s="1"/>
  <c r="AK22" i="16"/>
  <c r="AL22" i="16" s="1"/>
  <c r="AK21" i="16"/>
  <c r="AL21" i="16" s="1"/>
  <c r="AK10" i="16"/>
  <c r="AL10" i="16" s="1"/>
  <c r="AK17" i="16"/>
  <c r="AL17" i="16" s="1"/>
  <c r="AK9" i="16"/>
  <c r="AL9" i="16" s="1"/>
  <c r="AK14" i="16"/>
  <c r="AL14" i="16" s="1"/>
  <c r="C34" i="14" l="1"/>
  <c r="D33" i="14" s="1"/>
  <c r="F33" i="14" s="1"/>
  <c r="D32" i="14"/>
  <c r="F32" i="14" s="1"/>
  <c r="D31" i="14"/>
  <c r="F31" i="14" s="1"/>
  <c r="D30" i="14"/>
  <c r="F30" i="14" s="1"/>
  <c r="AE22" i="14"/>
  <c r="AC22" i="14"/>
  <c r="AB22" i="14"/>
  <c r="Z22" i="14"/>
  <c r="Y22" i="14"/>
  <c r="AF22" i="14" s="1"/>
  <c r="X22" i="14"/>
  <c r="W22" i="14"/>
  <c r="AD22" i="14" s="1"/>
  <c r="V22" i="14"/>
  <c r="U22" i="14"/>
  <c r="T22" i="14"/>
  <c r="AA22" i="14" s="1"/>
  <c r="S22" i="14"/>
  <c r="AC21" i="14"/>
  <c r="Z21" i="14"/>
  <c r="Y21" i="14"/>
  <c r="AF21" i="14" s="1"/>
  <c r="X21" i="14"/>
  <c r="AE21" i="14" s="1"/>
  <c r="W21" i="14"/>
  <c r="AD21" i="14" s="1"/>
  <c r="V21" i="14"/>
  <c r="U21" i="14"/>
  <c r="AB21" i="14" s="1"/>
  <c r="T21" i="14"/>
  <c r="AA21" i="14" s="1"/>
  <c r="S21" i="14"/>
  <c r="AE20" i="14"/>
  <c r="AC20" i="14"/>
  <c r="AB20" i="14"/>
  <c r="Z20" i="14"/>
  <c r="Y20" i="14"/>
  <c r="AF20" i="14" s="1"/>
  <c r="X20" i="14"/>
  <c r="W20" i="14"/>
  <c r="AD20" i="14" s="1"/>
  <c r="V20" i="14"/>
  <c r="U20" i="14"/>
  <c r="T20" i="14"/>
  <c r="AA20" i="14" s="1"/>
  <c r="S20" i="14"/>
  <c r="AC19" i="14"/>
  <c r="AB19" i="14"/>
  <c r="Z19" i="14"/>
  <c r="Y19" i="14"/>
  <c r="AF19" i="14" s="1"/>
  <c r="X19" i="14"/>
  <c r="AE19" i="14" s="1"/>
  <c r="W19" i="14"/>
  <c r="AD19" i="14" s="1"/>
  <c r="V19" i="14"/>
  <c r="U19" i="14"/>
  <c r="T19" i="14"/>
  <c r="AA19" i="14" s="1"/>
  <c r="S19" i="14"/>
  <c r="AC18" i="14"/>
  <c r="AB18" i="14"/>
  <c r="Z18" i="14"/>
  <c r="Y18" i="14"/>
  <c r="AF18" i="14" s="1"/>
  <c r="X18" i="14"/>
  <c r="AE18" i="14" s="1"/>
  <c r="W18" i="14"/>
  <c r="AD18" i="14" s="1"/>
  <c r="V18" i="14"/>
  <c r="U18" i="14"/>
  <c r="T18" i="14"/>
  <c r="AA18" i="14" s="1"/>
  <c r="S18" i="14"/>
  <c r="AC17" i="14"/>
  <c r="AB17" i="14"/>
  <c r="Z17" i="14"/>
  <c r="Y17" i="14"/>
  <c r="AF17" i="14" s="1"/>
  <c r="X17" i="14"/>
  <c r="AE17" i="14" s="1"/>
  <c r="W17" i="14"/>
  <c r="AD17" i="14" s="1"/>
  <c r="V17" i="14"/>
  <c r="U17" i="14"/>
  <c r="T17" i="14"/>
  <c r="AA17" i="14" s="1"/>
  <c r="S17" i="14"/>
  <c r="AC16" i="14"/>
  <c r="AB16" i="14"/>
  <c r="Z16" i="14"/>
  <c r="Y16" i="14"/>
  <c r="AF16" i="14" s="1"/>
  <c r="X16" i="14"/>
  <c r="AE16" i="14" s="1"/>
  <c r="W16" i="14"/>
  <c r="AD16" i="14" s="1"/>
  <c r="V16" i="14"/>
  <c r="U16" i="14"/>
  <c r="T16" i="14"/>
  <c r="AA16" i="14" s="1"/>
  <c r="S16" i="14"/>
  <c r="AE15" i="14"/>
  <c r="AC15" i="14"/>
  <c r="AB15" i="14"/>
  <c r="Z15" i="14"/>
  <c r="Y15" i="14"/>
  <c r="AF15" i="14" s="1"/>
  <c r="X15" i="14"/>
  <c r="W15" i="14"/>
  <c r="AD15" i="14" s="1"/>
  <c r="V15" i="14"/>
  <c r="U15" i="14"/>
  <c r="T15" i="14"/>
  <c r="AA15" i="14" s="1"/>
  <c r="S15" i="14"/>
  <c r="AC14" i="14"/>
  <c r="AB14" i="14"/>
  <c r="Z14" i="14"/>
  <c r="Y14" i="14"/>
  <c r="AF14" i="14" s="1"/>
  <c r="X14" i="14"/>
  <c r="AE14" i="14" s="1"/>
  <c r="W14" i="14"/>
  <c r="AD14" i="14" s="1"/>
  <c r="V14" i="14"/>
  <c r="U14" i="14"/>
  <c r="T14" i="14"/>
  <c r="AA14" i="14" s="1"/>
  <c r="S14" i="14"/>
  <c r="AC13" i="14"/>
  <c r="AB13" i="14"/>
  <c r="Z13" i="14"/>
  <c r="Y13" i="14"/>
  <c r="AF13" i="14" s="1"/>
  <c r="X13" i="14"/>
  <c r="AE13" i="14" s="1"/>
  <c r="W13" i="14"/>
  <c r="AD13" i="14" s="1"/>
  <c r="V13" i="14"/>
  <c r="U13" i="14"/>
  <c r="T13" i="14"/>
  <c r="AA13" i="14" s="1"/>
  <c r="S13" i="14"/>
  <c r="AC12" i="14"/>
  <c r="AB12" i="14"/>
  <c r="Z12" i="14"/>
  <c r="Y12" i="14"/>
  <c r="AF12" i="14" s="1"/>
  <c r="X12" i="14"/>
  <c r="AE12" i="14" s="1"/>
  <c r="W12" i="14"/>
  <c r="AD12" i="14" s="1"/>
  <c r="V12" i="14"/>
  <c r="U12" i="14"/>
  <c r="T12" i="14"/>
  <c r="AA12" i="14" s="1"/>
  <c r="S12" i="14"/>
  <c r="AE11" i="14"/>
  <c r="AC11" i="14"/>
  <c r="AB11" i="14"/>
  <c r="Z11" i="14"/>
  <c r="Y11" i="14"/>
  <c r="AF11" i="14" s="1"/>
  <c r="X11" i="14"/>
  <c r="W11" i="14"/>
  <c r="AD11" i="14" s="1"/>
  <c r="V11" i="14"/>
  <c r="U11" i="14"/>
  <c r="T11" i="14"/>
  <c r="AA11" i="14" s="1"/>
  <c r="S11" i="14"/>
  <c r="AE10" i="14"/>
  <c r="AC10" i="14"/>
  <c r="AB10" i="14"/>
  <c r="Z10" i="14"/>
  <c r="Y10" i="14"/>
  <c r="AF10" i="14" s="1"/>
  <c r="X10" i="14"/>
  <c r="W10" i="14"/>
  <c r="AD10" i="14" s="1"/>
  <c r="V10" i="14"/>
  <c r="U10" i="14"/>
  <c r="T10" i="14"/>
  <c r="AA10" i="14" s="1"/>
  <c r="S10" i="14"/>
  <c r="AF9" i="14"/>
  <c r="AE9" i="14"/>
  <c r="AC9" i="14"/>
  <c r="AB9" i="14"/>
  <c r="Z9" i="14"/>
  <c r="Y9" i="14"/>
  <c r="X9" i="14"/>
  <c r="W9" i="14"/>
  <c r="AD9" i="14" s="1"/>
  <c r="V9" i="14"/>
  <c r="U9" i="14"/>
  <c r="T9" i="14"/>
  <c r="AA9" i="14" s="1"/>
  <c r="S9" i="14"/>
  <c r="AE8" i="14"/>
  <c r="Z8" i="14"/>
  <c r="Y8" i="14"/>
  <c r="AF8" i="14" s="1"/>
  <c r="X8" i="14"/>
  <c r="W8" i="14"/>
  <c r="AD8" i="14" s="1"/>
  <c r="V8" i="14"/>
  <c r="AC8" i="14" s="1"/>
  <c r="U8" i="14"/>
  <c r="AB8" i="14" s="1"/>
  <c r="T8" i="14"/>
  <c r="AA8" i="14" s="1"/>
  <c r="S8" i="14"/>
  <c r="G7" i="13"/>
  <c r="E7" i="13"/>
  <c r="G4" i="13"/>
  <c r="H14" i="13" s="1"/>
  <c r="E4" i="13"/>
  <c r="J3" i="13" l="1"/>
  <c r="F35" i="14"/>
  <c r="AG9" i="14"/>
  <c r="AI9" i="14" s="1"/>
  <c r="AG16" i="14"/>
  <c r="AI16" i="14" s="1"/>
  <c r="AG17" i="14"/>
  <c r="AI17" i="14" s="1"/>
  <c r="AG18" i="14"/>
  <c r="AI18" i="14" s="1"/>
  <c r="AG19" i="14"/>
  <c r="AI19" i="14" s="1"/>
  <c r="AG20" i="14"/>
  <c r="AI20" i="14" s="1"/>
  <c r="I3" i="13"/>
  <c r="K3" i="13" s="1"/>
  <c r="L3" i="13" s="1"/>
  <c r="AG12" i="14"/>
  <c r="AI12" i="14" s="1"/>
  <c r="AG13" i="14"/>
  <c r="AI13" i="14" s="1"/>
  <c r="AG14" i="14"/>
  <c r="AI14" i="14" s="1"/>
  <c r="AG15" i="14"/>
  <c r="AI15" i="14" s="1"/>
  <c r="AG8" i="14"/>
  <c r="AI8" i="14" s="1"/>
  <c r="AG11" i="14"/>
  <c r="AI11" i="14" s="1"/>
  <c r="AG10" i="14"/>
  <c r="AI10" i="14" s="1"/>
  <c r="AG21" i="14"/>
  <c r="AI21" i="14" s="1"/>
  <c r="AG22" i="14"/>
  <c r="AI22" i="14" s="1"/>
  <c r="AH9" i="14"/>
  <c r="AJ9" i="14" s="1"/>
  <c r="AK9" i="14" s="1"/>
  <c r="AL9" i="14" s="1"/>
  <c r="AH12" i="14"/>
  <c r="AJ12" i="14" s="1"/>
  <c r="AK12" i="14" s="1"/>
  <c r="AL12" i="14" s="1"/>
  <c r="AH13" i="14"/>
  <c r="AJ13" i="14" s="1"/>
  <c r="AK13" i="14" s="1"/>
  <c r="AL13" i="14" s="1"/>
  <c r="AH14" i="14"/>
  <c r="AJ14" i="14" s="1"/>
  <c r="AH16" i="14"/>
  <c r="AJ16" i="14" s="1"/>
  <c r="AK16" i="14" s="1"/>
  <c r="AL16" i="14" s="1"/>
  <c r="AH18" i="14"/>
  <c r="AJ18" i="14" s="1"/>
  <c r="AK18" i="14" s="1"/>
  <c r="AL18" i="14" s="1"/>
  <c r="AH19" i="14"/>
  <c r="AJ19" i="14" s="1"/>
  <c r="AK19" i="14" s="1"/>
  <c r="AL19" i="14" s="1"/>
  <c r="AH20" i="14"/>
  <c r="AJ20" i="14" s="1"/>
  <c r="AK20" i="14" s="1"/>
  <c r="AL20" i="14" s="1"/>
  <c r="AH22" i="14"/>
  <c r="AJ22" i="14" s="1"/>
  <c r="AH21" i="14" l="1"/>
  <c r="AJ21" i="14" s="1"/>
  <c r="AK21" i="14" s="1"/>
  <c r="AL21" i="14" s="1"/>
  <c r="AH15" i="14"/>
  <c r="AJ15" i="14" s="1"/>
  <c r="AK15" i="14" s="1"/>
  <c r="AL15" i="14" s="1"/>
  <c r="AK14" i="14"/>
  <c r="AL14" i="14" s="1"/>
  <c r="AH10" i="14"/>
  <c r="AJ10" i="14" s="1"/>
  <c r="AH17" i="14"/>
  <c r="AJ17" i="14" s="1"/>
  <c r="AK17" i="14" s="1"/>
  <c r="AL17" i="14" s="1"/>
  <c r="AH11" i="14"/>
  <c r="AJ11" i="14" s="1"/>
  <c r="AK11" i="14" s="1"/>
  <c r="AL11" i="14" s="1"/>
  <c r="AK22" i="14"/>
  <c r="AL22" i="14" s="1"/>
  <c r="AK10" i="14"/>
  <c r="AL10" i="14" s="1"/>
  <c r="AH8" i="14"/>
  <c r="AJ8" i="14" s="1"/>
  <c r="AK8" i="14" s="1"/>
  <c r="AL8" i="14" s="1"/>
  <c r="C49" i="12" l="1"/>
  <c r="D48" i="12" s="1"/>
  <c r="F48" i="12" s="1"/>
  <c r="AF37" i="12"/>
  <c r="AE37" i="12"/>
  <c r="AD37" i="12"/>
  <c r="AC37" i="12"/>
  <c r="Z37" i="12"/>
  <c r="Y37" i="12"/>
  <c r="X37" i="12"/>
  <c r="W37" i="12"/>
  <c r="V37" i="12"/>
  <c r="U37" i="12"/>
  <c r="AB37" i="12" s="1"/>
  <c r="T37" i="12"/>
  <c r="AA37" i="12" s="1"/>
  <c r="S37" i="12"/>
  <c r="AF36" i="12"/>
  <c r="AE36" i="12"/>
  <c r="AD36" i="12"/>
  <c r="AC36" i="12"/>
  <c r="Y36" i="12"/>
  <c r="X36" i="12"/>
  <c r="W36" i="12"/>
  <c r="V36" i="12"/>
  <c r="U36" i="12"/>
  <c r="AB36" i="12" s="1"/>
  <c r="T36" i="12"/>
  <c r="AA36" i="12" s="1"/>
  <c r="S36" i="12"/>
  <c r="Z36" i="12" s="1"/>
  <c r="AF35" i="12"/>
  <c r="AE35" i="12"/>
  <c r="AD35" i="12"/>
  <c r="AC35" i="12"/>
  <c r="Y35" i="12"/>
  <c r="X35" i="12"/>
  <c r="W35" i="12"/>
  <c r="V35" i="12"/>
  <c r="U35" i="12"/>
  <c r="AB35" i="12" s="1"/>
  <c r="T35" i="12"/>
  <c r="AA35" i="12" s="1"/>
  <c r="S35" i="12"/>
  <c r="Z35" i="12" s="1"/>
  <c r="AF34" i="12"/>
  <c r="AE34" i="12"/>
  <c r="AC34" i="12"/>
  <c r="Z34" i="12"/>
  <c r="Y34" i="12"/>
  <c r="X34" i="12"/>
  <c r="W34" i="12"/>
  <c r="AD34" i="12" s="1"/>
  <c r="V34" i="12"/>
  <c r="U34" i="12"/>
  <c r="AB34" i="12" s="1"/>
  <c r="T34" i="12"/>
  <c r="AA34" i="12" s="1"/>
  <c r="S34" i="12"/>
  <c r="AF33" i="12"/>
  <c r="AE33" i="12"/>
  <c r="AC33" i="12"/>
  <c r="Y33" i="12"/>
  <c r="X33" i="12"/>
  <c r="W33" i="12"/>
  <c r="AD33" i="12" s="1"/>
  <c r="V33" i="12"/>
  <c r="U33" i="12"/>
  <c r="AB33" i="12" s="1"/>
  <c r="T33" i="12"/>
  <c r="AA33" i="12" s="1"/>
  <c r="S33" i="12"/>
  <c r="Z33" i="12" s="1"/>
  <c r="AF32" i="12"/>
  <c r="AE32" i="12"/>
  <c r="AC32" i="12"/>
  <c r="Y32" i="12"/>
  <c r="X32" i="12"/>
  <c r="W32" i="12"/>
  <c r="AD32" i="12" s="1"/>
  <c r="V32" i="12"/>
  <c r="U32" i="12"/>
  <c r="AB32" i="12" s="1"/>
  <c r="T32" i="12"/>
  <c r="AA32" i="12" s="1"/>
  <c r="S32" i="12"/>
  <c r="Z32" i="12" s="1"/>
  <c r="AF31" i="12"/>
  <c r="AE31" i="12"/>
  <c r="AC31" i="12"/>
  <c r="Z31" i="12"/>
  <c r="Y31" i="12"/>
  <c r="X31" i="12"/>
  <c r="W31" i="12"/>
  <c r="AD31" i="12" s="1"/>
  <c r="V31" i="12"/>
  <c r="U31" i="12"/>
  <c r="AB31" i="12" s="1"/>
  <c r="T31" i="12"/>
  <c r="AA31" i="12" s="1"/>
  <c r="S31" i="12"/>
  <c r="AF30" i="12"/>
  <c r="AE30" i="12"/>
  <c r="AC30" i="12"/>
  <c r="Z30" i="12"/>
  <c r="Y30" i="12"/>
  <c r="X30" i="12"/>
  <c r="W30" i="12"/>
  <c r="AD30" i="12" s="1"/>
  <c r="V30" i="12"/>
  <c r="U30" i="12"/>
  <c r="AB30" i="12" s="1"/>
  <c r="T30" i="12"/>
  <c r="AA30" i="12" s="1"/>
  <c r="S30" i="12"/>
  <c r="AF29" i="12"/>
  <c r="AE29" i="12"/>
  <c r="AC29" i="12"/>
  <c r="Z29" i="12"/>
  <c r="Y29" i="12"/>
  <c r="X29" i="12"/>
  <c r="W29" i="12"/>
  <c r="AD29" i="12" s="1"/>
  <c r="V29" i="12"/>
  <c r="U29" i="12"/>
  <c r="AB29" i="12" s="1"/>
  <c r="T29" i="12"/>
  <c r="AA29" i="12" s="1"/>
  <c r="S29" i="12"/>
  <c r="AF28" i="12"/>
  <c r="AE28" i="12"/>
  <c r="AD28" i="12"/>
  <c r="Y28" i="12"/>
  <c r="X28" i="12"/>
  <c r="W28" i="12"/>
  <c r="V28" i="12"/>
  <c r="AC28" i="12" s="1"/>
  <c r="U28" i="12"/>
  <c r="AB28" i="12" s="1"/>
  <c r="T28" i="12"/>
  <c r="AA28" i="12" s="1"/>
  <c r="S28" i="12"/>
  <c r="Z28" i="12" s="1"/>
  <c r="AF27" i="12"/>
  <c r="AE27" i="12"/>
  <c r="AD27" i="12"/>
  <c r="AC27" i="12"/>
  <c r="Y27" i="12"/>
  <c r="X27" i="12"/>
  <c r="W27" i="12"/>
  <c r="V27" i="12"/>
  <c r="U27" i="12"/>
  <c r="AB27" i="12" s="1"/>
  <c r="T27" i="12"/>
  <c r="AA27" i="12" s="1"/>
  <c r="S27" i="12"/>
  <c r="Z27" i="12" s="1"/>
  <c r="AF26" i="12"/>
  <c r="AE26" i="12"/>
  <c r="AD26" i="12"/>
  <c r="Z26" i="12"/>
  <c r="Y26" i="12"/>
  <c r="X26" i="12"/>
  <c r="W26" i="12"/>
  <c r="V26" i="12"/>
  <c r="AC26" i="12" s="1"/>
  <c r="U26" i="12"/>
  <c r="AB26" i="12" s="1"/>
  <c r="T26" i="12"/>
  <c r="AA26" i="12" s="1"/>
  <c r="S26" i="12"/>
  <c r="AF25" i="12"/>
  <c r="AE25" i="12"/>
  <c r="AC25" i="12"/>
  <c r="Z25" i="12"/>
  <c r="Y25" i="12"/>
  <c r="X25" i="12"/>
  <c r="W25" i="12"/>
  <c r="AD25" i="12" s="1"/>
  <c r="V25" i="12"/>
  <c r="U25" i="12"/>
  <c r="AB25" i="12" s="1"/>
  <c r="T25" i="12"/>
  <c r="AA25" i="12" s="1"/>
  <c r="S25" i="12"/>
  <c r="AF24" i="12"/>
  <c r="AE24" i="12"/>
  <c r="AC24" i="12"/>
  <c r="Z24" i="12"/>
  <c r="Y24" i="12"/>
  <c r="X24" i="12"/>
  <c r="W24" i="12"/>
  <c r="AD24" i="12" s="1"/>
  <c r="V24" i="12"/>
  <c r="U24" i="12"/>
  <c r="AB24" i="12" s="1"/>
  <c r="T24" i="12"/>
  <c r="AA24" i="12" s="1"/>
  <c r="S24" i="12"/>
  <c r="AF23" i="12"/>
  <c r="AE23" i="12"/>
  <c r="AC23" i="12"/>
  <c r="AA23" i="12"/>
  <c r="Z23" i="12"/>
  <c r="Y23" i="12"/>
  <c r="X23" i="12"/>
  <c r="W23" i="12"/>
  <c r="AD23" i="12" s="1"/>
  <c r="V23" i="12"/>
  <c r="U23" i="12"/>
  <c r="AB23" i="12" s="1"/>
  <c r="T23" i="12"/>
  <c r="S23" i="12"/>
  <c r="AF22" i="12"/>
  <c r="AE22" i="12"/>
  <c r="AD22" i="12"/>
  <c r="AC22" i="12"/>
  <c r="AB22" i="12"/>
  <c r="Z22" i="12"/>
  <c r="Y22" i="12"/>
  <c r="X22" i="12"/>
  <c r="W22" i="12"/>
  <c r="V22" i="12"/>
  <c r="U22" i="12"/>
  <c r="T22" i="12"/>
  <c r="AA22" i="12" s="1"/>
  <c r="S22" i="12"/>
  <c r="AF21" i="12"/>
  <c r="AE21" i="12"/>
  <c r="AD21" i="12"/>
  <c r="AC21" i="12"/>
  <c r="AB21" i="12"/>
  <c r="Z21" i="12"/>
  <c r="Y21" i="12"/>
  <c r="X21" i="12"/>
  <c r="W21" i="12"/>
  <c r="V21" i="12"/>
  <c r="U21" i="12"/>
  <c r="T21" i="12"/>
  <c r="AA21" i="12" s="1"/>
  <c r="S21" i="12"/>
  <c r="AF20" i="12"/>
  <c r="AE20" i="12"/>
  <c r="AD20" i="12"/>
  <c r="AC20" i="12"/>
  <c r="AB20" i="12"/>
  <c r="Y20" i="12"/>
  <c r="X20" i="12"/>
  <c r="W20" i="12"/>
  <c r="V20" i="12"/>
  <c r="U20" i="12"/>
  <c r="T20" i="12"/>
  <c r="AA20" i="12" s="1"/>
  <c r="S20" i="12"/>
  <c r="Z20" i="12" s="1"/>
  <c r="AF19" i="12"/>
  <c r="AE19" i="12"/>
  <c r="AC19" i="12"/>
  <c r="AB19" i="12"/>
  <c r="Z19" i="12"/>
  <c r="Y19" i="12"/>
  <c r="X19" i="12"/>
  <c r="W19" i="12"/>
  <c r="AD19" i="12" s="1"/>
  <c r="V19" i="12"/>
  <c r="U19" i="12"/>
  <c r="T19" i="12"/>
  <c r="AA19" i="12" s="1"/>
  <c r="S19" i="12"/>
  <c r="AF18" i="12"/>
  <c r="AE18" i="12"/>
  <c r="AD18" i="12"/>
  <c r="AC18" i="12"/>
  <c r="AB18" i="12"/>
  <c r="Y18" i="12"/>
  <c r="X18" i="12"/>
  <c r="W18" i="12"/>
  <c r="V18" i="12"/>
  <c r="U18" i="12"/>
  <c r="T18" i="12"/>
  <c r="AA18" i="12" s="1"/>
  <c r="S18" i="12"/>
  <c r="Z18" i="12" s="1"/>
  <c r="AF17" i="12"/>
  <c r="AE17" i="12"/>
  <c r="AD17" i="12"/>
  <c r="AC17" i="12"/>
  <c r="AB17" i="12"/>
  <c r="Y17" i="12"/>
  <c r="X17" i="12"/>
  <c r="W17" i="12"/>
  <c r="V17" i="12"/>
  <c r="U17" i="12"/>
  <c r="T17" i="12"/>
  <c r="AA17" i="12" s="1"/>
  <c r="S17" i="12"/>
  <c r="Z17" i="12" s="1"/>
  <c r="AF16" i="12"/>
  <c r="AE16" i="12"/>
  <c r="AC16" i="12"/>
  <c r="AB16" i="12"/>
  <c r="Y16" i="12"/>
  <c r="X16" i="12"/>
  <c r="W16" i="12"/>
  <c r="AD16" i="12" s="1"/>
  <c r="V16" i="12"/>
  <c r="U16" i="12"/>
  <c r="T16" i="12"/>
  <c r="AA16" i="12" s="1"/>
  <c r="S16" i="12"/>
  <c r="Z16" i="12" s="1"/>
  <c r="AF15" i="12"/>
  <c r="AE15" i="12"/>
  <c r="AC15" i="12"/>
  <c r="AB15" i="12"/>
  <c r="Z15" i="12"/>
  <c r="Y15" i="12"/>
  <c r="X15" i="12"/>
  <c r="W15" i="12"/>
  <c r="AD15" i="12" s="1"/>
  <c r="V15" i="12"/>
  <c r="U15" i="12"/>
  <c r="T15" i="12"/>
  <c r="AA15" i="12" s="1"/>
  <c r="S15" i="12"/>
  <c r="AF14" i="12"/>
  <c r="AE14" i="12"/>
  <c r="AD14" i="12"/>
  <c r="AC14" i="12"/>
  <c r="AB14" i="12"/>
  <c r="Z14" i="12"/>
  <c r="Y14" i="12"/>
  <c r="X14" i="12"/>
  <c r="W14" i="12"/>
  <c r="V14" i="12"/>
  <c r="U14" i="12"/>
  <c r="T14" i="12"/>
  <c r="AA14" i="12" s="1"/>
  <c r="S14" i="12"/>
  <c r="AF13" i="12"/>
  <c r="AE13" i="12"/>
  <c r="AD13" i="12"/>
  <c r="AC13" i="12"/>
  <c r="AB13" i="12"/>
  <c r="Z13" i="12"/>
  <c r="Y13" i="12"/>
  <c r="X13" i="12"/>
  <c r="W13" i="12"/>
  <c r="V13" i="12"/>
  <c r="U13" i="12"/>
  <c r="T13" i="12"/>
  <c r="AA13" i="12" s="1"/>
  <c r="S13" i="12"/>
  <c r="AF12" i="12"/>
  <c r="AE12" i="12"/>
  <c r="AD12" i="12"/>
  <c r="AC12" i="12"/>
  <c r="AB12" i="12"/>
  <c r="Z12" i="12"/>
  <c r="Y12" i="12"/>
  <c r="X12" i="12"/>
  <c r="W12" i="12"/>
  <c r="V12" i="12"/>
  <c r="U12" i="12"/>
  <c r="T12" i="12"/>
  <c r="AA12" i="12" s="1"/>
  <c r="S12" i="12"/>
  <c r="AF11" i="12"/>
  <c r="AE11" i="12"/>
  <c r="AC11" i="12"/>
  <c r="AB11" i="12"/>
  <c r="Y11" i="12"/>
  <c r="X11" i="12"/>
  <c r="W11" i="12"/>
  <c r="AD11" i="12" s="1"/>
  <c r="V11" i="12"/>
  <c r="U11" i="12"/>
  <c r="T11" i="12"/>
  <c r="AA11" i="12" s="1"/>
  <c r="S11" i="12"/>
  <c r="Z11" i="12" s="1"/>
  <c r="AF10" i="12"/>
  <c r="AE10" i="12"/>
  <c r="AC10" i="12"/>
  <c r="AB10" i="12"/>
  <c r="Z10" i="12"/>
  <c r="Y10" i="12"/>
  <c r="X10" i="12"/>
  <c r="W10" i="12"/>
  <c r="AD10" i="12" s="1"/>
  <c r="V10" i="12"/>
  <c r="U10" i="12"/>
  <c r="T10" i="12"/>
  <c r="AA10" i="12" s="1"/>
  <c r="S10" i="12"/>
  <c r="AF9" i="12"/>
  <c r="AE9" i="12"/>
  <c r="AD9" i="12"/>
  <c r="AC9" i="12"/>
  <c r="AB9" i="12"/>
  <c r="Y9" i="12"/>
  <c r="X9" i="12"/>
  <c r="W9" i="12"/>
  <c r="V9" i="12"/>
  <c r="U9" i="12"/>
  <c r="T9" i="12"/>
  <c r="AA9" i="12" s="1"/>
  <c r="S9" i="12"/>
  <c r="Z9" i="12" s="1"/>
  <c r="AE8" i="12"/>
  <c r="Y8" i="12"/>
  <c r="AF8" i="12" s="1"/>
  <c r="X8" i="12"/>
  <c r="W8" i="12"/>
  <c r="AD8" i="12" s="1"/>
  <c r="V8" i="12"/>
  <c r="AC8" i="12" s="1"/>
  <c r="U8" i="12"/>
  <c r="AA8" i="12"/>
  <c r="S8" i="12"/>
  <c r="Z8" i="12" s="1"/>
  <c r="AG19" i="12" l="1"/>
  <c r="AI19" i="12" s="1"/>
  <c r="AG21" i="12"/>
  <c r="AI21" i="12" s="1"/>
  <c r="AG29" i="12"/>
  <c r="AI29" i="12" s="1"/>
  <c r="AG30" i="12"/>
  <c r="AI30" i="12" s="1"/>
  <c r="D45" i="12"/>
  <c r="F45" i="12" s="1"/>
  <c r="AG14" i="12"/>
  <c r="AI14" i="12" s="1"/>
  <c r="K3" i="11"/>
  <c r="L3" i="11" s="1"/>
  <c r="AG31" i="12"/>
  <c r="AI31" i="12" s="1"/>
  <c r="D47" i="12"/>
  <c r="F47" i="12" s="1"/>
  <c r="D46" i="12"/>
  <c r="AG12" i="12"/>
  <c r="AI12" i="12" s="1"/>
  <c r="AG34" i="12"/>
  <c r="AI34" i="12" s="1"/>
  <c r="AG37" i="12"/>
  <c r="AI37" i="12" s="1"/>
  <c r="AG22" i="12"/>
  <c r="AI22" i="12" s="1"/>
  <c r="AH37" i="12"/>
  <c r="AJ37" i="12" s="1"/>
  <c r="AG10" i="12"/>
  <c r="AI10" i="12" s="1"/>
  <c r="AG13" i="12"/>
  <c r="AI13" i="12" s="1"/>
  <c r="AH22" i="12"/>
  <c r="AJ22" i="12" s="1"/>
  <c r="AK22" i="12" s="1"/>
  <c r="AL22" i="12" s="1"/>
  <c r="AG24" i="12"/>
  <c r="AI24" i="12" s="1"/>
  <c r="AG25" i="12"/>
  <c r="AI25" i="12" s="1"/>
  <c r="AG26" i="12"/>
  <c r="AI26" i="12" s="1"/>
  <c r="AG16" i="12"/>
  <c r="AI16" i="12" s="1"/>
  <c r="AG8" i="12"/>
  <c r="AI8" i="12" s="1"/>
  <c r="AG17" i="12"/>
  <c r="AI17" i="12" s="1"/>
  <c r="AG18" i="12"/>
  <c r="AI18" i="12" s="1"/>
  <c r="AG20" i="12"/>
  <c r="AI20" i="12" s="1"/>
  <c r="AG27" i="12"/>
  <c r="AI27" i="12" s="1"/>
  <c r="AG28" i="12"/>
  <c r="AI28" i="12" s="1"/>
  <c r="AG32" i="12"/>
  <c r="AI32" i="12" s="1"/>
  <c r="AG9" i="12"/>
  <c r="AI9" i="12" s="1"/>
  <c r="AG11" i="12"/>
  <c r="AI11" i="12" s="1"/>
  <c r="AG33" i="12"/>
  <c r="AI33" i="12" s="1"/>
  <c r="AG35" i="12"/>
  <c r="AI35" i="12" s="1"/>
  <c r="AG36" i="12"/>
  <c r="AI36" i="12" s="1"/>
  <c r="AH14" i="12"/>
  <c r="AJ14" i="12" s="1"/>
  <c r="AK14" i="12" s="1"/>
  <c r="AL14" i="12" s="1"/>
  <c r="AH19" i="12"/>
  <c r="AJ19" i="12" s="1"/>
  <c r="AK19" i="12" s="1"/>
  <c r="AL19" i="12" s="1"/>
  <c r="AH21" i="12"/>
  <c r="AJ21" i="12" s="1"/>
  <c r="AK21" i="12" s="1"/>
  <c r="AL21" i="12" s="1"/>
  <c r="AH13" i="12"/>
  <c r="AJ13" i="12" s="1"/>
  <c r="AK13" i="12" s="1"/>
  <c r="AL13" i="12" s="1"/>
  <c r="AG15" i="12"/>
  <c r="AI15" i="12" s="1"/>
  <c r="AG23" i="12"/>
  <c r="AI23" i="12" s="1"/>
  <c r="AH24" i="12"/>
  <c r="AJ24" i="12" s="1"/>
  <c r="AK24" i="12" s="1"/>
  <c r="AL24" i="12" s="1"/>
  <c r="AH25" i="12"/>
  <c r="AJ25" i="12" s="1"/>
  <c r="AK25" i="12" s="1"/>
  <c r="AL25" i="12" s="1"/>
  <c r="F46" i="12"/>
  <c r="AH10" i="12" l="1"/>
  <c r="AJ10" i="12" s="1"/>
  <c r="AK10" i="12" s="1"/>
  <c r="AL10" i="12" s="1"/>
  <c r="AH31" i="12"/>
  <c r="AJ31" i="12" s="1"/>
  <c r="AK31" i="12" s="1"/>
  <c r="AL31" i="12" s="1"/>
  <c r="AH29" i="12"/>
  <c r="AJ29" i="12" s="1"/>
  <c r="AK29" i="12" s="1"/>
  <c r="AL29" i="12" s="1"/>
  <c r="AH34" i="12"/>
  <c r="AJ34" i="12" s="1"/>
  <c r="AK34" i="12" s="1"/>
  <c r="AL34" i="12" s="1"/>
  <c r="AH12" i="12"/>
  <c r="AJ12" i="12" s="1"/>
  <c r="AK12" i="12" s="1"/>
  <c r="AL12" i="12" s="1"/>
  <c r="AH30" i="12"/>
  <c r="AJ30" i="12" s="1"/>
  <c r="AK30" i="12" s="1"/>
  <c r="AL30" i="12" s="1"/>
  <c r="F50" i="12"/>
  <c r="AK37" i="12"/>
  <c r="AL37" i="12" s="1"/>
  <c r="AH17" i="12"/>
  <c r="AH26" i="12"/>
  <c r="AJ26" i="12" s="1"/>
  <c r="AK26" i="12" s="1"/>
  <c r="AL26" i="12" s="1"/>
  <c r="AH15" i="12"/>
  <c r="AJ15" i="12" s="1"/>
  <c r="AH35" i="12"/>
  <c r="AJ35" i="12" s="1"/>
  <c r="AK35" i="12" s="1"/>
  <c r="AL35" i="12" s="1"/>
  <c r="AH11" i="12"/>
  <c r="AJ11" i="12" s="1"/>
  <c r="AK11" i="12" s="1"/>
  <c r="AL11" i="12" s="1"/>
  <c r="AH32" i="12"/>
  <c r="AJ32" i="12" s="1"/>
  <c r="AK32" i="12" s="1"/>
  <c r="AL32" i="12" s="1"/>
  <c r="AH27" i="12"/>
  <c r="AJ27" i="12" s="1"/>
  <c r="AH18" i="12"/>
  <c r="AJ18" i="12" s="1"/>
  <c r="AK18" i="12" s="1"/>
  <c r="AL18" i="12" s="1"/>
  <c r="AH23" i="12"/>
  <c r="AJ23" i="12" s="1"/>
  <c r="AK23" i="12" s="1"/>
  <c r="AL23" i="12" s="1"/>
  <c r="AH36" i="12"/>
  <c r="AJ36" i="12" s="1"/>
  <c r="AK36" i="12" s="1"/>
  <c r="AL36" i="12" s="1"/>
  <c r="AH33" i="12"/>
  <c r="AJ33" i="12" s="1"/>
  <c r="AK33" i="12" s="1"/>
  <c r="AL33" i="12" s="1"/>
  <c r="AH9" i="12"/>
  <c r="AJ9" i="12" s="1"/>
  <c r="AK9" i="12" s="1"/>
  <c r="AL9" i="12" s="1"/>
  <c r="AH28" i="12"/>
  <c r="AJ28" i="12" s="1"/>
  <c r="AK28" i="12" s="1"/>
  <c r="AL28" i="12" s="1"/>
  <c r="AH20" i="12"/>
  <c r="AJ20" i="12" s="1"/>
  <c r="AK20" i="12" s="1"/>
  <c r="AL20" i="12" s="1"/>
  <c r="AJ17" i="12"/>
  <c r="AK17" i="12" s="1"/>
  <c r="AL17" i="12" s="1"/>
  <c r="AH16" i="12"/>
  <c r="AJ16" i="12" s="1"/>
  <c r="AK16" i="12" s="1"/>
  <c r="AL16" i="12" s="1"/>
  <c r="AK15" i="12"/>
  <c r="AL15" i="12" s="1"/>
  <c r="AK27" i="12"/>
  <c r="AL27" i="12" s="1"/>
  <c r="AH8" i="12"/>
  <c r="AJ8" i="12" s="1"/>
  <c r="AK8" i="12" l="1"/>
  <c r="AL8" i="12" s="1"/>
  <c r="C46" i="10"/>
  <c r="D45" i="10" s="1"/>
  <c r="F45" i="10" s="1"/>
  <c r="AF37" i="10"/>
  <c r="Y37" i="10"/>
  <c r="X37" i="10"/>
  <c r="AE37" i="10" s="1"/>
  <c r="W37" i="10"/>
  <c r="AD37" i="10" s="1"/>
  <c r="V37" i="10"/>
  <c r="AC37" i="10" s="1"/>
  <c r="U37" i="10"/>
  <c r="AB37" i="10" s="1"/>
  <c r="T37" i="10"/>
  <c r="AA37" i="10" s="1"/>
  <c r="S37" i="10"/>
  <c r="Z37" i="10" s="1"/>
  <c r="AF36" i="10"/>
  <c r="Y36" i="10"/>
  <c r="X36" i="10"/>
  <c r="AE36" i="10" s="1"/>
  <c r="W36" i="10"/>
  <c r="AD36" i="10" s="1"/>
  <c r="V36" i="10"/>
  <c r="AC36" i="10" s="1"/>
  <c r="U36" i="10"/>
  <c r="AB36" i="10" s="1"/>
  <c r="T36" i="10"/>
  <c r="AA36" i="10" s="1"/>
  <c r="S36" i="10"/>
  <c r="Z36" i="10" s="1"/>
  <c r="AF35" i="10"/>
  <c r="Y35" i="10"/>
  <c r="X35" i="10"/>
  <c r="AE35" i="10" s="1"/>
  <c r="W35" i="10"/>
  <c r="AD35" i="10" s="1"/>
  <c r="V35" i="10"/>
  <c r="AC35" i="10" s="1"/>
  <c r="U35" i="10"/>
  <c r="AB35" i="10" s="1"/>
  <c r="T35" i="10"/>
  <c r="AA35" i="10" s="1"/>
  <c r="S35" i="10"/>
  <c r="Z35" i="10" s="1"/>
  <c r="AF34" i="10"/>
  <c r="Y34" i="10"/>
  <c r="X34" i="10"/>
  <c r="AE34" i="10" s="1"/>
  <c r="W34" i="10"/>
  <c r="AD34" i="10" s="1"/>
  <c r="V34" i="10"/>
  <c r="AC34" i="10" s="1"/>
  <c r="U34" i="10"/>
  <c r="AB34" i="10" s="1"/>
  <c r="T34" i="10"/>
  <c r="AA34" i="10" s="1"/>
  <c r="S34" i="10"/>
  <c r="Z34" i="10" s="1"/>
  <c r="AF33" i="10"/>
  <c r="AD33" i="10"/>
  <c r="Y33" i="10"/>
  <c r="X33" i="10"/>
  <c r="AE33" i="10" s="1"/>
  <c r="W33" i="10"/>
  <c r="V33" i="10"/>
  <c r="AC33" i="10" s="1"/>
  <c r="U33" i="10"/>
  <c r="AB33" i="10" s="1"/>
  <c r="T33" i="10"/>
  <c r="AA33" i="10" s="1"/>
  <c r="S33" i="10"/>
  <c r="Z33" i="10" s="1"/>
  <c r="AF32" i="10"/>
  <c r="Y32" i="10"/>
  <c r="X32" i="10"/>
  <c r="AE32" i="10" s="1"/>
  <c r="W32" i="10"/>
  <c r="AD32" i="10" s="1"/>
  <c r="V32" i="10"/>
  <c r="AC32" i="10" s="1"/>
  <c r="U32" i="10"/>
  <c r="AB32" i="10" s="1"/>
  <c r="T32" i="10"/>
  <c r="AA32" i="10" s="1"/>
  <c r="S32" i="10"/>
  <c r="Z32" i="10" s="1"/>
  <c r="AF31" i="10"/>
  <c r="Y31" i="10"/>
  <c r="X31" i="10"/>
  <c r="AE31" i="10" s="1"/>
  <c r="W31" i="10"/>
  <c r="AD31" i="10" s="1"/>
  <c r="V31" i="10"/>
  <c r="AC31" i="10" s="1"/>
  <c r="U31" i="10"/>
  <c r="AB31" i="10" s="1"/>
  <c r="T31" i="10"/>
  <c r="AA31" i="10" s="1"/>
  <c r="S31" i="10"/>
  <c r="Z31" i="10" s="1"/>
  <c r="AF30" i="10"/>
  <c r="Y30" i="10"/>
  <c r="X30" i="10"/>
  <c r="AE30" i="10" s="1"/>
  <c r="W30" i="10"/>
  <c r="AD30" i="10" s="1"/>
  <c r="V30" i="10"/>
  <c r="AC30" i="10" s="1"/>
  <c r="U30" i="10"/>
  <c r="AB30" i="10" s="1"/>
  <c r="T30" i="10"/>
  <c r="AA30" i="10" s="1"/>
  <c r="S30" i="10"/>
  <c r="Z30" i="10" s="1"/>
  <c r="AF29" i="10"/>
  <c r="Y29" i="10"/>
  <c r="X29" i="10"/>
  <c r="AE29" i="10" s="1"/>
  <c r="W29" i="10"/>
  <c r="AD29" i="10" s="1"/>
  <c r="V29" i="10"/>
  <c r="AC29" i="10" s="1"/>
  <c r="U29" i="10"/>
  <c r="AB29" i="10" s="1"/>
  <c r="T29" i="10"/>
  <c r="AA29" i="10" s="1"/>
  <c r="S29" i="10"/>
  <c r="Z29" i="10" s="1"/>
  <c r="AF28" i="10"/>
  <c r="Y28" i="10"/>
  <c r="X28" i="10"/>
  <c r="AE28" i="10" s="1"/>
  <c r="W28" i="10"/>
  <c r="AD28" i="10" s="1"/>
  <c r="V28" i="10"/>
  <c r="AC28" i="10" s="1"/>
  <c r="U28" i="10"/>
  <c r="AB28" i="10" s="1"/>
  <c r="T28" i="10"/>
  <c r="AA28" i="10" s="1"/>
  <c r="S28" i="10"/>
  <c r="Z28" i="10" s="1"/>
  <c r="AF27" i="10"/>
  <c r="Y27" i="10"/>
  <c r="X27" i="10"/>
  <c r="AE27" i="10" s="1"/>
  <c r="W27" i="10"/>
  <c r="AD27" i="10" s="1"/>
  <c r="V27" i="10"/>
  <c r="AC27" i="10" s="1"/>
  <c r="U27" i="10"/>
  <c r="AB27" i="10" s="1"/>
  <c r="T27" i="10"/>
  <c r="AA27" i="10" s="1"/>
  <c r="S27" i="10"/>
  <c r="Z27" i="10" s="1"/>
  <c r="AF26" i="10"/>
  <c r="Y26" i="10"/>
  <c r="X26" i="10"/>
  <c r="AE26" i="10" s="1"/>
  <c r="W26" i="10"/>
  <c r="AD26" i="10" s="1"/>
  <c r="V26" i="10"/>
  <c r="AC26" i="10" s="1"/>
  <c r="U26" i="10"/>
  <c r="AB26" i="10" s="1"/>
  <c r="T26" i="10"/>
  <c r="AA26" i="10" s="1"/>
  <c r="S26" i="10"/>
  <c r="Z26" i="10" s="1"/>
  <c r="AF25" i="10"/>
  <c r="Y25" i="10"/>
  <c r="X25" i="10"/>
  <c r="AE25" i="10" s="1"/>
  <c r="W25" i="10"/>
  <c r="AD25" i="10" s="1"/>
  <c r="V25" i="10"/>
  <c r="AC25" i="10" s="1"/>
  <c r="U25" i="10"/>
  <c r="AB25" i="10" s="1"/>
  <c r="T25" i="10"/>
  <c r="AA25" i="10" s="1"/>
  <c r="S25" i="10"/>
  <c r="Z25" i="10" s="1"/>
  <c r="AF24" i="10"/>
  <c r="Y24" i="10"/>
  <c r="X24" i="10"/>
  <c r="AE24" i="10" s="1"/>
  <c r="W24" i="10"/>
  <c r="AD24" i="10" s="1"/>
  <c r="V24" i="10"/>
  <c r="AC24" i="10" s="1"/>
  <c r="U24" i="10"/>
  <c r="AB24" i="10" s="1"/>
  <c r="T24" i="10"/>
  <c r="AA24" i="10" s="1"/>
  <c r="S24" i="10"/>
  <c r="Z24" i="10" s="1"/>
  <c r="AF23" i="10"/>
  <c r="Y23" i="10"/>
  <c r="X23" i="10"/>
  <c r="AE23" i="10" s="1"/>
  <c r="W23" i="10"/>
  <c r="AD23" i="10" s="1"/>
  <c r="V23" i="10"/>
  <c r="AC23" i="10" s="1"/>
  <c r="U23" i="10"/>
  <c r="AB23" i="10" s="1"/>
  <c r="T23" i="10"/>
  <c r="AA23" i="10" s="1"/>
  <c r="S23" i="10"/>
  <c r="Z23" i="10" s="1"/>
  <c r="AF22" i="10"/>
  <c r="Y22" i="10"/>
  <c r="X22" i="10"/>
  <c r="AE22" i="10" s="1"/>
  <c r="W22" i="10"/>
  <c r="AD22" i="10" s="1"/>
  <c r="V22" i="10"/>
  <c r="AC22" i="10" s="1"/>
  <c r="U22" i="10"/>
  <c r="AB22" i="10" s="1"/>
  <c r="T22" i="10"/>
  <c r="AA22" i="10" s="1"/>
  <c r="S22" i="10"/>
  <c r="Z22" i="10" s="1"/>
  <c r="AF21" i="10"/>
  <c r="Y21" i="10"/>
  <c r="X21" i="10"/>
  <c r="AE21" i="10" s="1"/>
  <c r="W21" i="10"/>
  <c r="AD21" i="10" s="1"/>
  <c r="V21" i="10"/>
  <c r="AC21" i="10" s="1"/>
  <c r="U21" i="10"/>
  <c r="AB21" i="10" s="1"/>
  <c r="T21" i="10"/>
  <c r="AA21" i="10" s="1"/>
  <c r="S21" i="10"/>
  <c r="Z21" i="10" s="1"/>
  <c r="AF20" i="10"/>
  <c r="Y20" i="10"/>
  <c r="X20" i="10"/>
  <c r="AE20" i="10" s="1"/>
  <c r="W20" i="10"/>
  <c r="AD20" i="10" s="1"/>
  <c r="V20" i="10"/>
  <c r="AC20" i="10" s="1"/>
  <c r="U20" i="10"/>
  <c r="AB20" i="10" s="1"/>
  <c r="T20" i="10"/>
  <c r="AA20" i="10" s="1"/>
  <c r="S20" i="10"/>
  <c r="Z20" i="10" s="1"/>
  <c r="AF19" i="10"/>
  <c r="Y19" i="10"/>
  <c r="X19" i="10"/>
  <c r="AE19" i="10" s="1"/>
  <c r="W19" i="10"/>
  <c r="AD19" i="10" s="1"/>
  <c r="V19" i="10"/>
  <c r="AC19" i="10" s="1"/>
  <c r="U19" i="10"/>
  <c r="AB19" i="10" s="1"/>
  <c r="T19" i="10"/>
  <c r="AA19" i="10" s="1"/>
  <c r="S19" i="10"/>
  <c r="Z19" i="10" s="1"/>
  <c r="AF18" i="10"/>
  <c r="Y18" i="10"/>
  <c r="X18" i="10"/>
  <c r="AE18" i="10" s="1"/>
  <c r="W18" i="10"/>
  <c r="AD18" i="10" s="1"/>
  <c r="V18" i="10"/>
  <c r="AC18" i="10" s="1"/>
  <c r="U18" i="10"/>
  <c r="AB18" i="10" s="1"/>
  <c r="T18" i="10"/>
  <c r="AA18" i="10" s="1"/>
  <c r="S18" i="10"/>
  <c r="Z18" i="10" s="1"/>
  <c r="AF17" i="10"/>
  <c r="Y17" i="10"/>
  <c r="X17" i="10"/>
  <c r="AE17" i="10" s="1"/>
  <c r="W17" i="10"/>
  <c r="AD17" i="10" s="1"/>
  <c r="V17" i="10"/>
  <c r="AC17" i="10" s="1"/>
  <c r="U17" i="10"/>
  <c r="AB17" i="10" s="1"/>
  <c r="T17" i="10"/>
  <c r="AA17" i="10" s="1"/>
  <c r="S17" i="10"/>
  <c r="Z17" i="10" s="1"/>
  <c r="AF16" i="10"/>
  <c r="Y16" i="10"/>
  <c r="X16" i="10"/>
  <c r="AE16" i="10" s="1"/>
  <c r="W16" i="10"/>
  <c r="AD16" i="10" s="1"/>
  <c r="V16" i="10"/>
  <c r="AC16" i="10" s="1"/>
  <c r="U16" i="10"/>
  <c r="AB16" i="10" s="1"/>
  <c r="T16" i="10"/>
  <c r="AA16" i="10" s="1"/>
  <c r="S16" i="10"/>
  <c r="Z16" i="10" s="1"/>
  <c r="AF15" i="10"/>
  <c r="Y15" i="10"/>
  <c r="X15" i="10"/>
  <c r="AE15" i="10" s="1"/>
  <c r="W15" i="10"/>
  <c r="AD15" i="10" s="1"/>
  <c r="V15" i="10"/>
  <c r="AC15" i="10" s="1"/>
  <c r="U15" i="10"/>
  <c r="AB15" i="10" s="1"/>
  <c r="T15" i="10"/>
  <c r="AA15" i="10" s="1"/>
  <c r="S15" i="10"/>
  <c r="Z15" i="10" s="1"/>
  <c r="AF14" i="10"/>
  <c r="Y14" i="10"/>
  <c r="X14" i="10"/>
  <c r="AE14" i="10" s="1"/>
  <c r="W14" i="10"/>
  <c r="AD14" i="10" s="1"/>
  <c r="V14" i="10"/>
  <c r="AC14" i="10" s="1"/>
  <c r="U14" i="10"/>
  <c r="AB14" i="10" s="1"/>
  <c r="T14" i="10"/>
  <c r="AA14" i="10" s="1"/>
  <c r="S14" i="10"/>
  <c r="Z14" i="10" s="1"/>
  <c r="AF13" i="10"/>
  <c r="Y13" i="10"/>
  <c r="X13" i="10"/>
  <c r="AE13" i="10" s="1"/>
  <c r="W13" i="10"/>
  <c r="AD13" i="10" s="1"/>
  <c r="V13" i="10"/>
  <c r="AC13" i="10" s="1"/>
  <c r="U13" i="10"/>
  <c r="AB13" i="10" s="1"/>
  <c r="T13" i="10"/>
  <c r="AA13" i="10" s="1"/>
  <c r="S13" i="10"/>
  <c r="Z13" i="10" s="1"/>
  <c r="AF12" i="10"/>
  <c r="Y12" i="10"/>
  <c r="X12" i="10"/>
  <c r="AE12" i="10" s="1"/>
  <c r="W12" i="10"/>
  <c r="AD12" i="10" s="1"/>
  <c r="V12" i="10"/>
  <c r="AC12" i="10" s="1"/>
  <c r="U12" i="10"/>
  <c r="AB12" i="10" s="1"/>
  <c r="T12" i="10"/>
  <c r="AA12" i="10" s="1"/>
  <c r="S12" i="10"/>
  <c r="Z12" i="10" s="1"/>
  <c r="AF11" i="10"/>
  <c r="Y11" i="10"/>
  <c r="X11" i="10"/>
  <c r="AE11" i="10" s="1"/>
  <c r="W11" i="10"/>
  <c r="AD11" i="10" s="1"/>
  <c r="V11" i="10"/>
  <c r="AC11" i="10" s="1"/>
  <c r="U11" i="10"/>
  <c r="AB11" i="10" s="1"/>
  <c r="T11" i="10"/>
  <c r="AA11" i="10" s="1"/>
  <c r="S11" i="10"/>
  <c r="Z11" i="10" s="1"/>
  <c r="AF10" i="10"/>
  <c r="Y10" i="10"/>
  <c r="X10" i="10"/>
  <c r="AE10" i="10" s="1"/>
  <c r="W10" i="10"/>
  <c r="AD10" i="10" s="1"/>
  <c r="V10" i="10"/>
  <c r="AC10" i="10" s="1"/>
  <c r="U10" i="10"/>
  <c r="AB10" i="10" s="1"/>
  <c r="T10" i="10"/>
  <c r="AA10" i="10" s="1"/>
  <c r="S10" i="10"/>
  <c r="Z10" i="10" s="1"/>
  <c r="AF9" i="10"/>
  <c r="Y9" i="10"/>
  <c r="X9" i="10"/>
  <c r="AE9" i="10" s="1"/>
  <c r="W9" i="10"/>
  <c r="AD9" i="10" s="1"/>
  <c r="V9" i="10"/>
  <c r="AC9" i="10" s="1"/>
  <c r="U9" i="10"/>
  <c r="AB9" i="10" s="1"/>
  <c r="T9" i="10"/>
  <c r="AA9" i="10" s="1"/>
  <c r="S9" i="10"/>
  <c r="Z9" i="10" s="1"/>
  <c r="AF8" i="10"/>
  <c r="Y8" i="10"/>
  <c r="X8" i="10"/>
  <c r="AE8" i="10" s="1"/>
  <c r="W8" i="10"/>
  <c r="AD8" i="10" s="1"/>
  <c r="V8" i="10"/>
  <c r="AC8" i="10" s="1"/>
  <c r="U8" i="10"/>
  <c r="AB8" i="10" s="1"/>
  <c r="T8" i="10"/>
  <c r="AA8" i="10" s="1"/>
  <c r="S8" i="10"/>
  <c r="Z8" i="10" s="1"/>
  <c r="G7" i="9"/>
  <c r="J3" i="9" s="1"/>
  <c r="E7" i="9"/>
  <c r="G4" i="9"/>
  <c r="E4" i="9"/>
  <c r="D42" i="10" l="1"/>
  <c r="F42" i="10" s="1"/>
  <c r="I3" i="9"/>
  <c r="K3" i="9" s="1"/>
  <c r="L3" i="9" s="1"/>
  <c r="D44" i="10"/>
  <c r="F44" i="10" s="1"/>
  <c r="AG11" i="10"/>
  <c r="AI11" i="10" s="1"/>
  <c r="AG15" i="10"/>
  <c r="AI15" i="10" s="1"/>
  <c r="AG19" i="10"/>
  <c r="AI19" i="10" s="1"/>
  <c r="AG23" i="10"/>
  <c r="AI23" i="10" s="1"/>
  <c r="AG27" i="10"/>
  <c r="AI27" i="10" s="1"/>
  <c r="AG31" i="10"/>
  <c r="AI31" i="10" s="1"/>
  <c r="AG35" i="10"/>
  <c r="AI35" i="10" s="1"/>
  <c r="AG8" i="10"/>
  <c r="AI8" i="10" s="1"/>
  <c r="AG12" i="10"/>
  <c r="AI12" i="10" s="1"/>
  <c r="AG16" i="10"/>
  <c r="AI16" i="10" s="1"/>
  <c r="AG20" i="10"/>
  <c r="AI20" i="10" s="1"/>
  <c r="AG24" i="10"/>
  <c r="AI24" i="10" s="1"/>
  <c r="AG28" i="10"/>
  <c r="AI28" i="10" s="1"/>
  <c r="AG32" i="10"/>
  <c r="AI32" i="10" s="1"/>
  <c r="AG36" i="10"/>
  <c r="AI36" i="10" s="1"/>
  <c r="AG9" i="10"/>
  <c r="AI9" i="10" s="1"/>
  <c r="AG13" i="10"/>
  <c r="AI13" i="10" s="1"/>
  <c r="AG17" i="10"/>
  <c r="AI17" i="10" s="1"/>
  <c r="AG21" i="10"/>
  <c r="AI21" i="10" s="1"/>
  <c r="AG25" i="10"/>
  <c r="AI25" i="10" s="1"/>
  <c r="AG29" i="10"/>
  <c r="AI29" i="10" s="1"/>
  <c r="AG33" i="10"/>
  <c r="AI33" i="10" s="1"/>
  <c r="AG37" i="10"/>
  <c r="AI37" i="10" s="1"/>
  <c r="AG10" i="10"/>
  <c r="AI10" i="10" s="1"/>
  <c r="AG14" i="10"/>
  <c r="AI14" i="10" s="1"/>
  <c r="AG18" i="10"/>
  <c r="AI18" i="10" s="1"/>
  <c r="AG22" i="10"/>
  <c r="AI22" i="10" s="1"/>
  <c r="AG26" i="10"/>
  <c r="AI26" i="10" s="1"/>
  <c r="AG30" i="10"/>
  <c r="AI30" i="10" s="1"/>
  <c r="AG34" i="10"/>
  <c r="AI34" i="10" s="1"/>
  <c r="AH8" i="10"/>
  <c r="AJ8" i="10" s="1"/>
  <c r="AH9" i="10"/>
  <c r="AJ9" i="10" s="1"/>
  <c r="AH15" i="10"/>
  <c r="AJ15" i="10" s="1"/>
  <c r="AH18" i="10"/>
  <c r="AJ18" i="10" s="1"/>
  <c r="AH19" i="10"/>
  <c r="AJ19" i="10" s="1"/>
  <c r="AH21" i="10"/>
  <c r="AJ21" i="10" s="1"/>
  <c r="AH31" i="10"/>
  <c r="AJ31" i="10" s="1"/>
  <c r="AH34" i="10"/>
  <c r="AJ34" i="10" s="1"/>
  <c r="AH36" i="10"/>
  <c r="AJ36" i="10" s="1"/>
  <c r="D43" i="10"/>
  <c r="F43" i="10" s="1"/>
  <c r="F47" i="10" s="1"/>
  <c r="AH30" i="10" l="1"/>
  <c r="AJ30" i="10" s="1"/>
  <c r="AK30" i="10" s="1"/>
  <c r="AL30" i="10" s="1"/>
  <c r="AH26" i="10"/>
  <c r="AJ26" i="10" s="1"/>
  <c r="AH10" i="10"/>
  <c r="AJ10" i="10" s="1"/>
  <c r="AK10" i="10" s="1"/>
  <c r="AL10" i="10" s="1"/>
  <c r="AH25" i="10"/>
  <c r="AJ25" i="10" s="1"/>
  <c r="AK25" i="10" s="1"/>
  <c r="AL25" i="10" s="1"/>
  <c r="AH24" i="10"/>
  <c r="AJ24" i="10" s="1"/>
  <c r="AH23" i="10"/>
  <c r="AJ23" i="10" s="1"/>
  <c r="AH37" i="10"/>
  <c r="AJ37" i="10" s="1"/>
  <c r="AK37" i="10" s="1"/>
  <c r="AL37" i="10" s="1"/>
  <c r="AH20" i="10"/>
  <c r="AJ20" i="10" s="1"/>
  <c r="AK20" i="10" s="1"/>
  <c r="AL20" i="10" s="1"/>
  <c r="AH14" i="10"/>
  <c r="AJ14" i="10" s="1"/>
  <c r="AK14" i="10" s="1"/>
  <c r="AL14" i="10" s="1"/>
  <c r="AH35" i="10"/>
  <c r="AJ35" i="10" s="1"/>
  <c r="AK35" i="10" s="1"/>
  <c r="AL35" i="10" s="1"/>
  <c r="AH22" i="10"/>
  <c r="AJ22" i="10" s="1"/>
  <c r="AK22" i="10" s="1"/>
  <c r="AL22" i="10" s="1"/>
  <c r="AK18" i="10"/>
  <c r="AL18" i="10" s="1"/>
  <c r="AK15" i="10"/>
  <c r="AL15" i="10" s="1"/>
  <c r="AH32" i="10"/>
  <c r="AJ32" i="10" s="1"/>
  <c r="AK32" i="10" s="1"/>
  <c r="AL32" i="10" s="1"/>
  <c r="AH28" i="10"/>
  <c r="AJ28" i="10" s="1"/>
  <c r="AH16" i="10"/>
  <c r="AJ16" i="10" s="1"/>
  <c r="AK16" i="10" s="1"/>
  <c r="AL16" i="10" s="1"/>
  <c r="AH12" i="10"/>
  <c r="AJ12" i="10" s="1"/>
  <c r="AK12" i="10" s="1"/>
  <c r="AL12" i="10" s="1"/>
  <c r="AK21" i="10"/>
  <c r="AL21" i="10" s="1"/>
  <c r="AK36" i="10"/>
  <c r="AL36" i="10" s="1"/>
  <c r="AK19" i="10"/>
  <c r="AL19" i="10" s="1"/>
  <c r="AK28" i="10"/>
  <c r="AL28" i="10" s="1"/>
  <c r="AH27" i="10"/>
  <c r="AJ27" i="10" s="1"/>
  <c r="AK27" i="10" s="1"/>
  <c r="AL27" i="10" s="1"/>
  <c r="AH11" i="10"/>
  <c r="AJ11" i="10" s="1"/>
  <c r="AK11" i="10" s="1"/>
  <c r="AL11" i="10" s="1"/>
  <c r="AK34" i="10"/>
  <c r="AL34" i="10" s="1"/>
  <c r="AK31" i="10"/>
  <c r="AL31" i="10" s="1"/>
  <c r="AH33" i="10"/>
  <c r="AJ33" i="10" s="1"/>
  <c r="AK33" i="10" s="1"/>
  <c r="AL33" i="10" s="1"/>
  <c r="AH29" i="10"/>
  <c r="AJ29" i="10" s="1"/>
  <c r="AK29" i="10" s="1"/>
  <c r="AL29" i="10" s="1"/>
  <c r="AH17" i="10"/>
  <c r="AJ17" i="10" s="1"/>
  <c r="AK17" i="10" s="1"/>
  <c r="AL17" i="10" s="1"/>
  <c r="AH13" i="10"/>
  <c r="AJ13" i="10" s="1"/>
  <c r="AK13" i="10" s="1"/>
  <c r="AL13" i="10" s="1"/>
  <c r="AK26" i="10"/>
  <c r="AL26" i="10" s="1"/>
  <c r="AK9" i="10"/>
  <c r="AL9" i="10" s="1"/>
  <c r="AK24" i="10"/>
  <c r="AL24" i="10" s="1"/>
  <c r="AK8" i="10"/>
  <c r="AL8" i="10" s="1"/>
  <c r="AK23" i="10"/>
  <c r="AL23" i="10" s="1"/>
  <c r="H14" i="8" l="1"/>
  <c r="J3" i="8"/>
  <c r="I3" i="8"/>
  <c r="C49" i="7"/>
  <c r="D48" i="7" s="1"/>
  <c r="F48" i="7" s="1"/>
  <c r="AC37" i="7"/>
  <c r="AB37" i="7"/>
  <c r="Z37" i="7"/>
  <c r="Y37" i="7"/>
  <c r="AF37" i="7" s="1"/>
  <c r="X37" i="7"/>
  <c r="AE37" i="7" s="1"/>
  <c r="W37" i="7"/>
  <c r="AD37" i="7" s="1"/>
  <c r="V37" i="7"/>
  <c r="U37" i="7"/>
  <c r="T37" i="7"/>
  <c r="AA37" i="7" s="1"/>
  <c r="S37" i="7"/>
  <c r="AC36" i="7"/>
  <c r="AB36" i="7"/>
  <c r="Z36" i="7"/>
  <c r="Y36" i="7"/>
  <c r="AF36" i="7" s="1"/>
  <c r="X36" i="7"/>
  <c r="AE36" i="7" s="1"/>
  <c r="W36" i="7"/>
  <c r="AD36" i="7" s="1"/>
  <c r="V36" i="7"/>
  <c r="U36" i="7"/>
  <c r="T36" i="7"/>
  <c r="AA36" i="7" s="1"/>
  <c r="S36" i="7"/>
  <c r="AC35" i="7"/>
  <c r="AB35" i="7"/>
  <c r="Z35" i="7"/>
  <c r="Y35" i="7"/>
  <c r="AF35" i="7" s="1"/>
  <c r="X35" i="7"/>
  <c r="AE35" i="7" s="1"/>
  <c r="W35" i="7"/>
  <c r="AD35" i="7" s="1"/>
  <c r="V35" i="7"/>
  <c r="U35" i="7"/>
  <c r="T35" i="7"/>
  <c r="AA35" i="7" s="1"/>
  <c r="S35" i="7"/>
  <c r="AC34" i="7"/>
  <c r="AB34" i="7"/>
  <c r="Z34" i="7"/>
  <c r="Y34" i="7"/>
  <c r="AF34" i="7" s="1"/>
  <c r="X34" i="7"/>
  <c r="AE34" i="7" s="1"/>
  <c r="W34" i="7"/>
  <c r="AD34" i="7" s="1"/>
  <c r="V34" i="7"/>
  <c r="U34" i="7"/>
  <c r="T34" i="7"/>
  <c r="AA34" i="7" s="1"/>
  <c r="S34" i="7"/>
  <c r="AC33" i="7"/>
  <c r="AB33" i="7"/>
  <c r="Z33" i="7"/>
  <c r="Y33" i="7"/>
  <c r="AF33" i="7" s="1"/>
  <c r="X33" i="7"/>
  <c r="AE33" i="7" s="1"/>
  <c r="W33" i="7"/>
  <c r="AD33" i="7" s="1"/>
  <c r="V33" i="7"/>
  <c r="U33" i="7"/>
  <c r="T33" i="7"/>
  <c r="AA33" i="7" s="1"/>
  <c r="S33" i="7"/>
  <c r="AC32" i="7"/>
  <c r="AB32" i="7"/>
  <c r="Z32" i="7"/>
  <c r="Y32" i="7"/>
  <c r="AF32" i="7" s="1"/>
  <c r="X32" i="7"/>
  <c r="AE32" i="7" s="1"/>
  <c r="W32" i="7"/>
  <c r="AD32" i="7" s="1"/>
  <c r="V32" i="7"/>
  <c r="U32" i="7"/>
  <c r="T32" i="7"/>
  <c r="AA32" i="7" s="1"/>
  <c r="S32" i="7"/>
  <c r="AC31" i="7"/>
  <c r="AB31" i="7"/>
  <c r="Z31" i="7"/>
  <c r="Y31" i="7"/>
  <c r="AF31" i="7" s="1"/>
  <c r="X31" i="7"/>
  <c r="AE31" i="7" s="1"/>
  <c r="W31" i="7"/>
  <c r="AD31" i="7" s="1"/>
  <c r="V31" i="7"/>
  <c r="U31" i="7"/>
  <c r="T31" i="7"/>
  <c r="AA31" i="7" s="1"/>
  <c r="S31" i="7"/>
  <c r="AC30" i="7"/>
  <c r="AB30" i="7"/>
  <c r="Z30" i="7"/>
  <c r="Y30" i="7"/>
  <c r="AF30" i="7" s="1"/>
  <c r="X30" i="7"/>
  <c r="AE30" i="7" s="1"/>
  <c r="W30" i="7"/>
  <c r="AD30" i="7" s="1"/>
  <c r="V30" i="7"/>
  <c r="U30" i="7"/>
  <c r="T30" i="7"/>
  <c r="AA30" i="7" s="1"/>
  <c r="S30" i="7"/>
  <c r="D30" i="7"/>
  <c r="AC29" i="7"/>
  <c r="AB29" i="7"/>
  <c r="Z29" i="7"/>
  <c r="Y29" i="7"/>
  <c r="AF29" i="7" s="1"/>
  <c r="X29" i="7"/>
  <c r="AE29" i="7" s="1"/>
  <c r="W29" i="7"/>
  <c r="AD29" i="7" s="1"/>
  <c r="V29" i="7"/>
  <c r="U29" i="7"/>
  <c r="T29" i="7"/>
  <c r="AA29" i="7" s="1"/>
  <c r="S29" i="7"/>
  <c r="AC28" i="7"/>
  <c r="AB28" i="7"/>
  <c r="Z28" i="7"/>
  <c r="Y28" i="7"/>
  <c r="AF28" i="7" s="1"/>
  <c r="X28" i="7"/>
  <c r="AE28" i="7" s="1"/>
  <c r="W28" i="7"/>
  <c r="AD28" i="7" s="1"/>
  <c r="V28" i="7"/>
  <c r="U28" i="7"/>
  <c r="T28" i="7"/>
  <c r="AA28" i="7" s="1"/>
  <c r="S28" i="7"/>
  <c r="AC27" i="7"/>
  <c r="AB27" i="7"/>
  <c r="Z27" i="7"/>
  <c r="Y27" i="7"/>
  <c r="AF27" i="7" s="1"/>
  <c r="X27" i="7"/>
  <c r="AE27" i="7" s="1"/>
  <c r="W27" i="7"/>
  <c r="AD27" i="7" s="1"/>
  <c r="V27" i="7"/>
  <c r="U27" i="7"/>
  <c r="T27" i="7"/>
  <c r="AA27" i="7" s="1"/>
  <c r="S27" i="7"/>
  <c r="AC26" i="7"/>
  <c r="AB26" i="7"/>
  <c r="Z26" i="7"/>
  <c r="Y26" i="7"/>
  <c r="AF26" i="7" s="1"/>
  <c r="X26" i="7"/>
  <c r="AE26" i="7" s="1"/>
  <c r="W26" i="7"/>
  <c r="AD26" i="7" s="1"/>
  <c r="V26" i="7"/>
  <c r="U26" i="7"/>
  <c r="T26" i="7"/>
  <c r="AA26" i="7" s="1"/>
  <c r="S26" i="7"/>
  <c r="AC25" i="7"/>
  <c r="AB25" i="7"/>
  <c r="Z25" i="7"/>
  <c r="Y25" i="7"/>
  <c r="AF25" i="7" s="1"/>
  <c r="X25" i="7"/>
  <c r="AE25" i="7" s="1"/>
  <c r="W25" i="7"/>
  <c r="AD25" i="7" s="1"/>
  <c r="V25" i="7"/>
  <c r="U25" i="7"/>
  <c r="T25" i="7"/>
  <c r="AA25" i="7" s="1"/>
  <c r="S25" i="7"/>
  <c r="AC24" i="7"/>
  <c r="AB24" i="7"/>
  <c r="Z24" i="7"/>
  <c r="Y24" i="7"/>
  <c r="AF24" i="7" s="1"/>
  <c r="X24" i="7"/>
  <c r="AE24" i="7" s="1"/>
  <c r="W24" i="7"/>
  <c r="AD24" i="7" s="1"/>
  <c r="V24" i="7"/>
  <c r="U24" i="7"/>
  <c r="T24" i="7"/>
  <c r="AA24" i="7" s="1"/>
  <c r="S24" i="7"/>
  <c r="AA23" i="7"/>
  <c r="Z23" i="7"/>
  <c r="Y23" i="7"/>
  <c r="AF23" i="7" s="1"/>
  <c r="X23" i="7"/>
  <c r="AE23" i="7" s="1"/>
  <c r="W23" i="7"/>
  <c r="AD23" i="7" s="1"/>
  <c r="V23" i="7"/>
  <c r="AC23" i="7" s="1"/>
  <c r="U23" i="7"/>
  <c r="AB23" i="7" s="1"/>
  <c r="T23" i="7"/>
  <c r="S23" i="7"/>
  <c r="AC22" i="7"/>
  <c r="AB22" i="7"/>
  <c r="Z22" i="7"/>
  <c r="Y22" i="7"/>
  <c r="AF22" i="7" s="1"/>
  <c r="X22" i="7"/>
  <c r="AE22" i="7" s="1"/>
  <c r="W22" i="7"/>
  <c r="AD22" i="7" s="1"/>
  <c r="V22" i="7"/>
  <c r="U22" i="7"/>
  <c r="T22" i="7"/>
  <c r="AA22" i="7" s="1"/>
  <c r="S22" i="7"/>
  <c r="AC21" i="7"/>
  <c r="Z21" i="7"/>
  <c r="Y21" i="7"/>
  <c r="AF21" i="7" s="1"/>
  <c r="X21" i="7"/>
  <c r="AE21" i="7" s="1"/>
  <c r="W21" i="7"/>
  <c r="AD21" i="7" s="1"/>
  <c r="V21" i="7"/>
  <c r="U21" i="7"/>
  <c r="AB21" i="7" s="1"/>
  <c r="T21" i="7"/>
  <c r="AA21" i="7" s="1"/>
  <c r="S21" i="7"/>
  <c r="AC20" i="7"/>
  <c r="AB20" i="7"/>
  <c r="Z20" i="7"/>
  <c r="Y20" i="7"/>
  <c r="AF20" i="7" s="1"/>
  <c r="X20" i="7"/>
  <c r="AE20" i="7" s="1"/>
  <c r="W20" i="7"/>
  <c r="AD20" i="7" s="1"/>
  <c r="V20" i="7"/>
  <c r="U20" i="7"/>
  <c r="T20" i="7"/>
  <c r="AA20" i="7" s="1"/>
  <c r="S20" i="7"/>
  <c r="AC19" i="7"/>
  <c r="AB19" i="7"/>
  <c r="Z19" i="7"/>
  <c r="Y19" i="7"/>
  <c r="AF19" i="7" s="1"/>
  <c r="X19" i="7"/>
  <c r="AE19" i="7" s="1"/>
  <c r="W19" i="7"/>
  <c r="AD19" i="7" s="1"/>
  <c r="V19" i="7"/>
  <c r="U19" i="7"/>
  <c r="T19" i="7"/>
  <c r="AA19" i="7" s="1"/>
  <c r="S19" i="7"/>
  <c r="AC18" i="7"/>
  <c r="AB18" i="7"/>
  <c r="Z18" i="7"/>
  <c r="Y18" i="7"/>
  <c r="AF18" i="7" s="1"/>
  <c r="X18" i="7"/>
  <c r="AE18" i="7" s="1"/>
  <c r="W18" i="7"/>
  <c r="AD18" i="7" s="1"/>
  <c r="V18" i="7"/>
  <c r="U18" i="7"/>
  <c r="T18" i="7"/>
  <c r="AA18" i="7" s="1"/>
  <c r="S18" i="7"/>
  <c r="AC17" i="7"/>
  <c r="AB17" i="7"/>
  <c r="Z17" i="7"/>
  <c r="Y17" i="7"/>
  <c r="AF17" i="7" s="1"/>
  <c r="X17" i="7"/>
  <c r="AE17" i="7" s="1"/>
  <c r="W17" i="7"/>
  <c r="AD17" i="7" s="1"/>
  <c r="V17" i="7"/>
  <c r="U17" i="7"/>
  <c r="T17" i="7"/>
  <c r="AA17" i="7" s="1"/>
  <c r="S17" i="7"/>
  <c r="AC16" i="7"/>
  <c r="AB16" i="7"/>
  <c r="Z16" i="7"/>
  <c r="Y16" i="7"/>
  <c r="AF16" i="7" s="1"/>
  <c r="X16" i="7"/>
  <c r="AE16" i="7" s="1"/>
  <c r="W16" i="7"/>
  <c r="AD16" i="7" s="1"/>
  <c r="V16" i="7"/>
  <c r="U16" i="7"/>
  <c r="T16" i="7"/>
  <c r="AA16" i="7" s="1"/>
  <c r="S16" i="7"/>
  <c r="AC15" i="7"/>
  <c r="AB15" i="7"/>
  <c r="Z15" i="7"/>
  <c r="Y15" i="7"/>
  <c r="AF15" i="7" s="1"/>
  <c r="X15" i="7"/>
  <c r="AE15" i="7" s="1"/>
  <c r="W15" i="7"/>
  <c r="AD15" i="7" s="1"/>
  <c r="V15" i="7"/>
  <c r="U15" i="7"/>
  <c r="T15" i="7"/>
  <c r="AA15" i="7" s="1"/>
  <c r="S15" i="7"/>
  <c r="AC14" i="7"/>
  <c r="AB14" i="7"/>
  <c r="Z14" i="7"/>
  <c r="Y14" i="7"/>
  <c r="AF14" i="7" s="1"/>
  <c r="X14" i="7"/>
  <c r="AE14" i="7" s="1"/>
  <c r="W14" i="7"/>
  <c r="AD14" i="7" s="1"/>
  <c r="V14" i="7"/>
  <c r="U14" i="7"/>
  <c r="T14" i="7"/>
  <c r="AA14" i="7" s="1"/>
  <c r="S14" i="7"/>
  <c r="AC13" i="7"/>
  <c r="AB13" i="7"/>
  <c r="Z13" i="7"/>
  <c r="Y13" i="7"/>
  <c r="AF13" i="7" s="1"/>
  <c r="X13" i="7"/>
  <c r="AE13" i="7" s="1"/>
  <c r="W13" i="7"/>
  <c r="AD13" i="7" s="1"/>
  <c r="V13" i="7"/>
  <c r="U13" i="7"/>
  <c r="T13" i="7"/>
  <c r="AA13" i="7" s="1"/>
  <c r="S13" i="7"/>
  <c r="AC12" i="7"/>
  <c r="AB12" i="7"/>
  <c r="Z12" i="7"/>
  <c r="Y12" i="7"/>
  <c r="AF12" i="7" s="1"/>
  <c r="X12" i="7"/>
  <c r="AE12" i="7" s="1"/>
  <c r="W12" i="7"/>
  <c r="AD12" i="7" s="1"/>
  <c r="V12" i="7"/>
  <c r="U12" i="7"/>
  <c r="T12" i="7"/>
  <c r="AA12" i="7" s="1"/>
  <c r="S12" i="7"/>
  <c r="AC11" i="7"/>
  <c r="AB11" i="7"/>
  <c r="Z11" i="7"/>
  <c r="Y11" i="7"/>
  <c r="AF11" i="7" s="1"/>
  <c r="X11" i="7"/>
  <c r="AE11" i="7" s="1"/>
  <c r="W11" i="7"/>
  <c r="AD11" i="7" s="1"/>
  <c r="V11" i="7"/>
  <c r="U11" i="7"/>
  <c r="T11" i="7"/>
  <c r="AA11" i="7" s="1"/>
  <c r="S11" i="7"/>
  <c r="AC10" i="7"/>
  <c r="AB10" i="7"/>
  <c r="Z10" i="7"/>
  <c r="Y10" i="7"/>
  <c r="AF10" i="7" s="1"/>
  <c r="X10" i="7"/>
  <c r="AE10" i="7" s="1"/>
  <c r="W10" i="7"/>
  <c r="AD10" i="7" s="1"/>
  <c r="V10" i="7"/>
  <c r="U10" i="7"/>
  <c r="T10" i="7"/>
  <c r="AA10" i="7" s="1"/>
  <c r="S10" i="7"/>
  <c r="AC9" i="7"/>
  <c r="AB9" i="7"/>
  <c r="Z9" i="7"/>
  <c r="Y9" i="7"/>
  <c r="AF9" i="7" s="1"/>
  <c r="X9" i="7"/>
  <c r="AE9" i="7" s="1"/>
  <c r="W9" i="7"/>
  <c r="AD9" i="7" s="1"/>
  <c r="V9" i="7"/>
  <c r="U9" i="7"/>
  <c r="T9" i="7"/>
  <c r="AA9" i="7" s="1"/>
  <c r="S9" i="7"/>
  <c r="AC8" i="7"/>
  <c r="AB8" i="7"/>
  <c r="AA8" i="7"/>
  <c r="Z8" i="7"/>
  <c r="Y8" i="7"/>
  <c r="AF8" i="7" s="1"/>
  <c r="X8" i="7"/>
  <c r="AE8" i="7" s="1"/>
  <c r="W8" i="7"/>
  <c r="AD8" i="7" s="1"/>
  <c r="V8" i="7"/>
  <c r="U8" i="7"/>
  <c r="T8" i="7"/>
  <c r="S8" i="7"/>
  <c r="I3" i="6"/>
  <c r="J3" i="6"/>
  <c r="C49" i="4"/>
  <c r="D47" i="4" s="1"/>
  <c r="F47" i="4" s="1"/>
  <c r="D48" i="4"/>
  <c r="F48" i="4" s="1"/>
  <c r="AC37" i="4"/>
  <c r="AB37" i="4"/>
  <c r="Z37" i="4"/>
  <c r="Y37" i="4"/>
  <c r="AF37" i="4" s="1"/>
  <c r="X37" i="4"/>
  <c r="AE37" i="4" s="1"/>
  <c r="W37" i="4"/>
  <c r="AD37" i="4" s="1"/>
  <c r="V37" i="4"/>
  <c r="U37" i="4"/>
  <c r="T37" i="4"/>
  <c r="AA37" i="4" s="1"/>
  <c r="S37" i="4"/>
  <c r="AC36" i="4"/>
  <c r="AB36" i="4"/>
  <c r="Z36" i="4"/>
  <c r="Y36" i="4"/>
  <c r="AF36" i="4" s="1"/>
  <c r="X36" i="4"/>
  <c r="AE36" i="4" s="1"/>
  <c r="W36" i="4"/>
  <c r="AD36" i="4" s="1"/>
  <c r="V36" i="4"/>
  <c r="U36" i="4"/>
  <c r="T36" i="4"/>
  <c r="AA36" i="4" s="1"/>
  <c r="S36" i="4"/>
  <c r="AC35" i="4"/>
  <c r="AB35" i="4"/>
  <c r="Z35" i="4"/>
  <c r="Y35" i="4"/>
  <c r="AF35" i="4" s="1"/>
  <c r="X35" i="4"/>
  <c r="AE35" i="4" s="1"/>
  <c r="W35" i="4"/>
  <c r="AD35" i="4" s="1"/>
  <c r="V35" i="4"/>
  <c r="U35" i="4"/>
  <c r="T35" i="4"/>
  <c r="AA35" i="4" s="1"/>
  <c r="S35" i="4"/>
  <c r="AC34" i="4"/>
  <c r="AB34" i="4"/>
  <c r="Z34" i="4"/>
  <c r="Y34" i="4"/>
  <c r="AF34" i="4" s="1"/>
  <c r="X34" i="4"/>
  <c r="AE34" i="4" s="1"/>
  <c r="W34" i="4"/>
  <c r="AD34" i="4" s="1"/>
  <c r="V34" i="4"/>
  <c r="U34" i="4"/>
  <c r="T34" i="4"/>
  <c r="AA34" i="4" s="1"/>
  <c r="S34" i="4"/>
  <c r="AC33" i="4"/>
  <c r="AB33" i="4"/>
  <c r="Z33" i="4"/>
  <c r="Y33" i="4"/>
  <c r="AF33" i="4" s="1"/>
  <c r="X33" i="4"/>
  <c r="AE33" i="4" s="1"/>
  <c r="W33" i="4"/>
  <c r="AD33" i="4" s="1"/>
  <c r="V33" i="4"/>
  <c r="U33" i="4"/>
  <c r="T33" i="4"/>
  <c r="AA33" i="4" s="1"/>
  <c r="S33" i="4"/>
  <c r="AC32" i="4"/>
  <c r="AB32" i="4"/>
  <c r="Z32" i="4"/>
  <c r="Y32" i="4"/>
  <c r="AF32" i="4" s="1"/>
  <c r="X32" i="4"/>
  <c r="AE32" i="4" s="1"/>
  <c r="W32" i="4"/>
  <c r="AD32" i="4" s="1"/>
  <c r="V32" i="4"/>
  <c r="U32" i="4"/>
  <c r="T32" i="4"/>
  <c r="AA32" i="4" s="1"/>
  <c r="S32" i="4"/>
  <c r="AC31" i="4"/>
  <c r="AB31" i="4"/>
  <c r="Z31" i="4"/>
  <c r="Y31" i="4"/>
  <c r="AF31" i="4" s="1"/>
  <c r="X31" i="4"/>
  <c r="AE31" i="4" s="1"/>
  <c r="W31" i="4"/>
  <c r="AD31" i="4" s="1"/>
  <c r="V31" i="4"/>
  <c r="U31" i="4"/>
  <c r="T31" i="4"/>
  <c r="AA31" i="4" s="1"/>
  <c r="S31" i="4"/>
  <c r="AC30" i="4"/>
  <c r="AB30" i="4"/>
  <c r="Z30" i="4"/>
  <c r="Y30" i="4"/>
  <c r="AF30" i="4" s="1"/>
  <c r="X30" i="4"/>
  <c r="AE30" i="4" s="1"/>
  <c r="W30" i="4"/>
  <c r="AD30" i="4" s="1"/>
  <c r="V30" i="4"/>
  <c r="U30" i="4"/>
  <c r="T30" i="4"/>
  <c r="AA30" i="4" s="1"/>
  <c r="S30" i="4"/>
  <c r="D30" i="4"/>
  <c r="AC29" i="4"/>
  <c r="AB29" i="4"/>
  <c r="Z29" i="4"/>
  <c r="Y29" i="4"/>
  <c r="AF29" i="4" s="1"/>
  <c r="X29" i="4"/>
  <c r="AE29" i="4" s="1"/>
  <c r="W29" i="4"/>
  <c r="AD29" i="4" s="1"/>
  <c r="V29" i="4"/>
  <c r="U29" i="4"/>
  <c r="T29" i="4"/>
  <c r="AA29" i="4" s="1"/>
  <c r="S29" i="4"/>
  <c r="AC28" i="4"/>
  <c r="AB28" i="4"/>
  <c r="Z28" i="4"/>
  <c r="Y28" i="4"/>
  <c r="AF28" i="4" s="1"/>
  <c r="X28" i="4"/>
  <c r="AE28" i="4" s="1"/>
  <c r="W28" i="4"/>
  <c r="AD28" i="4" s="1"/>
  <c r="V28" i="4"/>
  <c r="U28" i="4"/>
  <c r="T28" i="4"/>
  <c r="AA28" i="4" s="1"/>
  <c r="S28" i="4"/>
  <c r="AC27" i="4"/>
  <c r="AB27" i="4"/>
  <c r="Z27" i="4"/>
  <c r="Y27" i="4"/>
  <c r="AF27" i="4" s="1"/>
  <c r="X27" i="4"/>
  <c r="AE27" i="4" s="1"/>
  <c r="W27" i="4"/>
  <c r="AD27" i="4" s="1"/>
  <c r="V27" i="4"/>
  <c r="U27" i="4"/>
  <c r="T27" i="4"/>
  <c r="AA27" i="4" s="1"/>
  <c r="S27" i="4"/>
  <c r="AC26" i="4"/>
  <c r="AB26" i="4"/>
  <c r="Z26" i="4"/>
  <c r="Y26" i="4"/>
  <c r="AF26" i="4" s="1"/>
  <c r="X26" i="4"/>
  <c r="AE26" i="4" s="1"/>
  <c r="W26" i="4"/>
  <c r="AD26" i="4" s="1"/>
  <c r="V26" i="4"/>
  <c r="U26" i="4"/>
  <c r="T26" i="4"/>
  <c r="AA26" i="4" s="1"/>
  <c r="S26" i="4"/>
  <c r="AC25" i="4"/>
  <c r="AB25" i="4"/>
  <c r="Z25" i="4"/>
  <c r="Y25" i="4"/>
  <c r="AF25" i="4" s="1"/>
  <c r="X25" i="4"/>
  <c r="AE25" i="4" s="1"/>
  <c r="W25" i="4"/>
  <c r="AD25" i="4" s="1"/>
  <c r="V25" i="4"/>
  <c r="U25" i="4"/>
  <c r="T25" i="4"/>
  <c r="AA25" i="4" s="1"/>
  <c r="S25" i="4"/>
  <c r="AC24" i="4"/>
  <c r="AB24" i="4"/>
  <c r="Z24" i="4"/>
  <c r="Y24" i="4"/>
  <c r="AF24" i="4" s="1"/>
  <c r="X24" i="4"/>
  <c r="AE24" i="4" s="1"/>
  <c r="W24" i="4"/>
  <c r="AD24" i="4" s="1"/>
  <c r="V24" i="4"/>
  <c r="U24" i="4"/>
  <c r="T24" i="4"/>
  <c r="AA24" i="4" s="1"/>
  <c r="S24" i="4"/>
  <c r="AA23" i="4"/>
  <c r="Z23" i="4"/>
  <c r="Y23" i="4"/>
  <c r="AF23" i="4" s="1"/>
  <c r="X23" i="4"/>
  <c r="AE23" i="4" s="1"/>
  <c r="W23" i="4"/>
  <c r="AD23" i="4" s="1"/>
  <c r="V23" i="4"/>
  <c r="AC23" i="4" s="1"/>
  <c r="U23" i="4"/>
  <c r="AB23" i="4" s="1"/>
  <c r="T23" i="4"/>
  <c r="S23" i="4"/>
  <c r="AC22" i="4"/>
  <c r="AB22" i="4"/>
  <c r="Z22" i="4"/>
  <c r="Y22" i="4"/>
  <c r="AF22" i="4" s="1"/>
  <c r="X22" i="4"/>
  <c r="AE22" i="4" s="1"/>
  <c r="W22" i="4"/>
  <c r="AD22" i="4" s="1"/>
  <c r="V22" i="4"/>
  <c r="U22" i="4"/>
  <c r="T22" i="4"/>
  <c r="AA22" i="4" s="1"/>
  <c r="S22" i="4"/>
  <c r="AC21" i="4"/>
  <c r="Z21" i="4"/>
  <c r="Y21" i="4"/>
  <c r="AF21" i="4" s="1"/>
  <c r="X21" i="4"/>
  <c r="AE21" i="4" s="1"/>
  <c r="W21" i="4"/>
  <c r="AD21" i="4" s="1"/>
  <c r="V21" i="4"/>
  <c r="U21" i="4"/>
  <c r="AB21" i="4" s="1"/>
  <c r="T21" i="4"/>
  <c r="AA21" i="4" s="1"/>
  <c r="S21" i="4"/>
  <c r="AC20" i="4"/>
  <c r="AB20" i="4"/>
  <c r="Z20" i="4"/>
  <c r="Y20" i="4"/>
  <c r="AF20" i="4" s="1"/>
  <c r="X20" i="4"/>
  <c r="AE20" i="4" s="1"/>
  <c r="W20" i="4"/>
  <c r="AD20" i="4" s="1"/>
  <c r="V20" i="4"/>
  <c r="U20" i="4"/>
  <c r="T20" i="4"/>
  <c r="AA20" i="4" s="1"/>
  <c r="S20" i="4"/>
  <c r="AC19" i="4"/>
  <c r="AB19" i="4"/>
  <c r="Z19" i="4"/>
  <c r="Y19" i="4"/>
  <c r="AF19" i="4" s="1"/>
  <c r="X19" i="4"/>
  <c r="AE19" i="4" s="1"/>
  <c r="W19" i="4"/>
  <c r="AD19" i="4" s="1"/>
  <c r="V19" i="4"/>
  <c r="U19" i="4"/>
  <c r="T19" i="4"/>
  <c r="AA19" i="4" s="1"/>
  <c r="S19" i="4"/>
  <c r="AC18" i="4"/>
  <c r="AB18" i="4"/>
  <c r="Z18" i="4"/>
  <c r="Y18" i="4"/>
  <c r="AF18" i="4" s="1"/>
  <c r="X18" i="4"/>
  <c r="AE18" i="4" s="1"/>
  <c r="W18" i="4"/>
  <c r="AD18" i="4" s="1"/>
  <c r="V18" i="4"/>
  <c r="U18" i="4"/>
  <c r="T18" i="4"/>
  <c r="AA18" i="4" s="1"/>
  <c r="S18" i="4"/>
  <c r="AC17" i="4"/>
  <c r="AB17" i="4"/>
  <c r="Z17" i="4"/>
  <c r="Y17" i="4"/>
  <c r="AF17" i="4" s="1"/>
  <c r="X17" i="4"/>
  <c r="AE17" i="4" s="1"/>
  <c r="W17" i="4"/>
  <c r="AD17" i="4" s="1"/>
  <c r="V17" i="4"/>
  <c r="U17" i="4"/>
  <c r="T17" i="4"/>
  <c r="AA17" i="4" s="1"/>
  <c r="S17" i="4"/>
  <c r="AC16" i="4"/>
  <c r="AB16" i="4"/>
  <c r="Z16" i="4"/>
  <c r="Y16" i="4"/>
  <c r="AF16" i="4" s="1"/>
  <c r="X16" i="4"/>
  <c r="AE16" i="4" s="1"/>
  <c r="W16" i="4"/>
  <c r="AD16" i="4" s="1"/>
  <c r="V16" i="4"/>
  <c r="U16" i="4"/>
  <c r="T16" i="4"/>
  <c r="AA16" i="4" s="1"/>
  <c r="S16" i="4"/>
  <c r="AC15" i="4"/>
  <c r="AB15" i="4"/>
  <c r="Z15" i="4"/>
  <c r="Y15" i="4"/>
  <c r="AF15" i="4" s="1"/>
  <c r="X15" i="4"/>
  <c r="AE15" i="4" s="1"/>
  <c r="W15" i="4"/>
  <c r="AD15" i="4" s="1"/>
  <c r="V15" i="4"/>
  <c r="U15" i="4"/>
  <c r="T15" i="4"/>
  <c r="AA15" i="4" s="1"/>
  <c r="S15" i="4"/>
  <c r="AC14" i="4"/>
  <c r="AB14" i="4"/>
  <c r="Z14" i="4"/>
  <c r="Y14" i="4"/>
  <c r="AF14" i="4" s="1"/>
  <c r="X14" i="4"/>
  <c r="AE14" i="4" s="1"/>
  <c r="W14" i="4"/>
  <c r="AD14" i="4" s="1"/>
  <c r="V14" i="4"/>
  <c r="U14" i="4"/>
  <c r="T14" i="4"/>
  <c r="AA14" i="4" s="1"/>
  <c r="S14" i="4"/>
  <c r="AC13" i="4"/>
  <c r="AB13" i="4"/>
  <c r="Z13" i="4"/>
  <c r="Y13" i="4"/>
  <c r="AF13" i="4" s="1"/>
  <c r="X13" i="4"/>
  <c r="AE13" i="4" s="1"/>
  <c r="W13" i="4"/>
  <c r="AD13" i="4" s="1"/>
  <c r="V13" i="4"/>
  <c r="U13" i="4"/>
  <c r="T13" i="4"/>
  <c r="AA13" i="4" s="1"/>
  <c r="S13" i="4"/>
  <c r="AC12" i="4"/>
  <c r="AB12" i="4"/>
  <c r="AA12" i="4"/>
  <c r="Z12" i="4"/>
  <c r="Y12" i="4"/>
  <c r="AF12" i="4" s="1"/>
  <c r="X12" i="4"/>
  <c r="AE12" i="4" s="1"/>
  <c r="W12" i="4"/>
  <c r="AD12" i="4" s="1"/>
  <c r="V12" i="4"/>
  <c r="U12" i="4"/>
  <c r="T12" i="4"/>
  <c r="S12" i="4"/>
  <c r="AC11" i="4"/>
  <c r="AB11" i="4"/>
  <c r="Z11" i="4"/>
  <c r="Y11" i="4"/>
  <c r="AF11" i="4" s="1"/>
  <c r="X11" i="4"/>
  <c r="AE11" i="4" s="1"/>
  <c r="W11" i="4"/>
  <c r="AD11" i="4" s="1"/>
  <c r="V11" i="4"/>
  <c r="U11" i="4"/>
  <c r="T11" i="4"/>
  <c r="AA11" i="4" s="1"/>
  <c r="S11" i="4"/>
  <c r="AC10" i="4"/>
  <c r="AB10" i="4"/>
  <c r="Z10" i="4"/>
  <c r="Y10" i="4"/>
  <c r="AF10" i="4" s="1"/>
  <c r="X10" i="4"/>
  <c r="AE10" i="4" s="1"/>
  <c r="W10" i="4"/>
  <c r="AD10" i="4" s="1"/>
  <c r="V10" i="4"/>
  <c r="U10" i="4"/>
  <c r="T10" i="4"/>
  <c r="AA10" i="4" s="1"/>
  <c r="S10" i="4"/>
  <c r="AC9" i="4"/>
  <c r="AB9" i="4"/>
  <c r="Z9" i="4"/>
  <c r="Y9" i="4"/>
  <c r="AF9" i="4" s="1"/>
  <c r="X9" i="4"/>
  <c r="AE9" i="4" s="1"/>
  <c r="W9" i="4"/>
  <c r="AD9" i="4" s="1"/>
  <c r="V9" i="4"/>
  <c r="U9" i="4"/>
  <c r="T9" i="4"/>
  <c r="AA9" i="4" s="1"/>
  <c r="S9" i="4"/>
  <c r="AC8" i="4"/>
  <c r="AB8" i="4"/>
  <c r="AA8" i="4"/>
  <c r="Z8" i="4"/>
  <c r="Y8" i="4"/>
  <c r="AF8" i="4" s="1"/>
  <c r="X8" i="4"/>
  <c r="AE8" i="4" s="1"/>
  <c r="W8" i="4"/>
  <c r="AD8" i="4" s="1"/>
  <c r="V8" i="4"/>
  <c r="U8" i="4"/>
  <c r="T8" i="4"/>
  <c r="S8" i="4"/>
  <c r="D46" i="4" l="1"/>
  <c r="F46" i="4" s="1"/>
  <c r="K3" i="6"/>
  <c r="L3" i="6" s="1"/>
  <c r="D45" i="7"/>
  <c r="F45" i="7" s="1"/>
  <c r="D46" i="7"/>
  <c r="F46" i="7" s="1"/>
  <c r="F50" i="7" s="1"/>
  <c r="D47" i="7"/>
  <c r="F47" i="7" s="1"/>
  <c r="D45" i="4"/>
  <c r="F45" i="4" s="1"/>
  <c r="F50" i="4" s="1"/>
  <c r="K3" i="8"/>
  <c r="L3" i="8" s="1"/>
  <c r="AG30" i="4"/>
  <c r="AI30" i="4" s="1"/>
  <c r="AG34" i="4"/>
  <c r="AI34" i="4" s="1"/>
  <c r="AG11" i="7"/>
  <c r="AI11" i="7" s="1"/>
  <c r="AG12" i="7"/>
  <c r="AI12" i="7" s="1"/>
  <c r="AG13" i="7"/>
  <c r="AI13" i="7" s="1"/>
  <c r="AG14" i="7"/>
  <c r="AI14" i="7" s="1"/>
  <c r="AG15" i="7"/>
  <c r="AI15" i="7" s="1"/>
  <c r="AG16" i="7"/>
  <c r="AI16" i="7" s="1"/>
  <c r="AG17" i="7"/>
  <c r="AI17" i="7" s="1"/>
  <c r="AG18" i="7"/>
  <c r="AI18" i="7" s="1"/>
  <c r="AG19" i="7"/>
  <c r="AI19" i="7" s="1"/>
  <c r="AG20" i="7"/>
  <c r="AI20" i="7" s="1"/>
  <c r="AG21" i="7"/>
  <c r="AI21" i="7" s="1"/>
  <c r="AG22" i="7"/>
  <c r="AI22" i="7" s="1"/>
  <c r="AG24" i="7"/>
  <c r="AI24" i="7" s="1"/>
  <c r="AG25" i="7"/>
  <c r="AI25" i="7" s="1"/>
  <c r="AG26" i="7"/>
  <c r="AI26" i="7" s="1"/>
  <c r="AG27" i="7"/>
  <c r="AI27" i="7" s="1"/>
  <c r="AG28" i="7"/>
  <c r="AI28" i="7" s="1"/>
  <c r="AG29" i="7"/>
  <c r="AI29" i="7" s="1"/>
  <c r="AG33" i="4"/>
  <c r="AI33" i="4" s="1"/>
  <c r="AG37" i="4"/>
  <c r="AI37" i="4" s="1"/>
  <c r="AG23" i="7"/>
  <c r="AI23" i="7" s="1"/>
  <c r="AG30" i="7"/>
  <c r="AI30" i="7" s="1"/>
  <c r="AG31" i="7"/>
  <c r="AI31" i="7" s="1"/>
  <c r="AG32" i="7"/>
  <c r="AI32" i="7" s="1"/>
  <c r="AG33" i="7"/>
  <c r="AI33" i="7" s="1"/>
  <c r="AG34" i="7"/>
  <c r="AI34" i="7" s="1"/>
  <c r="AG35" i="7"/>
  <c r="AI35" i="7" s="1"/>
  <c r="AG36" i="7"/>
  <c r="AI36" i="7" s="1"/>
  <c r="AG37" i="7"/>
  <c r="AI37" i="7" s="1"/>
  <c r="AH36" i="7"/>
  <c r="AJ36" i="7" s="1"/>
  <c r="AH12" i="7"/>
  <c r="AJ12" i="7" s="1"/>
  <c r="AK12" i="7" s="1"/>
  <c r="AL12" i="7" s="1"/>
  <c r="AH14" i="7"/>
  <c r="AJ14" i="7" s="1"/>
  <c r="AK14" i="7" s="1"/>
  <c r="AL14" i="7" s="1"/>
  <c r="AH16" i="7"/>
  <c r="AJ16" i="7" s="1"/>
  <c r="AK16" i="7" s="1"/>
  <c r="AL16" i="7" s="1"/>
  <c r="AH18" i="7"/>
  <c r="AJ18" i="7" s="1"/>
  <c r="AK18" i="7" s="1"/>
  <c r="AL18" i="7" s="1"/>
  <c r="AH20" i="7"/>
  <c r="AJ20" i="7" s="1"/>
  <c r="AK20" i="7" s="1"/>
  <c r="AL20" i="7" s="1"/>
  <c r="AH22" i="7"/>
  <c r="AJ22" i="7" s="1"/>
  <c r="AK22" i="7" s="1"/>
  <c r="AL22" i="7" s="1"/>
  <c r="AH24" i="7"/>
  <c r="AJ24" i="7" s="1"/>
  <c r="AK24" i="7" s="1"/>
  <c r="AL24" i="7" s="1"/>
  <c r="AH25" i="7"/>
  <c r="AJ25" i="7" s="1"/>
  <c r="AK25" i="7" s="1"/>
  <c r="AL25" i="7" s="1"/>
  <c r="AH26" i="7"/>
  <c r="AJ26" i="7" s="1"/>
  <c r="AK26" i="7" s="1"/>
  <c r="AL26" i="7" s="1"/>
  <c r="AH27" i="7"/>
  <c r="AJ27" i="7" s="1"/>
  <c r="AK27" i="7" s="1"/>
  <c r="AL27" i="7" s="1"/>
  <c r="AH29" i="7"/>
  <c r="AJ29" i="7" s="1"/>
  <c r="AK29" i="7" s="1"/>
  <c r="AL29" i="7" s="1"/>
  <c r="AG8" i="7"/>
  <c r="AI8" i="7" s="1"/>
  <c r="AG9" i="7"/>
  <c r="AI9" i="7" s="1"/>
  <c r="AG10" i="7"/>
  <c r="AI10" i="7" s="1"/>
  <c r="AG23" i="4"/>
  <c r="AI23" i="4" s="1"/>
  <c r="AG25" i="4"/>
  <c r="AI25" i="4" s="1"/>
  <c r="AG26" i="4"/>
  <c r="AI26" i="4" s="1"/>
  <c r="AG27" i="4"/>
  <c r="AI27" i="4" s="1"/>
  <c r="AG35" i="4"/>
  <c r="AI35" i="4" s="1"/>
  <c r="AG8" i="4"/>
  <c r="AI8" i="4" s="1"/>
  <c r="AG9" i="4"/>
  <c r="AI9" i="4" s="1"/>
  <c r="AG10" i="4"/>
  <c r="AI10" i="4" s="1"/>
  <c r="AG13" i="4"/>
  <c r="AI13" i="4" s="1"/>
  <c r="AG15" i="4"/>
  <c r="AI15" i="4" s="1"/>
  <c r="AG16" i="4"/>
  <c r="AI16" i="4" s="1"/>
  <c r="AG17" i="4"/>
  <c r="AI17" i="4" s="1"/>
  <c r="AG18" i="4"/>
  <c r="AI18" i="4" s="1"/>
  <c r="AG21" i="4"/>
  <c r="AI21" i="4" s="1"/>
  <c r="AG32" i="4"/>
  <c r="AI32" i="4" s="1"/>
  <c r="AG36" i="4"/>
  <c r="AI36" i="4" s="1"/>
  <c r="AH30" i="4"/>
  <c r="AJ30" i="4" s="1"/>
  <c r="AK30" i="4" s="1"/>
  <c r="AL30" i="4" s="1"/>
  <c r="AG31" i="4"/>
  <c r="AI31" i="4" s="1"/>
  <c r="AG11" i="4"/>
  <c r="AI11" i="4" s="1"/>
  <c r="AG12" i="4"/>
  <c r="AI12" i="4" s="1"/>
  <c r="AG14" i="4"/>
  <c r="AI14" i="4" s="1"/>
  <c r="AG19" i="4"/>
  <c r="AI19" i="4" s="1"/>
  <c r="AG20" i="4"/>
  <c r="AI20" i="4" s="1"/>
  <c r="AG22" i="4"/>
  <c r="AI22" i="4" s="1"/>
  <c r="AG24" i="4"/>
  <c r="AI24" i="4" s="1"/>
  <c r="AG28" i="4"/>
  <c r="AI28" i="4" s="1"/>
  <c r="AG29" i="4"/>
  <c r="AI29" i="4" s="1"/>
  <c r="AH8" i="4"/>
  <c r="AJ8" i="4" s="1"/>
  <c r="AH13" i="4"/>
  <c r="AJ13" i="4" s="1"/>
  <c r="AH15" i="4"/>
  <c r="AJ15" i="4" s="1"/>
  <c r="AH37" i="4"/>
  <c r="AJ37" i="4" s="1"/>
  <c r="AK37" i="4" s="1"/>
  <c r="AL37" i="4" s="1"/>
  <c r="AH18" i="4" l="1"/>
  <c r="AJ18" i="4" s="1"/>
  <c r="AH33" i="4"/>
  <c r="AJ33" i="4" s="1"/>
  <c r="AK33" i="4" s="1"/>
  <c r="AL33" i="4" s="1"/>
  <c r="AH21" i="7"/>
  <c r="AJ21" i="7" s="1"/>
  <c r="AK21" i="7" s="1"/>
  <c r="AL21" i="7" s="1"/>
  <c r="AH17" i="7"/>
  <c r="AJ17" i="7" s="1"/>
  <c r="AK17" i="7" s="1"/>
  <c r="AL17" i="7" s="1"/>
  <c r="AH13" i="7"/>
  <c r="AJ13" i="7" s="1"/>
  <c r="AK13" i="7" s="1"/>
  <c r="AL13" i="7" s="1"/>
  <c r="AH23" i="7"/>
  <c r="AJ23" i="7" s="1"/>
  <c r="AH19" i="7"/>
  <c r="AJ19" i="7" s="1"/>
  <c r="AK19" i="7" s="1"/>
  <c r="AL19" i="7" s="1"/>
  <c r="AH15" i="7"/>
  <c r="AJ15" i="7" s="1"/>
  <c r="AK15" i="7" s="1"/>
  <c r="AL15" i="7" s="1"/>
  <c r="AH11" i="7"/>
  <c r="AJ11" i="7" s="1"/>
  <c r="AK11" i="7" s="1"/>
  <c r="AL11" i="7" s="1"/>
  <c r="AH32" i="7"/>
  <c r="AJ32" i="7" s="1"/>
  <c r="AH25" i="4"/>
  <c r="AJ25" i="4" s="1"/>
  <c r="AK25" i="4" s="1"/>
  <c r="AL25" i="4" s="1"/>
  <c r="AH19" i="4"/>
  <c r="AJ19" i="4" s="1"/>
  <c r="AK19" i="4" s="1"/>
  <c r="AL19" i="4" s="1"/>
  <c r="AH21" i="4"/>
  <c r="AJ21" i="4" s="1"/>
  <c r="AK21" i="4" s="1"/>
  <c r="AL21" i="4" s="1"/>
  <c r="AH16" i="4"/>
  <c r="AJ16" i="4" s="1"/>
  <c r="AH34" i="4"/>
  <c r="AJ34" i="4" s="1"/>
  <c r="AK34" i="4" s="1"/>
  <c r="AL34" i="4" s="1"/>
  <c r="AH28" i="7"/>
  <c r="AJ28" i="7" s="1"/>
  <c r="AK28" i="7" s="1"/>
  <c r="AL28" i="7" s="1"/>
  <c r="AH31" i="4"/>
  <c r="AJ31" i="4" s="1"/>
  <c r="AK31" i="4" s="1"/>
  <c r="AL31" i="4" s="1"/>
  <c r="AH37" i="7"/>
  <c r="AJ37" i="7" s="1"/>
  <c r="AK37" i="7" s="1"/>
  <c r="AL37" i="7" s="1"/>
  <c r="AH17" i="4"/>
  <c r="AJ17" i="4" s="1"/>
  <c r="AK17" i="4" s="1"/>
  <c r="AL17" i="4" s="1"/>
  <c r="AH14" i="4"/>
  <c r="AJ14" i="4" s="1"/>
  <c r="AH33" i="7"/>
  <c r="AJ33" i="7" s="1"/>
  <c r="AH8" i="7"/>
  <c r="AJ8" i="7" s="1"/>
  <c r="AK8" i="7" s="1"/>
  <c r="AL8" i="7" s="1"/>
  <c r="AH34" i="7"/>
  <c r="AJ34" i="7" s="1"/>
  <c r="AK34" i="7" s="1"/>
  <c r="AL34" i="7" s="1"/>
  <c r="AH30" i="7"/>
  <c r="AJ30" i="7" s="1"/>
  <c r="AK30" i="7" s="1"/>
  <c r="AL30" i="7" s="1"/>
  <c r="AK36" i="7"/>
  <c r="AL36" i="7" s="1"/>
  <c r="AK32" i="7"/>
  <c r="AL32" i="7" s="1"/>
  <c r="AK23" i="7"/>
  <c r="AL23" i="7" s="1"/>
  <c r="AH9" i="7"/>
  <c r="AJ9" i="7" s="1"/>
  <c r="AK9" i="7" s="1"/>
  <c r="AL9" i="7" s="1"/>
  <c r="AH35" i="7"/>
  <c r="AJ35" i="7" s="1"/>
  <c r="AK35" i="7" s="1"/>
  <c r="AL35" i="7" s="1"/>
  <c r="AH31" i="7"/>
  <c r="AJ31" i="7" s="1"/>
  <c r="AK31" i="7" s="1"/>
  <c r="AL31" i="7" s="1"/>
  <c r="AK33" i="7"/>
  <c r="AL33" i="7" s="1"/>
  <c r="AH10" i="7"/>
  <c r="AJ10" i="7" s="1"/>
  <c r="AK10" i="7" s="1"/>
  <c r="AL10" i="7" s="1"/>
  <c r="AK18" i="4"/>
  <c r="AL18" i="4" s="1"/>
  <c r="AH26" i="4"/>
  <c r="AJ26" i="4" s="1"/>
  <c r="AK26" i="4" s="1"/>
  <c r="AL26" i="4" s="1"/>
  <c r="AH9" i="4"/>
  <c r="AJ9" i="4" s="1"/>
  <c r="AK14" i="4"/>
  <c r="AL14" i="4" s="1"/>
  <c r="AH27" i="4"/>
  <c r="AJ27" i="4" s="1"/>
  <c r="AK27" i="4" s="1"/>
  <c r="AL27" i="4" s="1"/>
  <c r="AH35" i="4"/>
  <c r="AJ35" i="4" s="1"/>
  <c r="AH20" i="4"/>
  <c r="AJ20" i="4" s="1"/>
  <c r="AK20" i="4" s="1"/>
  <c r="AL20" i="4" s="1"/>
  <c r="AK16" i="4"/>
  <c r="AL16" i="4" s="1"/>
  <c r="AH12" i="4"/>
  <c r="AJ12" i="4" s="1"/>
  <c r="AK12" i="4" s="1"/>
  <c r="AL12" i="4" s="1"/>
  <c r="AK8" i="4"/>
  <c r="AL8" i="4" s="1"/>
  <c r="AH28" i="4"/>
  <c r="AJ28" i="4" s="1"/>
  <c r="AK28" i="4" s="1"/>
  <c r="AL28" i="4" s="1"/>
  <c r="AH24" i="4"/>
  <c r="AJ24" i="4" s="1"/>
  <c r="AK24" i="4" s="1"/>
  <c r="AL24" i="4" s="1"/>
  <c r="AH23" i="4"/>
  <c r="AJ23" i="4" s="1"/>
  <c r="AK23" i="4" s="1"/>
  <c r="AL23" i="4" s="1"/>
  <c r="AK15" i="4"/>
  <c r="AL15" i="4" s="1"/>
  <c r="AH11" i="4"/>
  <c r="AJ11" i="4" s="1"/>
  <c r="AK11" i="4" s="1"/>
  <c r="AL11" i="4" s="1"/>
  <c r="AK35" i="4"/>
  <c r="AL35" i="4" s="1"/>
  <c r="AH10" i="4"/>
  <c r="AJ10" i="4" s="1"/>
  <c r="AK10" i="4" s="1"/>
  <c r="AL10" i="4" s="1"/>
  <c r="AH36" i="4"/>
  <c r="AJ36" i="4" s="1"/>
  <c r="AK36" i="4" s="1"/>
  <c r="AL36" i="4" s="1"/>
  <c r="AH32" i="4"/>
  <c r="AJ32" i="4" s="1"/>
  <c r="AK32" i="4" s="1"/>
  <c r="AL32" i="4" s="1"/>
  <c r="AK13" i="4"/>
  <c r="AL13" i="4" s="1"/>
  <c r="AK9" i="4"/>
  <c r="AL9" i="4" s="1"/>
  <c r="AH29" i="4"/>
  <c r="AJ29" i="4" s="1"/>
  <c r="AK29" i="4" s="1"/>
  <c r="AL29" i="4" s="1"/>
  <c r="AH22" i="4"/>
  <c r="AJ22" i="4" s="1"/>
  <c r="AK22" i="4" s="1"/>
  <c r="AL22" i="4" s="1"/>
</calcChain>
</file>

<file path=xl/comments1.xml><?xml version="1.0" encoding="utf-8"?>
<comments xmlns="http://schemas.openxmlformats.org/spreadsheetml/2006/main">
  <authors>
    <author>Lenovo</author>
  </authors>
  <commentList>
    <comment ref="L3" authorId="0" shapeId="0">
      <text>
        <r>
          <rPr>
            <b/>
            <sz val="9"/>
            <color indexed="81"/>
            <rFont val="Tahoma"/>
            <family val="2"/>
          </rPr>
          <t>Ieu adalah rata-rata SO2
hasil pengukuran baku mutu udara ambien SO2 ref Eu dan NO2 hasil pengukuran dibagi baku mutu udara ambien NO2 Ref EU
Ieu sama juga diartikan Indeks Pencemar
Jika nilai Ieu kecil berarti nilai IKU tinggi dan sebaliknya</t>
        </r>
      </text>
    </comment>
  </commentList>
</comments>
</file>

<file path=xl/comments2.xml><?xml version="1.0" encoding="utf-8"?>
<comments xmlns="http://schemas.openxmlformats.org/spreadsheetml/2006/main">
  <authors>
    <author>Lenovo</author>
  </authors>
  <commentList>
    <comment ref="L3" authorId="0" shapeId="0">
      <text>
        <r>
          <rPr>
            <b/>
            <sz val="9"/>
            <color indexed="81"/>
            <rFont val="Tahoma"/>
            <family val="2"/>
          </rPr>
          <t>Ieu adalah rata-rata SO2
hasil pengukuran baku mutu udara ambien SO2 ref Eu dan NO2 hasil pengukuran dibagi baku mutu udara ambien NO2 Ref EU
Ieu sama juga diartikan Indeks Pencemar
Jika nilai Ieu kecil berarti nilai IKU tinggi dan sebaliknya</t>
        </r>
      </text>
    </comment>
  </commentList>
</comments>
</file>

<file path=xl/comments3.xml><?xml version="1.0" encoding="utf-8"?>
<comments xmlns="http://schemas.openxmlformats.org/spreadsheetml/2006/main">
  <authors>
    <author>Lenovo</author>
  </authors>
  <commentList>
    <comment ref="M3" authorId="0" shapeId="0">
      <text>
        <r>
          <rPr>
            <b/>
            <sz val="9"/>
            <color indexed="81"/>
            <rFont val="Tahoma"/>
            <family val="2"/>
          </rPr>
          <t>Ieu adalah rata-rata SO2
hasil pengukuran baku mutu udara ambien SO2 ref Eu dan NO2 hasil pengukuran dibagi baku mutu udara ambien NO2 Ref EU
Ieu sama juga diartikan Indeks Pencemar
Jika nilai Ieu kecil berarti nilai IKU tinggi dan sebaliknya</t>
        </r>
      </text>
    </comment>
  </commentList>
</comments>
</file>

<file path=xl/sharedStrings.xml><?xml version="1.0" encoding="utf-8"?>
<sst xmlns="http://schemas.openxmlformats.org/spreadsheetml/2006/main" count="2598" uniqueCount="392">
  <si>
    <t>Menghitung Indeks Pencemaran Air</t>
  </si>
  <si>
    <t>Provinsi : Jawa Barat</t>
  </si>
  <si>
    <t>Kab./Kota :</t>
  </si>
  <si>
    <t>1. Menghitung Pij Pencemaran Air</t>
  </si>
  <si>
    <t>No.</t>
  </si>
  <si>
    <t>Nama Sungai</t>
  </si>
  <si>
    <t>Lokasi/ Koordinat</t>
  </si>
  <si>
    <t>Periode/ Tanggal</t>
  </si>
  <si>
    <t>TSS</t>
  </si>
  <si>
    <t>DO</t>
  </si>
  <si>
    <t>BOD</t>
  </si>
  <si>
    <t>COD</t>
  </si>
  <si>
    <t>Fosfat</t>
  </si>
  <si>
    <t>Fecal Coli</t>
  </si>
  <si>
    <t>Total-Coliform</t>
  </si>
  <si>
    <t>(Ci/Lij)R</t>
  </si>
  <si>
    <t>(Ci/Lij)M</t>
  </si>
  <si>
    <t>(Ci/Lij)R2</t>
  </si>
  <si>
    <t>(Ci/Lij)M2</t>
  </si>
  <si>
    <t>Pij</t>
  </si>
  <si>
    <t>Status Mutu Air</t>
  </si>
  <si>
    <t>Cimahi Hulu</t>
  </si>
  <si>
    <t>cimahi tengah</t>
  </si>
  <si>
    <t>Cimahi hilir</t>
  </si>
  <si>
    <t>Cibabat Hulu</t>
  </si>
  <si>
    <t>Cibabat Tengah</t>
  </si>
  <si>
    <t>Cibabat Hilir</t>
  </si>
  <si>
    <t>Cibeureum Hulu</t>
  </si>
  <si>
    <t>Cibeureum Tengah</t>
  </si>
  <si>
    <t>Cibeureum Hilir</t>
  </si>
  <si>
    <t>Cisangkan Hulu</t>
  </si>
  <si>
    <t>Cisangkan Tengah</t>
  </si>
  <si>
    <t>Cisangkan Hilir</t>
  </si>
  <si>
    <t>Cibaligo Hulu</t>
  </si>
  <si>
    <t>Cibaligo Tengah</t>
  </si>
  <si>
    <t>Cibaligo hilir</t>
  </si>
  <si>
    <t xml:space="preserve">Catatan : </t>
  </si>
  <si>
    <t>a.</t>
  </si>
  <si>
    <t>Kolom E s.d K adalah hasil pemantauan</t>
  </si>
  <si>
    <t>b.</t>
  </si>
  <si>
    <r>
      <t xml:space="preserve">Jika pada kolom Z s.d AF hasilnya </t>
    </r>
    <r>
      <rPr>
        <b/>
        <sz val="11"/>
        <color theme="1"/>
        <rFont val="Calibri"/>
        <family val="2"/>
        <scheme val="minor"/>
      </rPr>
      <t>&gt; 1,0</t>
    </r>
    <r>
      <rPr>
        <sz val="11"/>
        <color theme="1"/>
        <rFont val="Calibri"/>
        <family val="2"/>
        <scheme val="minor"/>
      </rPr>
      <t xml:space="preserve">, maka rumusnya diganti dengan : </t>
    </r>
    <r>
      <rPr>
        <b/>
        <sz val="11"/>
        <color theme="1"/>
        <rFont val="Calibri"/>
        <family val="2"/>
        <scheme val="minor"/>
      </rPr>
      <t>=1+(5*(LOG10(K8/R8)))</t>
    </r>
  </si>
  <si>
    <t>2.</t>
  </si>
  <si>
    <t>Menghitung Indeks</t>
  </si>
  <si>
    <t>Status</t>
  </si>
  <si>
    <t>Jumlah</t>
  </si>
  <si>
    <t>Persen</t>
  </si>
  <si>
    <t>Koefisien</t>
  </si>
  <si>
    <t>Nilai</t>
  </si>
  <si>
    <t>Memenuhi</t>
  </si>
  <si>
    <t>Ringan</t>
  </si>
  <si>
    <t>Sedang</t>
  </si>
  <si>
    <t>Berat</t>
  </si>
  <si>
    <t>Nilai Indeks Penc. Air</t>
  </si>
  <si>
    <t>Cemar Berat</t>
  </si>
  <si>
    <t>Cibaligo Hilir</t>
  </si>
  <si>
    <t>Cemar Ringan</t>
  </si>
  <si>
    <t>Cimindi Hilir</t>
  </si>
  <si>
    <t>Cimindi Tengah</t>
  </si>
  <si>
    <t>Cemar Sedang</t>
  </si>
  <si>
    <t>Cimindi Hulu</t>
  </si>
  <si>
    <t>Cimahi Hilir</t>
  </si>
  <si>
    <t>Cimahi Tengah</t>
  </si>
  <si>
    <t>Nilai IP</t>
  </si>
  <si>
    <t>Lokasi</t>
  </si>
  <si>
    <t>No</t>
  </si>
  <si>
    <t>CibabatTengah</t>
  </si>
  <si>
    <t>Nilai Storet</t>
  </si>
  <si>
    <t>Rekapitulasi</t>
  </si>
  <si>
    <t>DLL, perbatasan</t>
  </si>
  <si>
    <t>DLL, Dekat sumber Pencemar</t>
  </si>
  <si>
    <t>DLL, Ex TPA</t>
  </si>
  <si>
    <t>keramaian</t>
  </si>
  <si>
    <t>Perkantoran/Komersial</t>
  </si>
  <si>
    <t>Pemukiman</t>
  </si>
  <si>
    <t>Industri/Agro Industri</t>
  </si>
  <si>
    <t>Transportasi</t>
  </si>
  <si>
    <t>KOTA Cimahi</t>
  </si>
  <si>
    <t>JAWA BARAT
(3200)</t>
  </si>
  <si>
    <t>Indeks</t>
  </si>
  <si>
    <r>
      <t>µg/Nm</t>
    </r>
    <r>
      <rPr>
        <b/>
        <vertAlign val="superscript"/>
        <sz val="11"/>
        <color indexed="8"/>
        <rFont val="Arial Narrow"/>
        <family val="2"/>
      </rPr>
      <t>3</t>
    </r>
  </si>
  <si>
    <t>IKU Kab/Kota</t>
  </si>
  <si>
    <t>Ieu</t>
  </si>
  <si>
    <t>Rerata NO2</t>
  </si>
  <si>
    <t>Rerata SO2</t>
  </si>
  <si>
    <r>
      <t>TAHAP II Kadar NO</t>
    </r>
    <r>
      <rPr>
        <b/>
        <vertAlign val="subscript"/>
        <sz val="11"/>
        <color indexed="8"/>
        <rFont val="Arial Narrow"/>
        <family val="2"/>
      </rPr>
      <t>2</t>
    </r>
  </si>
  <si>
    <r>
      <t>TAHAP I Kadar NO</t>
    </r>
    <r>
      <rPr>
        <b/>
        <vertAlign val="subscript"/>
        <sz val="11"/>
        <color indexed="8"/>
        <rFont val="Arial Narrow"/>
        <family val="2"/>
      </rPr>
      <t>2</t>
    </r>
  </si>
  <si>
    <r>
      <t>TAHAP II Kadar SO</t>
    </r>
    <r>
      <rPr>
        <b/>
        <vertAlign val="subscript"/>
        <sz val="11"/>
        <color indexed="8"/>
        <rFont val="Arial Narrow"/>
        <family val="2"/>
      </rPr>
      <t>2</t>
    </r>
  </si>
  <si>
    <r>
      <t>TAHAP I Kadar SO</t>
    </r>
    <r>
      <rPr>
        <b/>
        <vertAlign val="subscript"/>
        <sz val="11"/>
        <color indexed="8"/>
        <rFont val="Arial Narrow"/>
        <family val="2"/>
      </rPr>
      <t xml:space="preserve">2 </t>
    </r>
  </si>
  <si>
    <t xml:space="preserve">Lokasi  sampling </t>
  </si>
  <si>
    <t>kab/kota</t>
  </si>
  <si>
    <t>Provinsi</t>
  </si>
  <si>
    <t>Provinsi :</t>
  </si>
  <si>
    <t>Kota</t>
  </si>
  <si>
    <t>: CIMAHI Tahun 2016</t>
  </si>
  <si>
    <t xml:space="preserve"> E 107´33.618´ S 06´51.309´</t>
  </si>
  <si>
    <t>Maret 2016</t>
  </si>
  <si>
    <t>E 108´32.466´ S 06´53.606´</t>
  </si>
  <si>
    <t xml:space="preserve"> E 107° 32' 304" S 06° 55' 203" </t>
  </si>
  <si>
    <t>April 2016</t>
  </si>
  <si>
    <t>E 107´32.181´ S 06´52.223´</t>
  </si>
  <si>
    <t>E 108´31.818´ S 06´52.867´</t>
  </si>
  <si>
    <t xml:space="preserve">E 107° 32' 006"  S 6° 55' 092" </t>
  </si>
  <si>
    <t>E 107´33.694´ S 06´53.373´</t>
  </si>
  <si>
    <t>E 107´32.892´ S 06´54.016´</t>
  </si>
  <si>
    <t xml:space="preserve">E 107° 33' 008"  S 06° 55' 502" </t>
  </si>
  <si>
    <t>E 107´33.329´ S 06´53.876´</t>
  </si>
  <si>
    <t>E 107´33.108' S 06´54.523´</t>
  </si>
  <si>
    <t xml:space="preserve">E 107° 32' 630" S 06° 55' 270" </t>
  </si>
  <si>
    <t>E 107° 34' 130" S 06° 54' 622"</t>
  </si>
  <si>
    <t>E 107´33.923´ S 06´55.164´</t>
  </si>
  <si>
    <t>E 107´34.130´ S 06´54.622´</t>
  </si>
  <si>
    <t>November 2016</t>
  </si>
  <si>
    <t xml:space="preserve">E 107° 32' 466" S 06´53.606´ </t>
  </si>
  <si>
    <t>E 107´32.714´ S 06´55.918´</t>
  </si>
  <si>
    <t>57.66</t>
  </si>
  <si>
    <t xml:space="preserve"> </t>
  </si>
  <si>
    <t>IKA</t>
  </si>
  <si>
    <t xml:space="preserve">IKU </t>
  </si>
  <si>
    <t>ITH</t>
  </si>
  <si>
    <t>REKAPITULASI IKLH</t>
  </si>
  <si>
    <t xml:space="preserve">Luas Wilayah </t>
  </si>
  <si>
    <t xml:space="preserve">Luas Tutupan Hutan </t>
  </si>
  <si>
    <t>Ha</t>
  </si>
  <si>
    <t xml:space="preserve">Tutupan Hutan </t>
  </si>
  <si>
    <t>%</t>
  </si>
  <si>
    <t xml:space="preserve">Indeks </t>
  </si>
  <si>
    <t xml:space="preserve">      </t>
  </si>
  <si>
    <t>Standar</t>
  </si>
  <si>
    <t>Eksisting</t>
  </si>
  <si>
    <t>Proporsi eksisting / standar</t>
  </si>
  <si>
    <t>Penyesuaian nilai yang &gt; 1</t>
  </si>
  <si>
    <t xml:space="preserve">Rata-rata </t>
  </si>
  <si>
    <t>Nilai max dari rata2</t>
  </si>
  <si>
    <r>
      <t>a.</t>
    </r>
    <r>
      <rPr>
        <sz val="7"/>
        <rFont val="Times New Roman"/>
        <family val="1"/>
      </rPr>
      <t xml:space="preserve">    </t>
    </r>
    <r>
      <rPr>
        <sz val="12"/>
        <rFont val="Bookman Old Style"/>
        <family val="1"/>
      </rPr>
      <t>Hutan Konservasi;</t>
    </r>
  </si>
  <si>
    <r>
      <t>b.</t>
    </r>
    <r>
      <rPr>
        <sz val="7"/>
        <rFont val="Times New Roman"/>
        <family val="1"/>
      </rPr>
      <t xml:space="preserve">   </t>
    </r>
    <r>
      <rPr>
        <sz val="12"/>
        <rFont val="Bookman Old Style"/>
        <family val="1"/>
      </rPr>
      <t>Hutan Lindung;</t>
    </r>
  </si>
  <si>
    <r>
      <t>c.</t>
    </r>
    <r>
      <rPr>
        <sz val="7"/>
        <rFont val="Times New Roman"/>
        <family val="1"/>
      </rPr>
      <t xml:space="preserve">    </t>
    </r>
    <r>
      <rPr>
        <sz val="12"/>
        <rFont val="Bookman Old Style"/>
        <family val="1"/>
      </rPr>
      <t>Hutan Produksi;</t>
    </r>
  </si>
  <si>
    <r>
      <t>d.</t>
    </r>
    <r>
      <rPr>
        <sz val="7"/>
        <rFont val="Times New Roman"/>
        <family val="1"/>
      </rPr>
      <t xml:space="preserve">   </t>
    </r>
    <r>
      <rPr>
        <sz val="12"/>
        <rFont val="Bookman Old Style"/>
        <family val="1"/>
      </rPr>
      <t xml:space="preserve">Hutan Hak (Hutan Rakyat)  </t>
    </r>
  </si>
  <si>
    <r>
      <t>e.</t>
    </r>
    <r>
      <rPr>
        <sz val="7"/>
        <rFont val="Times New Roman"/>
        <family val="1"/>
      </rPr>
      <t xml:space="preserve">    </t>
    </r>
    <r>
      <rPr>
        <sz val="12"/>
        <rFont val="Bookman Old Style"/>
        <family val="1"/>
      </rPr>
      <t>Kebun Campuran</t>
    </r>
  </si>
  <si>
    <r>
      <t>f.</t>
    </r>
    <r>
      <rPr>
        <sz val="7"/>
        <rFont val="Times New Roman"/>
        <family val="1"/>
      </rPr>
      <t xml:space="preserve">     </t>
    </r>
    <r>
      <rPr>
        <sz val="12"/>
        <rFont val="Bookman Old Style"/>
        <family val="1"/>
      </rPr>
      <t>Sempadan sungai/waduk</t>
    </r>
  </si>
  <si>
    <r>
      <t>g.</t>
    </r>
    <r>
      <rPr>
        <sz val="7"/>
        <rFont val="Times New Roman"/>
        <family val="1"/>
      </rPr>
      <t xml:space="preserve">    </t>
    </r>
    <r>
      <rPr>
        <sz val="12"/>
        <rFont val="Bookman Old Style"/>
        <family val="1"/>
      </rPr>
      <t>Ruang Terbuka Hijau (Taman Kota, Hutan Kota, Taman Rekreasi Kota, Turus Jalan dan Pemakaman Bervegetasi Lebat)</t>
    </r>
  </si>
  <si>
    <r>
      <t>h.</t>
    </r>
    <r>
      <rPr>
        <sz val="7"/>
        <rFont val="Times New Roman"/>
        <family val="1"/>
      </rPr>
      <t xml:space="preserve">   </t>
    </r>
    <r>
      <rPr>
        <sz val="12"/>
        <rFont val="Bookman Old Style"/>
        <family val="1"/>
      </rPr>
      <t>Hutan Mangrove</t>
    </r>
  </si>
  <si>
    <r>
      <t>i.</t>
    </r>
    <r>
      <rPr>
        <sz val="7"/>
        <rFont val="Times New Roman"/>
        <family val="1"/>
      </rPr>
      <t xml:space="preserve">     </t>
    </r>
    <r>
      <rPr>
        <sz val="12"/>
        <rFont val="Bookman Old Style"/>
        <family val="1"/>
      </rPr>
      <t>Perkebunan</t>
    </r>
  </si>
  <si>
    <t xml:space="preserve">Penghitungan Indek Kualitas Lingkungan Hidup untuk parameter Tutupan Hutan menjadi Tutupan Vegetasi. Yang dimaksud dengan Tutupan Vegetasi meliputi: </t>
  </si>
  <si>
    <t xml:space="preserve">Penggunaan Lahan  Kota Cimahi </t>
  </si>
  <si>
    <t xml:space="preserve">Kebun Campuran </t>
  </si>
  <si>
    <t xml:space="preserve">Sempadan Sungai/Waduk </t>
  </si>
  <si>
    <t>RTH</t>
  </si>
  <si>
    <t xml:space="preserve">Hutan Kota </t>
  </si>
  <si>
    <t xml:space="preserve">Taman </t>
  </si>
  <si>
    <t xml:space="preserve">TPU </t>
  </si>
  <si>
    <t>lingk</t>
  </si>
  <si>
    <t>kota</t>
  </si>
  <si>
    <t>(39000 m2)</t>
  </si>
  <si>
    <t>TOTAL</t>
  </si>
  <si>
    <t xml:space="preserve">Tutupan Vegetasi </t>
  </si>
  <si>
    <t xml:space="preserve">Penurunan Titik Cemar Berat </t>
  </si>
  <si>
    <t xml:space="preserve">IKLH </t>
  </si>
  <si>
    <t>TH</t>
  </si>
  <si>
    <t>IKA * 30%</t>
  </si>
  <si>
    <t>IKU * 30%</t>
  </si>
  <si>
    <t>ITH * 40%</t>
  </si>
  <si>
    <t>IKLH = (IPA x 30 %) + (IPU x 30 %) + (ITH x 40 %)</t>
  </si>
  <si>
    <t xml:space="preserve">INDIKATOR PROGRAM </t>
  </si>
  <si>
    <t xml:space="preserve">INDIKATOR SASARAN </t>
  </si>
  <si>
    <t xml:space="preserve">INDIKATOR TUJUAN </t>
  </si>
  <si>
    <t>11,84%</t>
  </si>
  <si>
    <t>11,94%</t>
  </si>
  <si>
    <t>12,04%</t>
  </si>
  <si>
    <t>12,14%</t>
  </si>
  <si>
    <t xml:space="preserve">Luasan RTH </t>
  </si>
  <si>
    <t>IPA</t>
  </si>
  <si>
    <t>NILAI</t>
  </si>
  <si>
    <t>Kooefisien</t>
  </si>
  <si>
    <t>11 Juli 2018</t>
  </si>
  <si>
    <t>10 Juli 2018</t>
  </si>
  <si>
    <t>9 Juli 2018</t>
  </si>
  <si>
    <t>19 Juli 2018</t>
  </si>
  <si>
    <t>21 November 2018</t>
  </si>
  <si>
    <t>19 November 2018</t>
  </si>
  <si>
    <t>Kota : Cimahi</t>
  </si>
  <si>
    <t>Tahun 2018</t>
  </si>
  <si>
    <t>22 November 2018</t>
  </si>
  <si>
    <t>Periode 3</t>
  </si>
  <si>
    <t>Periode 1 / Pancaroba</t>
  </si>
  <si>
    <t>Periode 2 / Kemarau</t>
  </si>
  <si>
    <t>Tahun 2019</t>
  </si>
  <si>
    <t>1.</t>
  </si>
  <si>
    <t>Konsentrasi</t>
  </si>
  <si>
    <t>Baku mutu</t>
  </si>
  <si>
    <t>Konsentrasi/Baku Mutu (C/L) hasil pengukuran</t>
  </si>
  <si>
    <t>(C/L) Baru (jika nilai (C/L) &gt; 1)</t>
  </si>
  <si>
    <t>(C/L) Rata-rata</t>
  </si>
  <si>
    <t>(C/L) Max</t>
  </si>
  <si>
    <t>(C/L) Rata-rata kuadrat</t>
  </si>
  <si>
    <t>(C/L) Max Kuadrat</t>
  </si>
  <si>
    <t>berat</t>
  </si>
  <si>
    <t>sedang</t>
  </si>
  <si>
    <t>ringan</t>
  </si>
  <si>
    <t xml:space="preserve">memenuhi </t>
  </si>
  <si>
    <t>NO3</t>
  </si>
  <si>
    <t>pH</t>
  </si>
  <si>
    <t>-</t>
  </si>
  <si>
    <t>jumlah</t>
  </si>
  <si>
    <t>Kolom E s.d L adalah hasil pemantauan</t>
  </si>
  <si>
    <r>
      <t xml:space="preserve">Jika pada kolom W s.d AD hasilnya </t>
    </r>
    <r>
      <rPr>
        <b/>
        <sz val="10"/>
        <color indexed="8"/>
        <rFont val="Calibri"/>
        <family val="2"/>
      </rPr>
      <t>&gt; 1,0</t>
    </r>
    <r>
      <rPr>
        <sz val="10"/>
        <color indexed="8"/>
        <rFont val="Calibri"/>
        <family val="2"/>
      </rPr>
      <t>, maka pada kolom AE s.d AL rumusnya diganti dengan : =1+(5*(LOG10(C/L)hasil uji)))</t>
    </r>
  </si>
  <si>
    <t>Menghitung Indeks Kualitas Air</t>
  </si>
  <si>
    <t>Memenuhi (kondisi baik)</t>
  </si>
  <si>
    <t>Nilai Indeks Kualitas Air</t>
  </si>
  <si>
    <t>Periode 3 / Hujan</t>
  </si>
  <si>
    <r>
      <t>06</t>
    </r>
    <r>
      <rPr>
        <vertAlign val="superscript"/>
        <sz val="10"/>
        <rFont val="Calibri"/>
        <family val="2"/>
        <scheme val="minor"/>
      </rPr>
      <t xml:space="preserve">o </t>
    </r>
    <r>
      <rPr>
        <sz val="10"/>
        <rFont val="Calibri"/>
        <family val="2"/>
        <scheme val="minor"/>
      </rPr>
      <t>51' 17,6"</t>
    </r>
  </si>
  <si>
    <r>
      <t>107</t>
    </r>
    <r>
      <rPr>
        <vertAlign val="superscript"/>
        <sz val="10"/>
        <rFont val="Calibri"/>
        <family val="2"/>
        <scheme val="minor"/>
      </rPr>
      <t xml:space="preserve">o </t>
    </r>
    <r>
      <rPr>
        <sz val="10"/>
        <rFont val="Calibri"/>
        <family val="2"/>
        <scheme val="minor"/>
      </rPr>
      <t>33' 44,6"</t>
    </r>
  </si>
  <si>
    <r>
      <t>06</t>
    </r>
    <r>
      <rPr>
        <vertAlign val="superscript"/>
        <sz val="10"/>
        <rFont val="Calibri"/>
        <family val="2"/>
        <scheme val="minor"/>
      </rPr>
      <t xml:space="preserve">o </t>
    </r>
    <r>
      <rPr>
        <sz val="10"/>
        <rFont val="Calibri"/>
        <family val="2"/>
        <scheme val="minor"/>
      </rPr>
      <t>53' 35,3"</t>
    </r>
  </si>
  <si>
    <r>
      <t>107</t>
    </r>
    <r>
      <rPr>
        <vertAlign val="superscript"/>
        <sz val="10"/>
        <rFont val="Calibri"/>
        <family val="2"/>
        <scheme val="minor"/>
      </rPr>
      <t xml:space="preserve">o </t>
    </r>
    <r>
      <rPr>
        <sz val="10"/>
        <rFont val="Calibri"/>
        <family val="2"/>
        <scheme val="minor"/>
      </rPr>
      <t>32' 27,9"</t>
    </r>
  </si>
  <si>
    <r>
      <t>06</t>
    </r>
    <r>
      <rPr>
        <vertAlign val="superscript"/>
        <sz val="10"/>
        <rFont val="Calibri"/>
        <family val="2"/>
        <scheme val="minor"/>
      </rPr>
      <t>o</t>
    </r>
    <r>
      <rPr>
        <sz val="10"/>
        <rFont val="Calibri"/>
        <family val="2"/>
        <scheme val="minor"/>
      </rPr>
      <t xml:space="preserve"> 55' 29,2"</t>
    </r>
  </si>
  <si>
    <r>
      <t>107</t>
    </r>
    <r>
      <rPr>
        <vertAlign val="superscript"/>
        <sz val="10"/>
        <rFont val="Calibri"/>
        <family val="2"/>
        <scheme val="minor"/>
      </rPr>
      <t>o</t>
    </r>
    <r>
      <rPr>
        <sz val="10"/>
        <rFont val="Calibri"/>
        <family val="2"/>
        <scheme val="minor"/>
      </rPr>
      <t xml:space="preserve"> 32' 58,9"</t>
    </r>
  </si>
  <si>
    <r>
      <t>06</t>
    </r>
    <r>
      <rPr>
        <vertAlign val="superscript"/>
        <sz val="10"/>
        <rFont val="Calibri"/>
        <family val="2"/>
        <scheme val="minor"/>
      </rPr>
      <t xml:space="preserve">o </t>
    </r>
    <r>
      <rPr>
        <sz val="10"/>
        <rFont val="Calibri"/>
        <family val="2"/>
        <scheme val="minor"/>
      </rPr>
      <t>52' 15,6"</t>
    </r>
  </si>
  <si>
    <r>
      <t>107</t>
    </r>
    <r>
      <rPr>
        <vertAlign val="superscript"/>
        <sz val="10"/>
        <rFont val="Calibri"/>
        <family val="2"/>
        <scheme val="minor"/>
      </rPr>
      <t xml:space="preserve">o </t>
    </r>
    <r>
      <rPr>
        <sz val="10"/>
        <rFont val="Calibri"/>
        <family val="2"/>
        <scheme val="minor"/>
      </rPr>
      <t>32' 06,2"</t>
    </r>
  </si>
  <si>
    <r>
      <t>06</t>
    </r>
    <r>
      <rPr>
        <vertAlign val="superscript"/>
        <sz val="10"/>
        <rFont val="Calibri"/>
        <family val="2"/>
        <scheme val="minor"/>
      </rPr>
      <t xml:space="preserve">o </t>
    </r>
    <r>
      <rPr>
        <sz val="10"/>
        <rFont val="Calibri"/>
        <family val="2"/>
        <scheme val="minor"/>
      </rPr>
      <t>52' 57,2"</t>
    </r>
  </si>
  <si>
    <r>
      <t>107</t>
    </r>
    <r>
      <rPr>
        <vertAlign val="superscript"/>
        <sz val="10"/>
        <rFont val="Calibri"/>
        <family val="2"/>
        <scheme val="minor"/>
      </rPr>
      <t xml:space="preserve">o </t>
    </r>
    <r>
      <rPr>
        <sz val="10"/>
        <rFont val="Calibri"/>
        <family val="2"/>
        <scheme val="minor"/>
      </rPr>
      <t>31' 46,2"</t>
    </r>
  </si>
  <si>
    <r>
      <t>06</t>
    </r>
    <r>
      <rPr>
        <vertAlign val="superscript"/>
        <sz val="10"/>
        <rFont val="Calibri"/>
        <family val="2"/>
        <scheme val="minor"/>
      </rPr>
      <t xml:space="preserve">o </t>
    </r>
    <r>
      <rPr>
        <sz val="10"/>
        <rFont val="Calibri"/>
        <family val="2"/>
        <scheme val="minor"/>
      </rPr>
      <t>52' 28,9"</t>
    </r>
  </si>
  <si>
    <r>
      <t>107</t>
    </r>
    <r>
      <rPr>
        <vertAlign val="superscript"/>
        <sz val="10"/>
        <rFont val="Calibri"/>
        <family val="2"/>
        <scheme val="minor"/>
      </rPr>
      <t xml:space="preserve">o </t>
    </r>
    <r>
      <rPr>
        <sz val="10"/>
        <rFont val="Calibri"/>
        <family val="2"/>
        <scheme val="minor"/>
      </rPr>
      <t>33' 41,3"</t>
    </r>
  </si>
  <si>
    <r>
      <t>06</t>
    </r>
    <r>
      <rPr>
        <vertAlign val="superscript"/>
        <sz val="10"/>
        <rFont val="Calibri"/>
        <family val="2"/>
        <scheme val="minor"/>
      </rPr>
      <t xml:space="preserve">o </t>
    </r>
    <r>
      <rPr>
        <sz val="10"/>
        <rFont val="Calibri"/>
        <family val="2"/>
        <scheme val="minor"/>
      </rPr>
      <t>53' 21,9"</t>
    </r>
  </si>
  <si>
    <r>
      <t>107</t>
    </r>
    <r>
      <rPr>
        <vertAlign val="superscript"/>
        <sz val="10"/>
        <rFont val="Calibri"/>
        <family val="2"/>
        <scheme val="minor"/>
      </rPr>
      <t xml:space="preserve">o </t>
    </r>
    <r>
      <rPr>
        <sz val="10"/>
        <rFont val="Calibri"/>
        <family val="2"/>
        <scheme val="minor"/>
      </rPr>
      <t>33' 24,3"</t>
    </r>
  </si>
  <si>
    <r>
      <t>06</t>
    </r>
    <r>
      <rPr>
        <vertAlign val="superscript"/>
        <sz val="10"/>
        <rFont val="Calibri"/>
        <family val="2"/>
        <scheme val="minor"/>
      </rPr>
      <t xml:space="preserve">o </t>
    </r>
    <r>
      <rPr>
        <sz val="10"/>
        <rFont val="Calibri"/>
        <family val="2"/>
        <scheme val="minor"/>
      </rPr>
      <t>54' 00,8"</t>
    </r>
  </si>
  <si>
    <r>
      <t>107</t>
    </r>
    <r>
      <rPr>
        <vertAlign val="superscript"/>
        <sz val="10"/>
        <rFont val="Calibri"/>
        <family val="2"/>
        <scheme val="minor"/>
      </rPr>
      <t xml:space="preserve">o </t>
    </r>
    <r>
      <rPr>
        <sz val="10"/>
        <rFont val="Calibri"/>
        <family val="2"/>
        <scheme val="minor"/>
      </rPr>
      <t>32' 54,6"</t>
    </r>
  </si>
  <si>
    <r>
      <t>06</t>
    </r>
    <r>
      <rPr>
        <vertAlign val="superscript"/>
        <sz val="10"/>
        <rFont val="Calibri"/>
        <family val="2"/>
        <scheme val="minor"/>
      </rPr>
      <t xml:space="preserve">o </t>
    </r>
    <r>
      <rPr>
        <sz val="10"/>
        <rFont val="Calibri"/>
        <family val="2"/>
        <scheme val="minor"/>
      </rPr>
      <t>53' 87,6"</t>
    </r>
  </si>
  <si>
    <r>
      <t>107</t>
    </r>
    <r>
      <rPr>
        <vertAlign val="superscript"/>
        <sz val="10"/>
        <rFont val="Calibri"/>
        <family val="2"/>
        <scheme val="minor"/>
      </rPr>
      <t xml:space="preserve">o </t>
    </r>
    <r>
      <rPr>
        <sz val="10"/>
        <rFont val="Calibri"/>
        <family val="2"/>
        <scheme val="minor"/>
      </rPr>
      <t>03' 32,9"</t>
    </r>
  </si>
  <si>
    <r>
      <t>06</t>
    </r>
    <r>
      <rPr>
        <vertAlign val="superscript"/>
        <sz val="10"/>
        <rFont val="Calibri"/>
        <family val="2"/>
        <scheme val="minor"/>
      </rPr>
      <t xml:space="preserve">o </t>
    </r>
    <r>
      <rPr>
        <sz val="10"/>
        <rFont val="Calibri"/>
        <family val="2"/>
        <scheme val="minor"/>
      </rPr>
      <t>54' 31,2"</t>
    </r>
  </si>
  <si>
    <r>
      <t>107</t>
    </r>
    <r>
      <rPr>
        <vertAlign val="superscript"/>
        <sz val="10"/>
        <rFont val="Calibri"/>
        <family val="2"/>
        <scheme val="minor"/>
      </rPr>
      <t xml:space="preserve">o </t>
    </r>
    <r>
      <rPr>
        <sz val="10"/>
        <rFont val="Calibri"/>
        <family val="2"/>
        <scheme val="minor"/>
      </rPr>
      <t>33' 06,5"</t>
    </r>
  </si>
  <si>
    <r>
      <t>06</t>
    </r>
    <r>
      <rPr>
        <vertAlign val="superscript"/>
        <sz val="10"/>
        <rFont val="Calibri"/>
        <family val="2"/>
        <scheme val="minor"/>
      </rPr>
      <t xml:space="preserve">o </t>
    </r>
    <r>
      <rPr>
        <sz val="10"/>
        <rFont val="Calibri"/>
        <family val="2"/>
        <scheme val="minor"/>
      </rPr>
      <t>55' 29,5"</t>
    </r>
  </si>
  <si>
    <r>
      <t>107</t>
    </r>
    <r>
      <rPr>
        <vertAlign val="superscript"/>
        <sz val="10"/>
        <rFont val="Calibri"/>
        <family val="2"/>
        <scheme val="minor"/>
      </rPr>
      <t xml:space="preserve">o </t>
    </r>
    <r>
      <rPr>
        <sz val="10"/>
        <rFont val="Calibri"/>
        <family val="2"/>
        <scheme val="minor"/>
      </rPr>
      <t>32' 58,9"</t>
    </r>
  </si>
  <si>
    <r>
      <t>06</t>
    </r>
    <r>
      <rPr>
        <vertAlign val="superscript"/>
        <sz val="10"/>
        <rFont val="Calibri"/>
        <family val="2"/>
        <scheme val="minor"/>
      </rPr>
      <t xml:space="preserve">o </t>
    </r>
    <r>
      <rPr>
        <sz val="10"/>
        <rFont val="Calibri"/>
        <family val="2"/>
        <scheme val="minor"/>
      </rPr>
      <t>54' 37,8"</t>
    </r>
  </si>
  <si>
    <r>
      <t>107</t>
    </r>
    <r>
      <rPr>
        <vertAlign val="superscript"/>
        <sz val="10"/>
        <rFont val="Calibri"/>
        <family val="2"/>
        <scheme val="minor"/>
      </rPr>
      <t xml:space="preserve">o </t>
    </r>
    <r>
      <rPr>
        <sz val="10"/>
        <rFont val="Calibri"/>
        <family val="2"/>
        <scheme val="minor"/>
      </rPr>
      <t>34' 07,5"</t>
    </r>
  </si>
  <si>
    <r>
      <t>06</t>
    </r>
    <r>
      <rPr>
        <vertAlign val="superscript"/>
        <sz val="10"/>
        <rFont val="Calibri"/>
        <family val="2"/>
        <scheme val="minor"/>
      </rPr>
      <t xml:space="preserve">o </t>
    </r>
    <r>
      <rPr>
        <sz val="10"/>
        <rFont val="Calibri"/>
        <family val="2"/>
        <scheme val="minor"/>
      </rPr>
      <t>55' 09,7"</t>
    </r>
  </si>
  <si>
    <r>
      <t>107</t>
    </r>
    <r>
      <rPr>
        <vertAlign val="superscript"/>
        <sz val="10"/>
        <rFont val="Calibri"/>
        <family val="2"/>
        <scheme val="minor"/>
      </rPr>
      <t xml:space="preserve">o </t>
    </r>
    <r>
      <rPr>
        <sz val="10"/>
        <rFont val="Calibri"/>
        <family val="2"/>
        <scheme val="minor"/>
      </rPr>
      <t>33' 55,5"</t>
    </r>
  </si>
  <si>
    <r>
      <t>06</t>
    </r>
    <r>
      <rPr>
        <vertAlign val="superscript"/>
        <sz val="10"/>
        <rFont val="Calibri"/>
        <family val="2"/>
        <scheme val="minor"/>
      </rPr>
      <t xml:space="preserve">o </t>
    </r>
    <r>
      <rPr>
        <sz val="10"/>
        <rFont val="Calibri"/>
        <family val="2"/>
        <scheme val="minor"/>
      </rPr>
      <t>55' 55,0"</t>
    </r>
  </si>
  <si>
    <r>
      <t>107</t>
    </r>
    <r>
      <rPr>
        <vertAlign val="superscript"/>
        <sz val="10"/>
        <rFont val="Calibri"/>
        <family val="2"/>
        <scheme val="minor"/>
      </rPr>
      <t xml:space="preserve">o </t>
    </r>
    <r>
      <rPr>
        <sz val="10"/>
        <rFont val="Calibri"/>
        <family val="2"/>
        <scheme val="minor"/>
      </rPr>
      <t>33' 42,9"</t>
    </r>
  </si>
  <si>
    <t>Tahun : 2020</t>
  </si>
  <si>
    <t>Kab./Kota : Kota Cimahi</t>
  </si>
  <si>
    <t>Catatan :</t>
  </si>
  <si>
    <t>Ieu adalah indeks pencemar udara</t>
  </si>
  <si>
    <t>Industri</t>
  </si>
  <si>
    <t>BPJS Kesehatan</t>
  </si>
  <si>
    <t>PT Dewasutratex</t>
  </si>
  <si>
    <t>Kamarung Regency</t>
  </si>
  <si>
    <t>Kantor Kel. Melong</t>
  </si>
  <si>
    <t>PT Logam Bima</t>
  </si>
  <si>
    <t>PT Jenshiang Nusantara</t>
  </si>
  <si>
    <t>Perum Pilar Mas</t>
  </si>
  <si>
    <t>Kantor Kel. Cigugur T</t>
  </si>
  <si>
    <t>Tempat</t>
  </si>
  <si>
    <t>Keterngan : Pemantauan kualitas udara pada tahun 2018 dilakukan hanya 1 periode</t>
  </si>
  <si>
    <r>
      <rPr>
        <b/>
        <sz val="11"/>
        <color theme="1"/>
        <rFont val="Arial Narrow"/>
        <family val="2"/>
      </rPr>
      <t xml:space="preserve">Transportasi </t>
    </r>
    <r>
      <rPr>
        <sz val="11"/>
        <color theme="1"/>
        <rFont val="Arial Narrow"/>
        <family val="2"/>
      </rPr>
      <t>(Terminal angkot pasar antri) 1 jam</t>
    </r>
  </si>
  <si>
    <r>
      <rPr>
        <b/>
        <sz val="11"/>
        <color theme="1"/>
        <rFont val="Arial Narrow"/>
        <family val="2"/>
      </rPr>
      <t>Industri/Agro Industri</t>
    </r>
    <r>
      <rPr>
        <sz val="11"/>
        <color theme="1"/>
        <rFont val="Arial Narrow"/>
        <family val="2"/>
      </rPr>
      <t xml:space="preserve"> (Jl. Industri II) 24 jam</t>
    </r>
  </si>
  <si>
    <r>
      <rPr>
        <b/>
        <sz val="11"/>
        <color theme="1"/>
        <rFont val="Arial Narrow"/>
        <family val="2"/>
      </rPr>
      <t>Pemukiman</t>
    </r>
    <r>
      <rPr>
        <sz val="11"/>
        <color theme="1"/>
        <rFont val="Arial Narrow"/>
        <family val="2"/>
      </rPr>
      <t xml:space="preserve"> (Perum Fajar Raya) 1 jam</t>
    </r>
  </si>
  <si>
    <r>
      <rPr>
        <b/>
        <sz val="11"/>
        <color theme="1"/>
        <rFont val="Arial Narrow"/>
        <family val="2"/>
      </rPr>
      <t>Perkantoran/Komersial</t>
    </r>
    <r>
      <rPr>
        <sz val="11"/>
        <color theme="1"/>
        <rFont val="Arial Narrow"/>
        <family val="2"/>
      </rPr>
      <t xml:space="preserve"> (Pemkot cimahi) 1 jam</t>
    </r>
  </si>
  <si>
    <r>
      <rPr>
        <b/>
        <sz val="11"/>
        <color theme="1"/>
        <rFont val="Arial Narrow"/>
        <family val="2"/>
      </rPr>
      <t>Keramaian</t>
    </r>
    <r>
      <rPr>
        <sz val="11"/>
        <color theme="1"/>
        <rFont val="Arial Narrow"/>
        <family val="2"/>
      </rPr>
      <t xml:space="preserve"> (Alun-alun Kota Cimahi) 24 jam</t>
    </r>
  </si>
  <si>
    <r>
      <rPr>
        <b/>
        <sz val="11"/>
        <color theme="1"/>
        <rFont val="Arial Narrow"/>
        <family val="2"/>
      </rPr>
      <t xml:space="preserve">DLL, Ex TPA </t>
    </r>
    <r>
      <rPr>
        <sz val="11"/>
        <color theme="1"/>
        <rFont val="Arial Narrow"/>
        <family val="2"/>
      </rPr>
      <t>(TPA Leuwigajah) 1 jam</t>
    </r>
  </si>
  <si>
    <r>
      <rPr>
        <b/>
        <sz val="11"/>
        <color theme="1"/>
        <rFont val="Arial Narrow"/>
        <family val="2"/>
      </rPr>
      <t>DLL, perbatasan</t>
    </r>
    <r>
      <rPr>
        <sz val="11"/>
        <color theme="1"/>
        <rFont val="Arial Narrow"/>
        <family val="2"/>
      </rPr>
      <t xml:space="preserve"> (Kantor Kel. Cibeureum</t>
    </r>
  </si>
  <si>
    <r>
      <rPr>
        <b/>
        <sz val="11"/>
        <color theme="1"/>
        <rFont val="Arial Narrow"/>
        <family val="2"/>
      </rPr>
      <t xml:space="preserve">DLL, Dekat sumber Pencemar </t>
    </r>
    <r>
      <rPr>
        <sz val="11"/>
        <color theme="1"/>
        <rFont val="Arial Narrow"/>
        <family val="2"/>
      </rPr>
      <t>(Jl. Pesantren</t>
    </r>
  </si>
  <si>
    <t>Cilember Hulu (Cibabat)</t>
  </si>
  <si>
    <t>Cilember Tengah (Cibabat)</t>
  </si>
  <si>
    <t>Cilember Hilir (Cibabat))</t>
  </si>
  <si>
    <t>NO3 (nitrat)</t>
  </si>
  <si>
    <r>
      <t>S 06</t>
    </r>
    <r>
      <rPr>
        <vertAlign val="superscript"/>
        <sz val="10"/>
        <rFont val="Calibri"/>
        <family val="2"/>
        <scheme val="minor"/>
      </rPr>
      <t>o</t>
    </r>
    <r>
      <rPr>
        <sz val="10"/>
        <rFont val="Calibri"/>
        <family val="2"/>
        <scheme val="minor"/>
      </rPr>
      <t>51'17,6"</t>
    </r>
  </si>
  <si>
    <r>
      <t>E 107</t>
    </r>
    <r>
      <rPr>
        <vertAlign val="superscript"/>
        <sz val="10"/>
        <rFont val="Calibri"/>
        <family val="2"/>
        <scheme val="minor"/>
      </rPr>
      <t>o</t>
    </r>
    <r>
      <rPr>
        <sz val="10"/>
        <rFont val="Calibri"/>
        <family val="2"/>
        <scheme val="minor"/>
      </rPr>
      <t>33'44,6"</t>
    </r>
  </si>
  <si>
    <r>
      <t>S 06</t>
    </r>
    <r>
      <rPr>
        <vertAlign val="superscript"/>
        <sz val="10"/>
        <rFont val="Calibri"/>
        <family val="2"/>
        <scheme val="minor"/>
      </rPr>
      <t>o</t>
    </r>
    <r>
      <rPr>
        <sz val="10"/>
        <rFont val="Calibri"/>
        <family val="2"/>
        <scheme val="minor"/>
      </rPr>
      <t>53'32,64"</t>
    </r>
  </si>
  <si>
    <r>
      <t>E 107</t>
    </r>
    <r>
      <rPr>
        <vertAlign val="superscript"/>
        <sz val="10"/>
        <rFont val="Calibri"/>
        <family val="2"/>
        <scheme val="minor"/>
      </rPr>
      <t>o</t>
    </r>
    <r>
      <rPr>
        <sz val="10"/>
        <rFont val="Calibri"/>
        <family val="2"/>
        <scheme val="minor"/>
      </rPr>
      <t>32'28,48"</t>
    </r>
  </si>
  <si>
    <r>
      <t>E 107</t>
    </r>
    <r>
      <rPr>
        <vertAlign val="superscript"/>
        <sz val="10"/>
        <rFont val="Calibri"/>
        <family val="2"/>
        <scheme val="minor"/>
      </rPr>
      <t>o</t>
    </r>
    <r>
      <rPr>
        <sz val="10"/>
        <rFont val="Calibri"/>
        <family val="2"/>
        <scheme val="minor"/>
      </rPr>
      <t>33'41,30"</t>
    </r>
  </si>
  <si>
    <r>
      <t>S 06</t>
    </r>
    <r>
      <rPr>
        <vertAlign val="superscript"/>
        <sz val="10"/>
        <rFont val="Calibri"/>
        <family val="2"/>
        <scheme val="minor"/>
      </rPr>
      <t>o</t>
    </r>
    <r>
      <rPr>
        <sz val="10"/>
        <rFont val="Calibri"/>
        <family val="2"/>
        <scheme val="minor"/>
      </rPr>
      <t>52'28,90"</t>
    </r>
  </si>
  <si>
    <r>
      <t>E 107</t>
    </r>
    <r>
      <rPr>
        <vertAlign val="superscript"/>
        <sz val="10"/>
        <rFont val="Calibri"/>
        <family val="2"/>
        <scheme val="minor"/>
      </rPr>
      <t>o</t>
    </r>
    <r>
      <rPr>
        <sz val="10"/>
        <rFont val="Calibri"/>
        <family val="2"/>
        <scheme val="minor"/>
      </rPr>
      <t>33'40,11"</t>
    </r>
  </si>
  <si>
    <r>
      <t>S 06</t>
    </r>
    <r>
      <rPr>
        <vertAlign val="superscript"/>
        <sz val="10"/>
        <rFont val="Calibri"/>
        <family val="2"/>
        <scheme val="minor"/>
      </rPr>
      <t>o</t>
    </r>
    <r>
      <rPr>
        <sz val="10"/>
        <rFont val="Calibri"/>
        <family val="2"/>
        <scheme val="minor"/>
      </rPr>
      <t>52'47,95"</t>
    </r>
  </si>
  <si>
    <r>
      <t>S 06</t>
    </r>
    <r>
      <rPr>
        <vertAlign val="superscript"/>
        <sz val="10"/>
        <rFont val="Calibri"/>
        <family val="2"/>
        <scheme val="minor"/>
      </rPr>
      <t>o</t>
    </r>
    <r>
      <rPr>
        <sz val="10"/>
        <rFont val="Calibri"/>
        <family val="2"/>
        <scheme val="minor"/>
      </rPr>
      <t>53'43,34"</t>
    </r>
  </si>
  <si>
    <r>
      <t>E 107</t>
    </r>
    <r>
      <rPr>
        <vertAlign val="superscript"/>
        <sz val="10"/>
        <rFont val="Calibri"/>
        <family val="2"/>
        <scheme val="minor"/>
      </rPr>
      <t>o</t>
    </r>
    <r>
      <rPr>
        <sz val="10"/>
        <rFont val="Calibri"/>
        <family val="2"/>
        <scheme val="minor"/>
      </rPr>
      <t>33'24,33"</t>
    </r>
  </si>
  <si>
    <r>
      <t>S 06</t>
    </r>
    <r>
      <rPr>
        <vertAlign val="superscript"/>
        <sz val="10"/>
        <rFont val="Calibri"/>
        <family val="2"/>
        <scheme val="minor"/>
      </rPr>
      <t>o</t>
    </r>
    <r>
      <rPr>
        <sz val="10"/>
        <rFont val="Calibri"/>
        <family val="2"/>
        <scheme val="minor"/>
      </rPr>
      <t>53'51,8"</t>
    </r>
  </si>
  <si>
    <r>
      <t>E 107</t>
    </r>
    <r>
      <rPr>
        <vertAlign val="superscript"/>
        <sz val="10"/>
        <rFont val="Calibri"/>
        <family val="2"/>
        <scheme val="minor"/>
      </rPr>
      <t>o</t>
    </r>
    <r>
      <rPr>
        <sz val="10"/>
        <rFont val="Calibri"/>
        <family val="2"/>
        <scheme val="minor"/>
      </rPr>
      <t>33'20,10"</t>
    </r>
  </si>
  <si>
    <r>
      <t>S 06</t>
    </r>
    <r>
      <rPr>
        <vertAlign val="superscript"/>
        <sz val="10"/>
        <rFont val="Calibri"/>
        <family val="2"/>
        <scheme val="minor"/>
      </rPr>
      <t>o</t>
    </r>
    <r>
      <rPr>
        <sz val="10"/>
        <rFont val="Calibri"/>
        <family val="2"/>
        <scheme val="minor"/>
      </rPr>
      <t>52'15,78"</t>
    </r>
  </si>
  <si>
    <r>
      <t>E 107</t>
    </r>
    <r>
      <rPr>
        <vertAlign val="superscript"/>
        <sz val="10"/>
        <rFont val="Calibri"/>
        <family val="2"/>
        <scheme val="minor"/>
      </rPr>
      <t>o</t>
    </r>
    <r>
      <rPr>
        <sz val="10"/>
        <rFont val="Calibri"/>
        <family val="2"/>
        <scheme val="minor"/>
      </rPr>
      <t>32'6,21"</t>
    </r>
  </si>
  <si>
    <r>
      <t>S 06</t>
    </r>
    <r>
      <rPr>
        <vertAlign val="superscript"/>
        <sz val="10"/>
        <rFont val="Calibri"/>
        <family val="2"/>
        <scheme val="minor"/>
      </rPr>
      <t>o</t>
    </r>
    <r>
      <rPr>
        <sz val="10"/>
        <rFont val="Calibri"/>
        <family val="2"/>
        <scheme val="minor"/>
      </rPr>
      <t>52'57,15"</t>
    </r>
  </si>
  <si>
    <r>
      <t>E 107</t>
    </r>
    <r>
      <rPr>
        <vertAlign val="superscript"/>
        <sz val="10"/>
        <rFont val="Calibri"/>
        <family val="2"/>
        <scheme val="minor"/>
      </rPr>
      <t>o</t>
    </r>
    <r>
      <rPr>
        <sz val="10"/>
        <rFont val="Calibri"/>
        <family val="2"/>
        <scheme val="minor"/>
      </rPr>
      <t>31'46,13"</t>
    </r>
  </si>
  <si>
    <r>
      <t>E 107</t>
    </r>
    <r>
      <rPr>
        <vertAlign val="superscript"/>
        <sz val="10"/>
        <rFont val="Calibri"/>
        <family val="2"/>
        <scheme val="minor"/>
      </rPr>
      <t>o</t>
    </r>
    <r>
      <rPr>
        <sz val="10"/>
        <rFont val="Calibri"/>
        <family val="2"/>
        <scheme val="minor"/>
      </rPr>
      <t>32'0,13"</t>
    </r>
  </si>
  <si>
    <r>
      <t>S 06</t>
    </r>
    <r>
      <rPr>
        <vertAlign val="superscript"/>
        <sz val="10"/>
        <rFont val="Calibri"/>
        <family val="2"/>
        <scheme val="minor"/>
      </rPr>
      <t>o</t>
    </r>
    <r>
      <rPr>
        <sz val="10"/>
        <rFont val="Calibri"/>
        <family val="2"/>
        <scheme val="minor"/>
      </rPr>
      <t>55'29,44"</t>
    </r>
  </si>
  <si>
    <r>
      <t>E 107</t>
    </r>
    <r>
      <rPr>
        <vertAlign val="superscript"/>
        <sz val="10"/>
        <rFont val="Calibri"/>
        <family val="2"/>
        <scheme val="minor"/>
      </rPr>
      <t>o</t>
    </r>
    <r>
      <rPr>
        <sz val="10"/>
        <rFont val="Calibri"/>
        <family val="2"/>
        <scheme val="minor"/>
      </rPr>
      <t>32'59,56"</t>
    </r>
  </si>
  <si>
    <r>
      <t>S 06</t>
    </r>
    <r>
      <rPr>
        <vertAlign val="superscript"/>
        <sz val="10"/>
        <rFont val="Calibri"/>
        <family val="2"/>
        <scheme val="minor"/>
      </rPr>
      <t>o</t>
    </r>
    <r>
      <rPr>
        <sz val="10"/>
        <rFont val="Calibri"/>
        <family val="2"/>
        <scheme val="minor"/>
      </rPr>
      <t>54'37,32"</t>
    </r>
  </si>
  <si>
    <r>
      <t>E 107</t>
    </r>
    <r>
      <rPr>
        <vertAlign val="superscript"/>
        <sz val="10"/>
        <rFont val="Calibri"/>
        <family val="2"/>
        <scheme val="minor"/>
      </rPr>
      <t>o</t>
    </r>
    <r>
      <rPr>
        <sz val="10"/>
        <rFont val="Calibri"/>
        <family val="2"/>
        <scheme val="minor"/>
      </rPr>
      <t>34'8,19"</t>
    </r>
  </si>
  <si>
    <r>
      <t>S 06</t>
    </r>
    <r>
      <rPr>
        <vertAlign val="superscript"/>
        <sz val="10"/>
        <rFont val="Calibri"/>
        <family val="2"/>
        <scheme val="minor"/>
      </rPr>
      <t>o</t>
    </r>
    <r>
      <rPr>
        <sz val="10"/>
        <rFont val="Calibri"/>
        <family val="2"/>
        <scheme val="minor"/>
      </rPr>
      <t>55'9,53"</t>
    </r>
  </si>
  <si>
    <r>
      <t>E 107</t>
    </r>
    <r>
      <rPr>
        <vertAlign val="superscript"/>
        <sz val="10"/>
        <rFont val="Calibri"/>
        <family val="2"/>
        <scheme val="minor"/>
      </rPr>
      <t>o</t>
    </r>
    <r>
      <rPr>
        <sz val="10"/>
        <rFont val="Calibri"/>
        <family val="2"/>
        <scheme val="minor"/>
      </rPr>
      <t>33'55,30"</t>
    </r>
  </si>
  <si>
    <r>
      <t>S 06</t>
    </r>
    <r>
      <rPr>
        <vertAlign val="superscript"/>
        <sz val="10"/>
        <rFont val="Calibri"/>
        <family val="2"/>
        <scheme val="minor"/>
      </rPr>
      <t>o</t>
    </r>
    <r>
      <rPr>
        <sz val="10"/>
        <rFont val="Calibri"/>
        <family val="2"/>
        <scheme val="minor"/>
      </rPr>
      <t>55'12,35"</t>
    </r>
  </si>
  <si>
    <r>
      <t>E 107</t>
    </r>
    <r>
      <rPr>
        <vertAlign val="superscript"/>
        <sz val="10"/>
        <rFont val="Calibri"/>
        <family val="2"/>
        <scheme val="minor"/>
      </rPr>
      <t>o</t>
    </r>
    <r>
      <rPr>
        <sz val="10"/>
        <rFont val="Calibri"/>
        <family val="2"/>
        <scheme val="minor"/>
      </rPr>
      <t>32'23,83"</t>
    </r>
  </si>
  <si>
    <r>
      <t>S 06</t>
    </r>
    <r>
      <rPr>
        <vertAlign val="superscript"/>
        <sz val="10"/>
        <rFont val="Calibri"/>
        <family val="2"/>
        <scheme val="minor"/>
      </rPr>
      <t>o</t>
    </r>
    <r>
      <rPr>
        <sz val="10"/>
        <rFont val="Calibri"/>
        <family val="2"/>
        <scheme val="minor"/>
      </rPr>
      <t>55'3,23"</t>
    </r>
  </si>
  <si>
    <r>
      <t>S 06</t>
    </r>
    <r>
      <rPr>
        <vertAlign val="superscript"/>
        <sz val="10"/>
        <rFont val="Calibri"/>
        <family val="2"/>
        <scheme val="minor"/>
      </rPr>
      <t>o</t>
    </r>
    <r>
      <rPr>
        <sz val="10"/>
        <rFont val="Calibri"/>
        <family val="2"/>
        <scheme val="minor"/>
      </rPr>
      <t>55'29,5"</t>
    </r>
  </si>
  <si>
    <r>
      <t>E 107</t>
    </r>
    <r>
      <rPr>
        <vertAlign val="superscript"/>
        <sz val="10"/>
        <rFont val="Calibri"/>
        <family val="2"/>
        <scheme val="minor"/>
      </rPr>
      <t>o</t>
    </r>
    <r>
      <rPr>
        <sz val="10"/>
        <rFont val="Calibri"/>
        <family val="2"/>
        <scheme val="minor"/>
      </rPr>
      <t>32'58,9"</t>
    </r>
  </si>
  <si>
    <r>
      <t>S 06</t>
    </r>
    <r>
      <rPr>
        <vertAlign val="superscript"/>
        <sz val="10"/>
        <rFont val="Calibri"/>
        <family val="2"/>
        <scheme val="minor"/>
      </rPr>
      <t>o</t>
    </r>
    <r>
      <rPr>
        <sz val="10"/>
        <rFont val="Calibri"/>
        <family val="2"/>
        <scheme val="minor"/>
      </rPr>
      <t>55'55,0"</t>
    </r>
  </si>
  <si>
    <r>
      <t>E 107</t>
    </r>
    <r>
      <rPr>
        <vertAlign val="superscript"/>
        <sz val="10"/>
        <rFont val="Calibri"/>
        <family val="2"/>
        <scheme val="minor"/>
      </rPr>
      <t>o</t>
    </r>
    <r>
      <rPr>
        <sz val="10"/>
        <rFont val="Calibri"/>
        <family val="2"/>
        <scheme val="minor"/>
      </rPr>
      <t>33'42,9"</t>
    </r>
  </si>
  <si>
    <t>Lintang (S)</t>
  </si>
  <si>
    <t>Bujur (E)</t>
  </si>
  <si>
    <t>Pemantauan di Semester 2 Lokasi Industri (PT Dewasutratex awal) --&gt; (pindah ke PT Afiat)</t>
  </si>
  <si>
    <t>Pemantauan di Semester 2 Lokasi Industri (PT Jenshiang Nusantara) --&gt; (pindah ke PT Nisshinbo)</t>
  </si>
  <si>
    <t>PT Dewasutratex/PT Afiat</t>
  </si>
  <si>
    <t>PT Jenshiang Nusantara/PT Nisshinbo</t>
  </si>
  <si>
    <t>Kantor Kel. Cigugur Tengah</t>
  </si>
  <si>
    <t>22-Okt-20</t>
  </si>
  <si>
    <t>IKLH = (0.376 x IKA) + (0.405 x IKU) + (0.219 x IKL)</t>
  </si>
  <si>
    <t>IKLH</t>
  </si>
  <si>
    <t xml:space="preserve">          = (25,91) + (5,67) + (5,036)</t>
  </si>
  <si>
    <t xml:space="preserve">          = 36,62</t>
  </si>
  <si>
    <t>Hasil</t>
  </si>
  <si>
    <t>Uraian</t>
  </si>
  <si>
    <t>IKU</t>
  </si>
  <si>
    <t>IKL</t>
  </si>
  <si>
    <t>Alamat</t>
  </si>
  <si>
    <r>
      <t>06</t>
    </r>
    <r>
      <rPr>
        <vertAlign val="superscript"/>
        <sz val="10"/>
        <rFont val="Calibri"/>
        <family val="2"/>
        <scheme val="minor"/>
      </rPr>
      <t>o</t>
    </r>
    <r>
      <rPr>
        <sz val="10"/>
        <rFont val="Calibri"/>
        <family val="2"/>
        <scheme val="minor"/>
      </rPr>
      <t>51'18,0"</t>
    </r>
  </si>
  <si>
    <r>
      <t>107</t>
    </r>
    <r>
      <rPr>
        <vertAlign val="superscript"/>
        <sz val="10"/>
        <rFont val="Calibri"/>
        <family val="2"/>
        <scheme val="minor"/>
      </rPr>
      <t>o</t>
    </r>
    <r>
      <rPr>
        <sz val="10"/>
        <rFont val="Calibri"/>
        <family val="2"/>
        <scheme val="minor"/>
      </rPr>
      <t>33'44,8"</t>
    </r>
  </si>
  <si>
    <t>Jl. Ciuyah Citeureup (samping Agen LPG 3 Kg)</t>
  </si>
  <si>
    <r>
      <t>06</t>
    </r>
    <r>
      <rPr>
        <vertAlign val="superscript"/>
        <sz val="10"/>
        <rFont val="Calibri"/>
        <family val="2"/>
        <scheme val="minor"/>
      </rPr>
      <t>o</t>
    </r>
    <r>
      <rPr>
        <sz val="10"/>
        <rFont val="Calibri"/>
        <family val="2"/>
        <scheme val="minor"/>
      </rPr>
      <t>53'32,4"</t>
    </r>
  </si>
  <si>
    <r>
      <t>107</t>
    </r>
    <r>
      <rPr>
        <vertAlign val="superscript"/>
        <sz val="10"/>
        <rFont val="Calibri"/>
        <family val="2"/>
        <scheme val="minor"/>
      </rPr>
      <t>o</t>
    </r>
    <r>
      <rPr>
        <sz val="10"/>
        <rFont val="Calibri"/>
        <family val="2"/>
        <scheme val="minor"/>
      </rPr>
      <t>32'28,7"</t>
    </r>
  </si>
  <si>
    <t>Jl. HMS Mintaredja Baros (samping Baso Ebod)</t>
  </si>
  <si>
    <r>
      <t>06</t>
    </r>
    <r>
      <rPr>
        <vertAlign val="superscript"/>
        <sz val="10"/>
        <rFont val="Calibri"/>
        <family val="2"/>
        <scheme val="minor"/>
      </rPr>
      <t>o</t>
    </r>
    <r>
      <rPr>
        <sz val="10"/>
        <rFont val="Calibri"/>
        <family val="2"/>
        <scheme val="minor"/>
      </rPr>
      <t>54'44,9"</t>
    </r>
  </si>
  <si>
    <r>
      <t>107</t>
    </r>
    <r>
      <rPr>
        <vertAlign val="superscript"/>
        <sz val="10"/>
        <rFont val="Calibri"/>
        <family val="2"/>
        <scheme val="minor"/>
      </rPr>
      <t>o</t>
    </r>
    <r>
      <rPr>
        <sz val="10"/>
        <rFont val="Calibri"/>
        <family val="2"/>
        <scheme val="minor"/>
      </rPr>
      <t>32'18,6"</t>
    </r>
  </si>
  <si>
    <t>Jl. Pahlawan Desa (dekat bakso Curug Cibodas)</t>
  </si>
  <si>
    <t>Cilember Hulu</t>
  </si>
  <si>
    <r>
      <t>06</t>
    </r>
    <r>
      <rPr>
        <vertAlign val="superscript"/>
        <sz val="10"/>
        <rFont val="Calibri"/>
        <family val="2"/>
        <scheme val="minor"/>
      </rPr>
      <t>o</t>
    </r>
    <r>
      <rPr>
        <sz val="10"/>
        <rFont val="Calibri"/>
        <family val="2"/>
        <scheme val="minor"/>
      </rPr>
      <t>52'28,7"</t>
    </r>
  </si>
  <si>
    <r>
      <t>107</t>
    </r>
    <r>
      <rPr>
        <vertAlign val="superscript"/>
        <sz val="10"/>
        <rFont val="Calibri"/>
        <family val="2"/>
        <scheme val="minor"/>
      </rPr>
      <t>o</t>
    </r>
    <r>
      <rPr>
        <sz val="10"/>
        <rFont val="Calibri"/>
        <family val="2"/>
        <scheme val="minor"/>
      </rPr>
      <t>33'41,4"</t>
    </r>
  </si>
  <si>
    <t>Jl. Pesantren Cibabat (dekat Kantor KPU Kota Cimahi)</t>
  </si>
  <si>
    <t>Cilember Tengah</t>
  </si>
  <si>
    <r>
      <t>06</t>
    </r>
    <r>
      <rPr>
        <vertAlign val="superscript"/>
        <sz val="10"/>
        <rFont val="Calibri"/>
        <family val="2"/>
        <scheme val="minor"/>
      </rPr>
      <t>o</t>
    </r>
    <r>
      <rPr>
        <sz val="10"/>
        <rFont val="Calibri"/>
        <family val="2"/>
        <scheme val="minor"/>
      </rPr>
      <t>52'57,2"</t>
    </r>
  </si>
  <si>
    <r>
      <t>107</t>
    </r>
    <r>
      <rPr>
        <vertAlign val="superscript"/>
        <sz val="10"/>
        <rFont val="Calibri"/>
        <family val="2"/>
        <scheme val="minor"/>
      </rPr>
      <t>o</t>
    </r>
    <r>
      <rPr>
        <sz val="10"/>
        <rFont val="Calibri"/>
        <family val="2"/>
        <scheme val="minor"/>
      </rPr>
      <t>33'39,6"</t>
    </r>
  </si>
  <si>
    <t>Jl. Aruman Cibabat Cimahi Utara (dekat taman aruman)</t>
  </si>
  <si>
    <t>Cilember Hilir</t>
  </si>
  <si>
    <r>
      <t>06</t>
    </r>
    <r>
      <rPr>
        <vertAlign val="superscript"/>
        <sz val="10"/>
        <rFont val="Calibri"/>
        <family val="2"/>
        <scheme val="minor"/>
      </rPr>
      <t>o</t>
    </r>
    <r>
      <rPr>
        <sz val="10"/>
        <rFont val="Calibri"/>
        <family val="2"/>
        <scheme val="minor"/>
      </rPr>
      <t>53'43,5"</t>
    </r>
  </si>
  <si>
    <r>
      <t>107</t>
    </r>
    <r>
      <rPr>
        <vertAlign val="superscript"/>
        <sz val="10"/>
        <rFont val="Calibri"/>
        <family val="2"/>
        <scheme val="minor"/>
      </rPr>
      <t>o</t>
    </r>
    <r>
      <rPr>
        <sz val="10"/>
        <rFont val="Calibri"/>
        <family val="2"/>
        <scheme val="minor"/>
      </rPr>
      <t>33'24,5"</t>
    </r>
  </si>
  <si>
    <t>Samping rusunawa Cigugur Tengah</t>
  </si>
  <si>
    <r>
      <t>06</t>
    </r>
    <r>
      <rPr>
        <vertAlign val="superscript"/>
        <sz val="10"/>
        <rFont val="Calibri"/>
        <family val="2"/>
        <scheme val="minor"/>
      </rPr>
      <t>o</t>
    </r>
    <r>
      <rPr>
        <sz val="10"/>
        <rFont val="Calibri"/>
        <family val="2"/>
        <scheme val="minor"/>
      </rPr>
      <t>52'15,7"</t>
    </r>
  </si>
  <si>
    <r>
      <t>107</t>
    </r>
    <r>
      <rPr>
        <vertAlign val="superscript"/>
        <sz val="10"/>
        <rFont val="Calibri"/>
        <family val="2"/>
        <scheme val="minor"/>
      </rPr>
      <t>o</t>
    </r>
    <r>
      <rPr>
        <sz val="10"/>
        <rFont val="Calibri"/>
        <family val="2"/>
        <scheme val="minor"/>
      </rPr>
      <t>32'06,2"</t>
    </r>
  </si>
  <si>
    <t>Jl. Kyai H. Usman Dhomiri Padasuka (dekat bank samichi)</t>
  </si>
  <si>
    <r>
      <t>107</t>
    </r>
    <r>
      <rPr>
        <vertAlign val="superscript"/>
        <sz val="10"/>
        <rFont val="Calibri"/>
        <family val="2"/>
        <scheme val="minor"/>
      </rPr>
      <t>o</t>
    </r>
    <r>
      <rPr>
        <sz val="10"/>
        <rFont val="Calibri"/>
        <family val="2"/>
        <scheme val="minor"/>
      </rPr>
      <t>31'46,1"</t>
    </r>
  </si>
  <si>
    <t>Jl. Lapang Tembak Selatan Padasuka (dekat lapang tembak)</t>
  </si>
  <si>
    <r>
      <t>06</t>
    </r>
    <r>
      <rPr>
        <vertAlign val="superscript"/>
        <sz val="10"/>
        <rFont val="Calibri"/>
        <family val="2"/>
        <scheme val="minor"/>
      </rPr>
      <t>o</t>
    </r>
    <r>
      <rPr>
        <sz val="10"/>
        <rFont val="Calibri"/>
        <family val="2"/>
        <scheme val="minor"/>
      </rPr>
      <t>55'05,5"</t>
    </r>
  </si>
  <si>
    <r>
      <t>107</t>
    </r>
    <r>
      <rPr>
        <vertAlign val="superscript"/>
        <sz val="10"/>
        <rFont val="Calibri"/>
        <family val="2"/>
        <scheme val="minor"/>
      </rPr>
      <t>o</t>
    </r>
    <r>
      <rPr>
        <sz val="10"/>
        <rFont val="Calibri"/>
        <family val="2"/>
        <scheme val="minor"/>
      </rPr>
      <t>32'00,4"</t>
    </r>
  </si>
  <si>
    <t>Jl. Cibogo Leuwigajah (persawahan, samping industri)</t>
  </si>
  <si>
    <r>
      <t>06</t>
    </r>
    <r>
      <rPr>
        <vertAlign val="superscript"/>
        <sz val="10"/>
        <rFont val="Calibri"/>
        <family val="2"/>
        <scheme val="minor"/>
      </rPr>
      <t>o</t>
    </r>
    <r>
      <rPr>
        <sz val="10"/>
        <rFont val="Calibri"/>
        <family val="2"/>
        <scheme val="minor"/>
      </rPr>
      <t>53'50,5"</t>
    </r>
  </si>
  <si>
    <r>
      <t>107</t>
    </r>
    <r>
      <rPr>
        <vertAlign val="superscript"/>
        <sz val="10"/>
        <rFont val="Calibri"/>
        <family val="2"/>
        <scheme val="minor"/>
      </rPr>
      <t>o</t>
    </r>
    <r>
      <rPr>
        <sz val="10"/>
        <rFont val="Calibri"/>
        <family val="2"/>
        <scheme val="minor"/>
      </rPr>
      <t>33'20,2"</t>
    </r>
  </si>
  <si>
    <t>Jl. Cigugur Tengah (dekat Pasar Cimindi)</t>
  </si>
  <si>
    <r>
      <t>06</t>
    </r>
    <r>
      <rPr>
        <vertAlign val="superscript"/>
        <sz val="10"/>
        <rFont val="Calibri"/>
        <family val="2"/>
        <scheme val="minor"/>
      </rPr>
      <t>o</t>
    </r>
    <r>
      <rPr>
        <sz val="10"/>
        <rFont val="Calibri"/>
        <family val="2"/>
        <scheme val="minor"/>
      </rPr>
      <t>54'30,5"</t>
    </r>
  </si>
  <si>
    <r>
      <t>107</t>
    </r>
    <r>
      <rPr>
        <vertAlign val="superscript"/>
        <sz val="10"/>
        <rFont val="Calibri"/>
        <family val="2"/>
        <scheme val="minor"/>
      </rPr>
      <t>o</t>
    </r>
    <r>
      <rPr>
        <sz val="10"/>
        <rFont val="Calibri"/>
        <family val="2"/>
        <scheme val="minor"/>
      </rPr>
      <t>33'06,9"</t>
    </r>
  </si>
  <si>
    <t>Jl. Industri IV Kel. Utama Cimahi</t>
  </si>
  <si>
    <r>
      <t>06</t>
    </r>
    <r>
      <rPr>
        <vertAlign val="superscript"/>
        <sz val="10"/>
        <rFont val="Calibri"/>
        <family val="2"/>
        <scheme val="minor"/>
      </rPr>
      <t>o</t>
    </r>
    <r>
      <rPr>
        <sz val="10"/>
        <rFont val="Calibri"/>
        <family val="2"/>
        <scheme val="minor"/>
      </rPr>
      <t>55'29,4"</t>
    </r>
  </si>
  <si>
    <r>
      <t>107</t>
    </r>
    <r>
      <rPr>
        <vertAlign val="superscript"/>
        <sz val="10"/>
        <rFont val="Calibri"/>
        <family val="2"/>
        <scheme val="minor"/>
      </rPr>
      <t>o</t>
    </r>
    <r>
      <rPr>
        <sz val="10"/>
        <rFont val="Calibri"/>
        <family val="2"/>
        <scheme val="minor"/>
      </rPr>
      <t>32'59,0"</t>
    </r>
  </si>
  <si>
    <t>Jl. Sukahaji Melong (perbatasan Cimahi - margaasih)</t>
  </si>
  <si>
    <r>
      <t>06</t>
    </r>
    <r>
      <rPr>
        <vertAlign val="superscript"/>
        <sz val="10"/>
        <rFont val="Calibri"/>
        <family val="2"/>
        <scheme val="minor"/>
      </rPr>
      <t>o</t>
    </r>
    <r>
      <rPr>
        <sz val="10"/>
        <rFont val="Calibri"/>
        <family val="2"/>
        <scheme val="minor"/>
      </rPr>
      <t>54'37,32"</t>
    </r>
  </si>
  <si>
    <r>
      <t>107</t>
    </r>
    <r>
      <rPr>
        <vertAlign val="superscript"/>
        <sz val="10"/>
        <rFont val="Calibri"/>
        <family val="2"/>
        <scheme val="minor"/>
      </rPr>
      <t>o</t>
    </r>
    <r>
      <rPr>
        <sz val="10"/>
        <rFont val="Calibri"/>
        <family val="2"/>
        <scheme val="minor"/>
      </rPr>
      <t>34'8,19"</t>
    </r>
  </si>
  <si>
    <t>Jl. Raya Cibeureum (dekat batas kota bandung)</t>
  </si>
  <si>
    <r>
      <t>06</t>
    </r>
    <r>
      <rPr>
        <vertAlign val="superscript"/>
        <sz val="10"/>
        <rFont val="Calibri"/>
        <family val="2"/>
        <scheme val="minor"/>
      </rPr>
      <t>o</t>
    </r>
    <r>
      <rPr>
        <sz val="10"/>
        <rFont val="Calibri"/>
        <family val="2"/>
        <scheme val="minor"/>
      </rPr>
      <t>55'55,1"</t>
    </r>
  </si>
  <si>
    <r>
      <t>107</t>
    </r>
    <r>
      <rPr>
        <vertAlign val="superscript"/>
        <sz val="10"/>
        <rFont val="Calibri"/>
        <family val="2"/>
        <scheme val="minor"/>
      </rPr>
      <t>o</t>
    </r>
    <r>
      <rPr>
        <sz val="10"/>
        <rFont val="Calibri"/>
        <family val="2"/>
        <scheme val="minor"/>
      </rPr>
      <t>33'42,8"</t>
    </r>
  </si>
  <si>
    <t>Jl. Melong Asih (dekat pencucian mobil)</t>
  </si>
  <si>
    <t>Jl. Gempol Sari Melong (dekat pt kahatex)</t>
  </si>
  <si>
    <r>
      <t xml:space="preserve">Jika pada kolom W s.d AD hasilnya </t>
    </r>
    <r>
      <rPr>
        <b/>
        <sz val="10"/>
        <color indexed="8"/>
        <rFont val="Calibri"/>
        <family val="2"/>
        <scheme val="minor"/>
      </rPr>
      <t>&gt; 1,0</t>
    </r>
    <r>
      <rPr>
        <sz val="10"/>
        <color indexed="8"/>
        <rFont val="Calibri"/>
        <family val="2"/>
        <scheme val="minor"/>
      </rPr>
      <t>, maka pada kolom AE s.d AL rumusnya diganti dengan : =1+(5*(LOG10(C/L)hasil uji)))</t>
    </r>
  </si>
  <si>
    <t>PT Dewasutratex/PT Afiat/PT Bina Nusantara Prima</t>
  </si>
  <si>
    <t>Cihaur Hulu</t>
  </si>
  <si>
    <t>Cihaur Tengah</t>
  </si>
  <si>
    <t>Cihaur Hilir</t>
  </si>
  <si>
    <t>NO3 (Nitrat)</t>
  </si>
  <si>
    <t>Nilai Indek pencemar besar maka nilai ika &amp; iku  kecil</t>
  </si>
  <si>
    <t>Nilai Indek pencemar kecil maka nilai ika &amp; iku besar</t>
  </si>
  <si>
    <t>Jika nilai IP kecil, nilai ika besar</t>
  </si>
  <si>
    <t>Jika nilai IP besar, nilai ika kecil</t>
  </si>
  <si>
    <t>jika nilai ip kecil, nilai iku besar</t>
  </si>
  <si>
    <t>jika nilai ip besar nilai iku kecil</t>
  </si>
  <si>
    <t>0</t>
  </si>
  <si>
    <t>Rata-Rata IP</t>
  </si>
  <si>
    <t>Tahun</t>
  </si>
  <si>
    <t>Target Nilai</t>
  </si>
  <si>
    <t>IP</t>
  </si>
  <si>
    <t>Nilai Indeks Kualitas. Air</t>
  </si>
  <si>
    <t>nl1</t>
  </si>
  <si>
    <t>nl2</t>
  </si>
  <si>
    <t>nl3</t>
  </si>
  <si>
    <t>nl4</t>
  </si>
  <si>
    <t>nl5</t>
  </si>
  <si>
    <t>nl6</t>
  </si>
  <si>
    <t>nl7</t>
  </si>
  <si>
    <t>nilai1</t>
  </si>
  <si>
    <t>nilai2</t>
  </si>
  <si>
    <t>nilai3</t>
  </si>
  <si>
    <t>nilai4</t>
  </si>
  <si>
    <t>nilai5</t>
  </si>
  <si>
    <t>nilai6</t>
  </si>
  <si>
    <t>nilai7</t>
  </si>
  <si>
    <t>nilairata</t>
  </si>
  <si>
    <t>nilaimax</t>
  </si>
  <si>
    <t>nilairata2</t>
  </si>
  <si>
    <t>nilaimax2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</si>
</sst>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_(* \(#,##0\);_(* &quot;-&quot;_);_(@_)"/>
    <numFmt numFmtId="43" formatCode="_(* #,##0.00_);_(* \(#,##0.00\);_(* &quot;-&quot;??_);_(@_)"/>
    <numFmt numFmtId="164" formatCode="_-* #,##0_-;\-* #,##0_-;_-* &quot;-&quot;_-;_-@_-"/>
    <numFmt numFmtId="165" formatCode="_-* #,##0.00_-;\-* #,##0.00_-;_-* &quot;-&quot;??_-;_-@_-"/>
    <numFmt numFmtId="166" formatCode="_(* #,##0.00_);_(* \(#,##0.00\);_(* &quot;-&quot;_);_(@_)"/>
    <numFmt numFmtId="167" formatCode="_(* #,##0.0000_);_(* \(#,##0.0000\);_(* &quot;-&quot;_);_(@_)"/>
    <numFmt numFmtId="168" formatCode="0.0"/>
    <numFmt numFmtId="169" formatCode="_(* #,##0_);_(* \(#,##0\);_(* &quot;-&quot;??_);_(@_)"/>
    <numFmt numFmtId="170" formatCode="0.0000"/>
  </numFmts>
  <fonts count="44" x14ac:knownFonts="1">
    <font>
      <sz val="11"/>
      <color theme="1"/>
      <name val="Calibri"/>
      <family val="2"/>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charset val="1"/>
      <scheme val="minor"/>
    </font>
    <font>
      <sz val="11"/>
      <color theme="1"/>
      <name val="Arial Narrow"/>
      <family val="2"/>
    </font>
    <font>
      <b/>
      <sz val="11"/>
      <color theme="1"/>
      <name val="Arial Narrow"/>
      <family val="2"/>
    </font>
    <font>
      <sz val="10"/>
      <color theme="1"/>
      <name val="Calibri"/>
      <family val="2"/>
      <charset val="1"/>
      <scheme val="minor"/>
    </font>
    <font>
      <b/>
      <sz val="11"/>
      <color theme="1"/>
      <name val="Calibri"/>
      <family val="2"/>
      <charset val="1"/>
      <scheme val="minor"/>
    </font>
    <font>
      <sz val="11"/>
      <color indexed="8"/>
      <name val="Arial Narrow"/>
      <family val="2"/>
    </font>
    <font>
      <b/>
      <sz val="11"/>
      <color indexed="8"/>
      <name val="Arial Narrow"/>
      <family val="2"/>
    </font>
    <font>
      <b/>
      <vertAlign val="superscript"/>
      <sz val="11"/>
      <color indexed="8"/>
      <name val="Arial Narrow"/>
      <family val="2"/>
    </font>
    <font>
      <b/>
      <vertAlign val="subscript"/>
      <sz val="11"/>
      <color indexed="8"/>
      <name val="Arial Narrow"/>
      <family val="2"/>
    </font>
    <font>
      <sz val="11"/>
      <color rgb="FF000000"/>
      <name val="Arial Narrow"/>
      <family val="2"/>
    </font>
    <font>
      <sz val="11"/>
      <name val="Calibri"/>
      <family val="2"/>
      <scheme val="minor"/>
    </font>
    <font>
      <sz val="11"/>
      <color rgb="FFFF0000"/>
      <name val="Arial Narrow"/>
      <family val="2"/>
    </font>
    <font>
      <sz val="12"/>
      <name val="Bookman Old Style"/>
      <family val="1"/>
    </font>
    <font>
      <sz val="7"/>
      <name val="Times New Roman"/>
      <family val="1"/>
    </font>
    <font>
      <sz val="10"/>
      <color theme="1"/>
      <name val="Calibri"/>
      <family val="2"/>
      <scheme val="minor"/>
    </font>
    <font>
      <sz val="11"/>
      <color rgb="FF0070C0"/>
      <name val="Calibri"/>
      <family val="2"/>
      <charset val="1"/>
      <scheme val="minor"/>
    </font>
    <font>
      <b/>
      <sz val="10"/>
      <color theme="1"/>
      <name val="Calibri"/>
      <family val="2"/>
      <scheme val="minor"/>
    </font>
    <font>
      <sz val="10"/>
      <name val="Calibri"/>
      <family val="2"/>
      <scheme val="minor"/>
    </font>
    <font>
      <b/>
      <sz val="10"/>
      <color indexed="8"/>
      <name val="Calibri"/>
      <family val="2"/>
    </font>
    <font>
      <sz val="10"/>
      <color indexed="8"/>
      <name val="Calibri"/>
      <family val="2"/>
    </font>
    <font>
      <sz val="11"/>
      <name val="Arial Narrow"/>
      <family val="2"/>
    </font>
    <font>
      <b/>
      <sz val="10"/>
      <name val="Calibri"/>
      <family val="2"/>
      <scheme val="minor"/>
    </font>
    <font>
      <vertAlign val="superscript"/>
      <sz val="10"/>
      <name val="Calibri"/>
      <family val="2"/>
      <scheme val="minor"/>
    </font>
    <font>
      <b/>
      <sz val="9"/>
      <color indexed="81"/>
      <name val="Tahoma"/>
      <family val="2"/>
    </font>
    <font>
      <i/>
      <sz val="11"/>
      <color theme="1"/>
      <name val="Arial Narrow"/>
      <family val="2"/>
    </font>
    <font>
      <sz val="10"/>
      <color rgb="FFFF0000"/>
      <name val="Calibri"/>
      <family val="2"/>
      <scheme val="minor"/>
    </font>
    <font>
      <i/>
      <sz val="11"/>
      <color theme="1"/>
      <name val="Calibri"/>
      <family val="2"/>
      <scheme val="minor"/>
    </font>
    <font>
      <b/>
      <sz val="10"/>
      <color indexed="8"/>
      <name val="Calibri"/>
      <family val="2"/>
      <scheme val="minor"/>
    </font>
    <font>
      <sz val="10"/>
      <color indexed="8"/>
      <name val="Calibri"/>
      <family val="2"/>
      <scheme val="minor"/>
    </font>
    <font>
      <sz val="11"/>
      <name val="Calibri"/>
      <family val="2"/>
    </font>
    <font>
      <sz val="11"/>
      <color rgb="FFFF0000"/>
      <name val="Calibri"/>
      <family val="2"/>
    </font>
    <font>
      <b/>
      <u/>
      <sz val="10"/>
      <color theme="1"/>
      <name val="Calibri"/>
      <family val="2"/>
      <scheme val="minor"/>
    </font>
    <font>
      <sz val="11"/>
      <color rgb="FFFF0000"/>
      <name val="Calibri"/>
      <family val="2"/>
      <charset val="1"/>
      <scheme val="minor"/>
    </font>
    <font>
      <sz val="10"/>
      <color rgb="FFFF0000"/>
      <name val="Calibri"/>
      <family val="2"/>
      <charset val="1"/>
      <scheme val="minor"/>
    </font>
  </fonts>
  <fills count="18">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theme="6"/>
      </left>
      <right style="medium">
        <color theme="6"/>
      </right>
      <top style="medium">
        <color theme="6"/>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theme="6"/>
      </left>
      <right style="medium">
        <color theme="6"/>
      </right>
      <top style="medium">
        <color theme="6"/>
      </top>
      <bottom style="medium">
        <color theme="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20">
    <xf numFmtId="0" fontId="0" fillId="0" borderId="0"/>
    <xf numFmtId="0" fontId="10" fillId="0" borderId="0"/>
    <xf numFmtId="41" fontId="10" fillId="0" borderId="0" applyFont="0" applyFill="0" applyBorder="0" applyAlignment="0" applyProtection="0"/>
    <xf numFmtId="9" fontId="10" fillId="0" borderId="0" applyFont="0" applyFill="0" applyBorder="0" applyAlignment="0" applyProtection="0"/>
    <xf numFmtId="43" fontId="7" fillId="0" borderId="0" applyFont="0" applyFill="0" applyBorder="0" applyAlignment="0" applyProtection="0"/>
    <xf numFmtId="0" fontId="7" fillId="0" borderId="0"/>
    <xf numFmtId="41" fontId="10" fillId="0" borderId="0" applyFont="0" applyFill="0" applyBorder="0" applyAlignment="0" applyProtection="0"/>
    <xf numFmtId="0" fontId="10" fillId="0" borderId="0"/>
    <xf numFmtId="165" fontId="7" fillId="0" borderId="0" applyFont="0" applyFill="0" applyBorder="0" applyAlignment="0" applyProtection="0"/>
    <xf numFmtId="0" fontId="7" fillId="0" borderId="0"/>
    <xf numFmtId="166" fontId="10"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3" fillId="0" borderId="0"/>
    <xf numFmtId="41" fontId="3" fillId="0" borderId="0" applyFont="0" applyFill="0" applyBorder="0" applyAlignment="0" applyProtection="0"/>
    <xf numFmtId="9" fontId="3" fillId="0" borderId="0" applyFont="0" applyFill="0" applyBorder="0" applyAlignment="0" applyProtection="0"/>
    <xf numFmtId="0" fontId="2" fillId="0" borderId="0"/>
    <xf numFmtId="41" fontId="2" fillId="0" borderId="0" applyFont="0" applyFill="0" applyBorder="0" applyAlignment="0" applyProtection="0"/>
    <xf numFmtId="9" fontId="2" fillId="0" borderId="0" applyFont="0" applyFill="0" applyBorder="0" applyAlignment="0" applyProtection="0"/>
  </cellStyleXfs>
  <cellXfs count="576">
    <xf numFmtId="0" fontId="0" fillId="0" borderId="0" xfId="0"/>
    <xf numFmtId="0" fontId="10" fillId="0" borderId="0" xfId="1"/>
    <xf numFmtId="0" fontId="9" fillId="0" borderId="0" xfId="1" applyFont="1"/>
    <xf numFmtId="0" fontId="10" fillId="2" borderId="1" xfId="1" applyFill="1" applyBorder="1"/>
    <xf numFmtId="0" fontId="11" fillId="2" borderId="1"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1" fillId="3" borderId="1" xfId="1" applyFont="1" applyFill="1" applyBorder="1" applyAlignment="1">
      <alignment horizontal="center" vertical="center" wrapText="1"/>
    </xf>
    <xf numFmtId="166" fontId="11" fillId="4" borderId="1" xfId="2" applyNumberFormat="1" applyFont="1" applyFill="1" applyBorder="1" applyAlignment="1">
      <alignment horizontal="center" vertical="center" wrapText="1"/>
    </xf>
    <xf numFmtId="167" fontId="11" fillId="4" borderId="1" xfId="2" applyNumberFormat="1" applyFont="1" applyFill="1" applyBorder="1" applyAlignment="1">
      <alignment horizontal="center" vertical="center" wrapText="1"/>
    </xf>
    <xf numFmtId="166" fontId="11" fillId="5" borderId="1" xfId="2" applyNumberFormat="1" applyFont="1" applyFill="1" applyBorder="1" applyAlignment="1">
      <alignment horizontal="center" vertical="center" wrapText="1"/>
    </xf>
    <xf numFmtId="167" fontId="11" fillId="5" borderId="1" xfId="2" applyNumberFormat="1" applyFont="1" applyFill="1" applyBorder="1" applyAlignment="1">
      <alignment horizontal="center" vertical="center" wrapText="1"/>
    </xf>
    <xf numFmtId="0" fontId="11" fillId="6" borderId="1" xfId="1" applyFont="1" applyFill="1" applyBorder="1" applyAlignment="1">
      <alignment horizontal="center" vertical="center"/>
    </xf>
    <xf numFmtId="0" fontId="12" fillId="0" borderId="1" xfId="1" applyFont="1" applyFill="1" applyBorder="1" applyAlignment="1">
      <alignment horizontal="center" vertical="center" wrapText="1"/>
    </xf>
    <xf numFmtId="0" fontId="10" fillId="0" borderId="1" xfId="1" applyBorder="1"/>
    <xf numFmtId="0" fontId="11" fillId="0" borderId="1" xfId="1" applyFont="1" applyFill="1" applyBorder="1"/>
    <xf numFmtId="14" fontId="13" fillId="0" borderId="2" xfId="1" applyNumberFormat="1" applyFont="1" applyFill="1" applyBorder="1" applyAlignment="1">
      <alignment horizontal="center" vertical="center"/>
    </xf>
    <xf numFmtId="1" fontId="11" fillId="0" borderId="1" xfId="1" applyNumberFormat="1" applyFont="1" applyFill="1" applyBorder="1" applyAlignment="1">
      <alignment horizontal="center" vertical="center" wrapText="1"/>
    </xf>
    <xf numFmtId="0" fontId="11" fillId="0" borderId="1" xfId="1" applyFont="1" applyFill="1" applyBorder="1" applyAlignment="1">
      <alignment horizontal="center" vertical="center" wrapText="1"/>
    </xf>
    <xf numFmtId="43" fontId="11" fillId="6" borderId="1" xfId="1" applyNumberFormat="1" applyFont="1" applyFill="1" applyBorder="1" applyAlignment="1">
      <alignment vertical="center" wrapText="1"/>
    </xf>
    <xf numFmtId="43" fontId="11" fillId="6" borderId="1" xfId="1" applyNumberFormat="1" applyFont="1" applyFill="1" applyBorder="1"/>
    <xf numFmtId="2" fontId="11" fillId="6" borderId="1" xfId="1" applyNumberFormat="1" applyFont="1" applyFill="1" applyBorder="1"/>
    <xf numFmtId="2" fontId="11" fillId="6" borderId="1" xfId="1" applyNumberFormat="1" applyFont="1" applyFill="1" applyBorder="1" applyAlignment="1">
      <alignment horizontal="center"/>
    </xf>
    <xf numFmtId="0" fontId="10" fillId="7" borderId="1" xfId="1" applyFill="1" applyBorder="1" applyAlignment="1">
      <alignment horizontal="center"/>
    </xf>
    <xf numFmtId="0" fontId="10" fillId="8" borderId="1" xfId="1" applyFill="1" applyBorder="1" applyAlignment="1">
      <alignment horizontal="center"/>
    </xf>
    <xf numFmtId="166" fontId="11" fillId="0" borderId="1" xfId="2" applyNumberFormat="1" applyFont="1" applyFill="1" applyBorder="1" applyAlignment="1">
      <alignment horizontal="center" vertical="center" wrapText="1"/>
    </xf>
    <xf numFmtId="2" fontId="11" fillId="0" borderId="1" xfId="1" applyNumberFormat="1" applyFont="1" applyFill="1" applyBorder="1" applyAlignment="1">
      <alignment horizontal="center" vertical="center" wrapText="1"/>
    </xf>
    <xf numFmtId="0" fontId="10" fillId="0" borderId="0" xfId="1" applyAlignment="1">
      <alignment horizontal="right"/>
    </xf>
    <xf numFmtId="0" fontId="12" fillId="0" borderId="0" xfId="1" applyFont="1" applyFill="1" applyBorder="1"/>
    <xf numFmtId="0" fontId="10" fillId="0" borderId="0" xfId="1" applyAlignment="1">
      <alignment horizontal="center"/>
    </xf>
    <xf numFmtId="0" fontId="12" fillId="0" borderId="1" xfId="1" applyFont="1" applyFill="1" applyBorder="1" applyAlignment="1">
      <alignment horizontal="center"/>
    </xf>
    <xf numFmtId="0" fontId="14" fillId="0" borderId="1" xfId="1" applyFont="1" applyBorder="1" applyAlignment="1">
      <alignment horizontal="center"/>
    </xf>
    <xf numFmtId="166" fontId="14" fillId="0" borderId="1" xfId="2" applyNumberFormat="1" applyFont="1" applyBorder="1" applyAlignment="1">
      <alignment horizontal="center"/>
    </xf>
    <xf numFmtId="9" fontId="0" fillId="0" borderId="1" xfId="3" applyFont="1" applyBorder="1" applyAlignment="1">
      <alignment horizontal="center"/>
    </xf>
    <xf numFmtId="166" fontId="0" fillId="0" borderId="1" xfId="2" applyNumberFormat="1" applyFont="1" applyBorder="1"/>
    <xf numFmtId="0" fontId="10" fillId="0" borderId="1" xfId="1" applyBorder="1" applyAlignment="1">
      <alignment horizontal="center"/>
    </xf>
    <xf numFmtId="166" fontId="9" fillId="0" borderId="1" xfId="2" applyNumberFormat="1" applyFont="1" applyBorder="1"/>
    <xf numFmtId="0" fontId="10" fillId="0" borderId="1" xfId="1" applyFill="1" applyBorder="1"/>
    <xf numFmtId="0" fontId="10" fillId="0" borderId="3" xfId="1" applyBorder="1"/>
    <xf numFmtId="166" fontId="0" fillId="0" borderId="4" xfId="2" applyNumberFormat="1" applyFont="1" applyBorder="1"/>
    <xf numFmtId="0" fontId="7" fillId="0" borderId="0" xfId="5"/>
    <xf numFmtId="0" fontId="11" fillId="0" borderId="0" xfId="5" applyFont="1"/>
    <xf numFmtId="2" fontId="15" fillId="0" borderId="1" xfId="5" applyNumberFormat="1" applyFont="1" applyFill="1" applyBorder="1" applyAlignment="1">
      <alignment horizontal="center" wrapText="1"/>
    </xf>
    <xf numFmtId="0" fontId="11" fillId="0" borderId="1" xfId="5" applyFont="1" applyFill="1" applyBorder="1" applyAlignment="1">
      <alignment horizontal="center" vertical="center" wrapText="1"/>
    </xf>
    <xf numFmtId="43" fontId="0" fillId="0" borderId="1" xfId="4" applyFont="1" applyBorder="1"/>
    <xf numFmtId="0" fontId="7" fillId="0" borderId="1" xfId="5" applyBorder="1"/>
    <xf numFmtId="2" fontId="7" fillId="0" borderId="1" xfId="5" applyNumberFormat="1" applyBorder="1"/>
    <xf numFmtId="43" fontId="9" fillId="0" borderId="1" xfId="4" applyFont="1" applyBorder="1" applyAlignment="1">
      <alignment horizontal="center" vertical="center"/>
    </xf>
    <xf numFmtId="0" fontId="9" fillId="0" borderId="1" xfId="5" applyFont="1" applyBorder="1" applyAlignment="1">
      <alignment horizontal="center" vertical="center"/>
    </xf>
    <xf numFmtId="0" fontId="16" fillId="0" borderId="1" xfId="5" applyFont="1" applyFill="1" applyBorder="1" applyAlignment="1">
      <alignment horizontal="center" vertical="center" wrapText="1"/>
    </xf>
    <xf numFmtId="0" fontId="16" fillId="0" borderId="1" xfId="5" applyFont="1" applyFill="1" applyBorder="1" applyAlignment="1">
      <alignment horizontal="center" wrapText="1"/>
    </xf>
    <xf numFmtId="43" fontId="0" fillId="0" borderId="1" xfId="4" applyFont="1" applyBorder="1" applyAlignment="1">
      <alignment horizontal="center" vertical="center" wrapText="1"/>
    </xf>
    <xf numFmtId="0" fontId="12" fillId="0" borderId="1" xfId="5" applyFont="1" applyFill="1" applyBorder="1" applyAlignment="1">
      <alignment horizontal="center" vertical="center" wrapText="1"/>
    </xf>
    <xf numFmtId="0" fontId="12" fillId="0" borderId="1" xfId="5" applyFont="1" applyFill="1" applyBorder="1" applyAlignment="1">
      <alignment horizontal="center" wrapText="1"/>
    </xf>
    <xf numFmtId="0" fontId="10" fillId="0" borderId="0" xfId="7"/>
    <xf numFmtId="0" fontId="9" fillId="0" borderId="0" xfId="7" applyFont="1"/>
    <xf numFmtId="0" fontId="8" fillId="0" borderId="0" xfId="7" applyFont="1"/>
    <xf numFmtId="0" fontId="10" fillId="2" borderId="1" xfId="7" applyFill="1" applyBorder="1"/>
    <xf numFmtId="0" fontId="11" fillId="2" borderId="1" xfId="7" applyFont="1" applyFill="1" applyBorder="1" applyAlignment="1">
      <alignment horizontal="center" vertical="center" wrapText="1"/>
    </xf>
    <xf numFmtId="0" fontId="12" fillId="2" borderId="1" xfId="7" applyFont="1" applyFill="1" applyBorder="1" applyAlignment="1">
      <alignment horizontal="center" vertical="center" wrapText="1"/>
    </xf>
    <xf numFmtId="0" fontId="11" fillId="3" borderId="1" xfId="7" applyFont="1" applyFill="1" applyBorder="1" applyAlignment="1">
      <alignment horizontal="center" vertical="center" wrapText="1"/>
    </xf>
    <xf numFmtId="0" fontId="11" fillId="6" borderId="1" xfId="7" applyFont="1" applyFill="1" applyBorder="1" applyAlignment="1">
      <alignment horizontal="center" vertical="center"/>
    </xf>
    <xf numFmtId="0" fontId="12" fillId="0" borderId="1" xfId="7" applyFont="1" applyFill="1" applyBorder="1" applyAlignment="1">
      <alignment horizontal="center" vertical="center" wrapText="1"/>
    </xf>
    <xf numFmtId="0" fontId="10" fillId="0" borderId="1" xfId="7" applyBorder="1"/>
    <xf numFmtId="0" fontId="11" fillId="0" borderId="1" xfId="7" applyFont="1" applyBorder="1"/>
    <xf numFmtId="0" fontId="19" fillId="0" borderId="0" xfId="7" applyFont="1"/>
    <xf numFmtId="17" fontId="11" fillId="0" borderId="1" xfId="7" quotePrefix="1" applyNumberFormat="1" applyFont="1" applyBorder="1"/>
    <xf numFmtId="1" fontId="11" fillId="9" borderId="1" xfId="7" applyNumberFormat="1" applyFont="1" applyFill="1" applyBorder="1" applyAlignment="1">
      <alignment horizontal="center" vertical="center" wrapText="1"/>
    </xf>
    <xf numFmtId="0" fontId="11" fillId="9" borderId="1" xfId="7" applyFont="1" applyFill="1" applyBorder="1" applyAlignment="1">
      <alignment horizontal="center" vertical="center" wrapText="1"/>
    </xf>
    <xf numFmtId="43" fontId="11" fillId="6" borderId="1" xfId="7" applyNumberFormat="1" applyFont="1" applyFill="1" applyBorder="1" applyAlignment="1">
      <alignment vertical="center" wrapText="1"/>
    </xf>
    <xf numFmtId="43" fontId="11" fillId="6" borderId="1" xfId="7" applyNumberFormat="1" applyFont="1" applyFill="1" applyBorder="1"/>
    <xf numFmtId="2" fontId="11" fillId="6" borderId="1" xfId="7" applyNumberFormat="1" applyFont="1" applyFill="1" applyBorder="1"/>
    <xf numFmtId="2" fontId="11" fillId="6" borderId="1" xfId="7" applyNumberFormat="1" applyFont="1" applyFill="1" applyBorder="1" applyAlignment="1">
      <alignment horizontal="center"/>
    </xf>
    <xf numFmtId="0" fontId="10" fillId="0" borderId="1" xfId="7" applyFill="1" applyBorder="1" applyAlignment="1">
      <alignment horizontal="center"/>
    </xf>
    <xf numFmtId="168" fontId="11" fillId="10" borderId="1" xfId="7" applyNumberFormat="1" applyFont="1" applyFill="1" applyBorder="1" applyAlignment="1">
      <alignment horizontal="center" vertical="center" wrapText="1"/>
    </xf>
    <xf numFmtId="0" fontId="11" fillId="10" borderId="1" xfId="7" applyFont="1" applyFill="1" applyBorder="1" applyAlignment="1">
      <alignment horizontal="center" vertical="center" wrapText="1"/>
    </xf>
    <xf numFmtId="0" fontId="19" fillId="0" borderId="1" xfId="7" applyFont="1" applyBorder="1"/>
    <xf numFmtId="1" fontId="11" fillId="10" borderId="1" xfId="7" applyNumberFormat="1" applyFont="1" applyFill="1" applyBorder="1" applyAlignment="1">
      <alignment horizontal="center" vertical="center" wrapText="1"/>
    </xf>
    <xf numFmtId="0" fontId="10" fillId="0" borderId="0" xfId="7" applyAlignment="1">
      <alignment horizontal="right"/>
    </xf>
    <xf numFmtId="0" fontId="12" fillId="0" borderId="0" xfId="7" applyFont="1" applyFill="1" applyBorder="1"/>
    <xf numFmtId="0" fontId="10" fillId="0" borderId="0" xfId="7" applyAlignment="1">
      <alignment horizontal="center"/>
    </xf>
    <xf numFmtId="0" fontId="12" fillId="0" borderId="1" xfId="7" applyFont="1" applyFill="1" applyBorder="1" applyAlignment="1">
      <alignment horizontal="center"/>
    </xf>
    <xf numFmtId="0" fontId="14" fillId="0" borderId="1" xfId="7" applyFont="1" applyBorder="1" applyAlignment="1">
      <alignment horizontal="center"/>
    </xf>
    <xf numFmtId="0" fontId="10" fillId="0" borderId="1" xfId="7" applyBorder="1" applyAlignment="1">
      <alignment horizontal="center"/>
    </xf>
    <xf numFmtId="0" fontId="9" fillId="0" borderId="1" xfId="7" applyFont="1" applyBorder="1"/>
    <xf numFmtId="0" fontId="10" fillId="0" borderId="1" xfId="7" applyFill="1" applyBorder="1"/>
    <xf numFmtId="0" fontId="10" fillId="0" borderId="3" xfId="7" applyBorder="1"/>
    <xf numFmtId="0" fontId="10" fillId="0" borderId="4" xfId="7" applyBorder="1"/>
    <xf numFmtId="14" fontId="13" fillId="0" borderId="2" xfId="7" applyNumberFormat="1" applyFont="1" applyBorder="1" applyAlignment="1">
      <alignment horizontal="center" vertical="center"/>
    </xf>
    <xf numFmtId="1" fontId="11" fillId="0" borderId="1" xfId="7" applyNumberFormat="1" applyFont="1" applyFill="1" applyBorder="1" applyAlignment="1">
      <alignment horizontal="center" vertical="center" wrapText="1"/>
    </xf>
    <xf numFmtId="0" fontId="11" fillId="0" borderId="1" xfId="7" applyFont="1" applyFill="1" applyBorder="1" applyAlignment="1">
      <alignment horizontal="center" vertical="center" wrapText="1"/>
    </xf>
    <xf numFmtId="0" fontId="10" fillId="7" borderId="1" xfId="7" applyFill="1" applyBorder="1" applyAlignment="1">
      <alignment horizontal="center"/>
    </xf>
    <xf numFmtId="0" fontId="10" fillId="8" borderId="1" xfId="7" applyFill="1" applyBorder="1" applyAlignment="1">
      <alignment horizontal="center"/>
    </xf>
    <xf numFmtId="0" fontId="10" fillId="11" borderId="1" xfId="7" applyFill="1" applyBorder="1" applyAlignment="1">
      <alignment horizontal="center"/>
    </xf>
    <xf numFmtId="2" fontId="11" fillId="10" borderId="1" xfId="7" applyNumberFormat="1" applyFont="1" applyFill="1" applyBorder="1" applyAlignment="1">
      <alignment horizontal="center" vertical="center" wrapText="1"/>
    </xf>
    <xf numFmtId="0" fontId="11" fillId="0" borderId="1" xfId="7" applyFont="1" applyFill="1" applyBorder="1"/>
    <xf numFmtId="14" fontId="13" fillId="0" borderId="2" xfId="7" applyNumberFormat="1" applyFont="1" applyFill="1" applyBorder="1" applyAlignment="1">
      <alignment horizontal="center" vertical="center"/>
    </xf>
    <xf numFmtId="0" fontId="10" fillId="12" borderId="1" xfId="7" applyFill="1" applyBorder="1" applyAlignment="1">
      <alignment horizontal="center"/>
    </xf>
    <xf numFmtId="166" fontId="11" fillId="0" borderId="1" xfId="10" applyNumberFormat="1" applyFont="1" applyFill="1" applyBorder="1" applyAlignment="1">
      <alignment horizontal="center" vertical="center" wrapText="1"/>
    </xf>
    <xf numFmtId="41" fontId="11" fillId="0" borderId="1" xfId="2" applyFont="1" applyFill="1" applyBorder="1" applyAlignment="1">
      <alignment horizontal="center" vertical="center" wrapText="1"/>
    </xf>
    <xf numFmtId="0" fontId="0" fillId="0" borderId="0" xfId="5" applyFont="1"/>
    <xf numFmtId="0" fontId="0" fillId="0" borderId="1" xfId="0" applyBorder="1"/>
    <xf numFmtId="2" fontId="0" fillId="0" borderId="1" xfId="0" applyNumberFormat="1" applyBorder="1"/>
    <xf numFmtId="0" fontId="0" fillId="13" borderId="1" xfId="0" applyFill="1" applyBorder="1" applyAlignment="1">
      <alignment horizontal="center" vertical="top"/>
    </xf>
    <xf numFmtId="0" fontId="20" fillId="11" borderId="1" xfId="0" applyFont="1" applyFill="1" applyBorder="1" applyAlignment="1">
      <alignment horizontal="center" vertical="top"/>
    </xf>
    <xf numFmtId="0" fontId="0" fillId="8" borderId="1" xfId="0" applyFill="1" applyBorder="1" applyAlignment="1">
      <alignment horizontal="center" vertical="top"/>
    </xf>
    <xf numFmtId="0" fontId="12" fillId="0" borderId="1" xfId="5" applyFont="1" applyFill="1" applyBorder="1" applyAlignment="1">
      <alignment horizontal="center" vertical="center" wrapText="1"/>
    </xf>
    <xf numFmtId="0" fontId="11" fillId="0" borderId="1" xfId="5" applyFont="1" applyFill="1" applyBorder="1" applyAlignment="1">
      <alignment horizontal="center" vertical="center" wrapText="1"/>
    </xf>
    <xf numFmtId="10" fontId="0" fillId="0" borderId="0" xfId="11" applyNumberFormat="1" applyFont="1"/>
    <xf numFmtId="0" fontId="7" fillId="0" borderId="6" xfId="5" applyBorder="1" applyAlignment="1"/>
    <xf numFmtId="0" fontId="7" fillId="0" borderId="7" xfId="5" applyBorder="1" applyAlignment="1"/>
    <xf numFmtId="0" fontId="7" fillId="0" borderId="8" xfId="5" applyBorder="1" applyAlignment="1"/>
    <xf numFmtId="0" fontId="7" fillId="0" borderId="9" xfId="5" applyBorder="1" applyAlignment="1"/>
    <xf numFmtId="0" fontId="7" fillId="0" borderId="0" xfId="5" applyBorder="1" applyAlignment="1"/>
    <xf numFmtId="0" fontId="7" fillId="0" borderId="10" xfId="5" applyBorder="1" applyAlignment="1"/>
    <xf numFmtId="0" fontId="7" fillId="0" borderId="11" xfId="5" applyBorder="1" applyAlignment="1"/>
    <xf numFmtId="0" fontId="7" fillId="0" borderId="5" xfId="5" applyBorder="1" applyAlignment="1"/>
    <xf numFmtId="0" fontId="7" fillId="0" borderId="12" xfId="5" applyBorder="1" applyAlignment="1"/>
    <xf numFmtId="0" fontId="7" fillId="0" borderId="11" xfId="5" applyBorder="1"/>
    <xf numFmtId="0" fontId="7" fillId="0" borderId="5" xfId="5" applyBorder="1"/>
    <xf numFmtId="43" fontId="9" fillId="0" borderId="1" xfId="4" applyFont="1" applyBorder="1" applyAlignment="1">
      <alignment horizontal="center" vertical="center" wrapText="1"/>
    </xf>
    <xf numFmtId="169" fontId="12" fillId="2" borderId="1" xfId="12" applyNumberFormat="1" applyFont="1" applyFill="1" applyBorder="1" applyAlignment="1">
      <alignment horizontal="center" vertical="center" wrapText="1"/>
    </xf>
    <xf numFmtId="0" fontId="10" fillId="0" borderId="0" xfId="7" applyAlignment="1">
      <alignment horizontal="right" vertical="top"/>
    </xf>
    <xf numFmtId="169" fontId="10" fillId="0" borderId="0" xfId="12" applyNumberFormat="1" applyFont="1" applyAlignment="1">
      <alignment horizontal="right" vertical="top"/>
    </xf>
    <xf numFmtId="166" fontId="14" fillId="0" borderId="1" xfId="2" applyNumberFormat="1" applyFont="1" applyBorder="1" applyAlignment="1">
      <alignment horizontal="right" vertical="top"/>
    </xf>
    <xf numFmtId="166" fontId="0" fillId="0" borderId="1" xfId="2" applyNumberFormat="1" applyFont="1" applyBorder="1" applyAlignment="1">
      <alignment horizontal="right" vertical="top"/>
    </xf>
    <xf numFmtId="166" fontId="9" fillId="0" borderId="1" xfId="2" applyNumberFormat="1" applyFont="1" applyBorder="1" applyAlignment="1">
      <alignment horizontal="right" vertical="top"/>
    </xf>
    <xf numFmtId="166" fontId="0" fillId="0" borderId="4" xfId="2" applyNumberFormat="1" applyFont="1" applyBorder="1" applyAlignment="1">
      <alignment horizontal="right" vertical="top"/>
    </xf>
    <xf numFmtId="0" fontId="14" fillId="0" borderId="1" xfId="7" applyFont="1" applyBorder="1" applyAlignment="1">
      <alignment horizontal="right" vertical="top"/>
    </xf>
    <xf numFmtId="0" fontId="10" fillId="0" borderId="1" xfId="7" applyBorder="1" applyAlignment="1">
      <alignment horizontal="right" vertical="top"/>
    </xf>
    <xf numFmtId="0" fontId="10" fillId="0" borderId="3" xfId="7" applyBorder="1" applyAlignment="1">
      <alignment horizontal="right" vertical="top"/>
    </xf>
    <xf numFmtId="0" fontId="10" fillId="0" borderId="11" xfId="7" applyBorder="1" applyAlignment="1"/>
    <xf numFmtId="0" fontId="10" fillId="0" borderId="5" xfId="7" applyBorder="1" applyAlignment="1"/>
    <xf numFmtId="0" fontId="11" fillId="14" borderId="1" xfId="7" applyFont="1" applyFill="1" applyBorder="1"/>
    <xf numFmtId="0" fontId="11" fillId="8" borderId="1" xfId="7" applyFont="1" applyFill="1" applyBorder="1"/>
    <xf numFmtId="0" fontId="11" fillId="12" borderId="1" xfId="7" applyFont="1" applyFill="1" applyBorder="1"/>
    <xf numFmtId="1" fontId="11" fillId="14" borderId="1" xfId="7" applyNumberFormat="1" applyFont="1" applyFill="1" applyBorder="1" applyAlignment="1">
      <alignment horizontal="right" vertical="top" wrapText="1"/>
    </xf>
    <xf numFmtId="0" fontId="11" fillId="14" borderId="1" xfId="7" applyFont="1" applyFill="1" applyBorder="1" applyAlignment="1">
      <alignment horizontal="right" vertical="top" wrapText="1"/>
    </xf>
    <xf numFmtId="169" fontId="11" fillId="14" borderId="1" xfId="12" applyNumberFormat="1" applyFont="1" applyFill="1" applyBorder="1" applyAlignment="1">
      <alignment horizontal="right" vertical="top" wrapText="1"/>
    </xf>
    <xf numFmtId="2" fontId="11" fillId="14" borderId="1" xfId="7" applyNumberFormat="1" applyFont="1" applyFill="1" applyBorder="1" applyAlignment="1">
      <alignment horizontal="right" vertical="top" wrapText="1"/>
    </xf>
    <xf numFmtId="1" fontId="11" fillId="12" borderId="1" xfId="7" applyNumberFormat="1" applyFont="1" applyFill="1" applyBorder="1" applyAlignment="1">
      <alignment horizontal="right" vertical="top" wrapText="1"/>
    </xf>
    <xf numFmtId="0" fontId="11" fillId="12" borderId="1" xfId="7" applyFont="1" applyFill="1" applyBorder="1" applyAlignment="1">
      <alignment horizontal="right" vertical="top" wrapText="1"/>
    </xf>
    <xf numFmtId="169" fontId="11" fillId="12" borderId="1" xfId="12" applyNumberFormat="1" applyFont="1" applyFill="1" applyBorder="1" applyAlignment="1">
      <alignment horizontal="right" vertical="top" wrapText="1"/>
    </xf>
    <xf numFmtId="1" fontId="11" fillId="8" borderId="1" xfId="7" applyNumberFormat="1" applyFont="1" applyFill="1" applyBorder="1" applyAlignment="1">
      <alignment horizontal="right" vertical="top" wrapText="1"/>
    </xf>
    <xf numFmtId="0" fontId="11" fillId="8" borderId="1" xfId="7" applyFont="1" applyFill="1" applyBorder="1" applyAlignment="1">
      <alignment horizontal="right" vertical="top" wrapText="1"/>
    </xf>
    <xf numFmtId="169" fontId="11" fillId="8" borderId="1" xfId="12" applyNumberFormat="1" applyFont="1" applyFill="1" applyBorder="1" applyAlignment="1">
      <alignment horizontal="right" vertical="top" wrapText="1"/>
    </xf>
    <xf numFmtId="2" fontId="11" fillId="8" borderId="1" xfId="7" applyNumberFormat="1" applyFont="1" applyFill="1" applyBorder="1" applyAlignment="1">
      <alignment horizontal="right" vertical="top" wrapText="1"/>
    </xf>
    <xf numFmtId="0" fontId="21" fillId="8" borderId="1" xfId="7" applyFont="1" applyFill="1" applyBorder="1" applyAlignment="1">
      <alignment horizontal="right" vertical="top" wrapText="1"/>
    </xf>
    <xf numFmtId="1" fontId="21" fillId="8" borderId="1" xfId="7" applyNumberFormat="1" applyFont="1" applyFill="1" applyBorder="1" applyAlignment="1">
      <alignment horizontal="right" vertical="top" wrapText="1"/>
    </xf>
    <xf numFmtId="169" fontId="21" fillId="8" borderId="1" xfId="12" applyNumberFormat="1" applyFont="1" applyFill="1" applyBorder="1" applyAlignment="1">
      <alignment horizontal="right" vertical="top" wrapText="1"/>
    </xf>
    <xf numFmtId="43" fontId="0" fillId="0" borderId="0" xfId="12" applyFont="1"/>
    <xf numFmtId="43" fontId="22" fillId="0" borderId="0" xfId="12" applyFont="1" applyAlignment="1">
      <alignment horizontal="left" vertical="top" wrapText="1"/>
    </xf>
    <xf numFmtId="43" fontId="0" fillId="0" borderId="0" xfId="0" applyNumberFormat="1"/>
    <xf numFmtId="43" fontId="0" fillId="0" borderId="0" xfId="12" applyNumberFormat="1" applyFont="1"/>
    <xf numFmtId="0" fontId="0" fillId="12" borderId="1" xfId="0" applyFill="1" applyBorder="1" applyAlignment="1">
      <alignment vertical="center"/>
    </xf>
    <xf numFmtId="0" fontId="0" fillId="12" borderId="1" xfId="0" applyFill="1" applyBorder="1"/>
    <xf numFmtId="43" fontId="0" fillId="0" borderId="1" xfId="0" applyNumberFormat="1" applyBorder="1"/>
    <xf numFmtId="43" fontId="0" fillId="12" borderId="1" xfId="12" applyNumberFormat="1" applyFont="1" applyFill="1" applyBorder="1"/>
    <xf numFmtId="0" fontId="0" fillId="12" borderId="1" xfId="0" applyFill="1" applyBorder="1" applyAlignment="1">
      <alignment horizontal="center" vertical="center"/>
    </xf>
    <xf numFmtId="43" fontId="0" fillId="12" borderId="1" xfId="0" applyNumberFormat="1" applyFill="1" applyBorder="1"/>
    <xf numFmtId="2" fontId="0" fillId="12" borderId="13" xfId="0" applyNumberFormat="1" applyFill="1" applyBorder="1"/>
    <xf numFmtId="0" fontId="0" fillId="12" borderId="3" xfId="0" applyFill="1" applyBorder="1"/>
    <xf numFmtId="43" fontId="0" fillId="12" borderId="4" xfId="12" applyFont="1" applyFill="1" applyBorder="1"/>
    <xf numFmtId="0" fontId="0" fillId="12" borderId="13" xfId="0" applyFill="1" applyBorder="1" applyAlignment="1">
      <alignment vertical="center"/>
    </xf>
    <xf numFmtId="2" fontId="0" fillId="0" borderId="13" xfId="0" applyNumberFormat="1" applyFill="1" applyBorder="1"/>
    <xf numFmtId="43" fontId="0" fillId="0" borderId="1" xfId="0" applyNumberFormat="1" applyFill="1" applyBorder="1"/>
    <xf numFmtId="0" fontId="0" fillId="0" borderId="3" xfId="0" applyBorder="1"/>
    <xf numFmtId="43" fontId="0" fillId="0" borderId="4" xfId="12" applyFont="1" applyBorder="1"/>
    <xf numFmtId="0" fontId="24" fillId="0" borderId="13" xfId="0" applyNumberFormat="1" applyFont="1" applyFill="1" applyBorder="1" applyAlignment="1">
      <alignment horizontal="center" vertical="top" wrapText="1"/>
    </xf>
    <xf numFmtId="170" fontId="0" fillId="0" borderId="1" xfId="0" applyNumberFormat="1" applyBorder="1"/>
    <xf numFmtId="9" fontId="0" fillId="0" borderId="0" xfId="0" applyNumberFormat="1"/>
    <xf numFmtId="9" fontId="0" fillId="0" borderId="1" xfId="0" applyNumberFormat="1" applyBorder="1"/>
    <xf numFmtId="0" fontId="0" fillId="2" borderId="1" xfId="0" applyFill="1" applyBorder="1"/>
    <xf numFmtId="170" fontId="0" fillId="12" borderId="1" xfId="0" applyNumberFormat="1" applyFill="1" applyBorder="1"/>
    <xf numFmtId="170" fontId="0" fillId="0" borderId="1" xfId="0" applyNumberFormat="1" applyFill="1" applyBorder="1"/>
    <xf numFmtId="0" fontId="20" fillId="8" borderId="1" xfId="0" applyFont="1" applyFill="1" applyBorder="1"/>
    <xf numFmtId="0" fontId="0" fillId="12" borderId="14" xfId="0" applyFill="1" applyBorder="1"/>
    <xf numFmtId="0" fontId="0" fillId="0" borderId="14" xfId="0" applyBorder="1"/>
    <xf numFmtId="170" fontId="0" fillId="0" borderId="1" xfId="12" applyNumberFormat="1" applyFont="1" applyBorder="1"/>
    <xf numFmtId="10" fontId="0" fillId="0" borderId="1" xfId="0" applyNumberFormat="1" applyBorder="1" applyAlignment="1">
      <alignment horizontal="right" vertical="center"/>
    </xf>
    <xf numFmtId="0" fontId="0" fillId="0" borderId="1" xfId="0" applyBorder="1" applyAlignment="1">
      <alignment horizontal="right" vertical="center"/>
    </xf>
    <xf numFmtId="9" fontId="10" fillId="0" borderId="0" xfId="7" applyNumberFormat="1"/>
    <xf numFmtId="9" fontId="10" fillId="0" borderId="0" xfId="7" applyNumberFormat="1" applyAlignment="1">
      <alignment horizontal="right" vertical="top"/>
    </xf>
    <xf numFmtId="2" fontId="10" fillId="0" borderId="0" xfId="7" applyNumberFormat="1" applyAlignment="1">
      <alignment horizontal="right" vertical="top"/>
    </xf>
    <xf numFmtId="9" fontId="10" fillId="0" borderId="0" xfId="12" applyNumberFormat="1" applyFont="1" applyAlignment="1">
      <alignment horizontal="right" vertical="top"/>
    </xf>
    <xf numFmtId="2" fontId="10" fillId="0" borderId="0" xfId="7" applyNumberFormat="1"/>
    <xf numFmtId="169" fontId="10" fillId="0" borderId="0" xfId="12" applyNumberFormat="1" applyFont="1" applyAlignment="1">
      <alignment horizontal="center" vertical="top"/>
    </xf>
    <xf numFmtId="2" fontId="10" fillId="0" borderId="1" xfId="7" applyNumberFormat="1" applyBorder="1"/>
    <xf numFmtId="2" fontId="10" fillId="0" borderId="1" xfId="7" applyNumberFormat="1" applyBorder="1" applyAlignment="1">
      <alignment horizontal="right" vertical="top"/>
    </xf>
    <xf numFmtId="2" fontId="10" fillId="0" borderId="1" xfId="7" applyNumberFormat="1" applyFill="1" applyBorder="1"/>
    <xf numFmtId="2" fontId="9" fillId="12" borderId="1" xfId="0" applyNumberFormat="1" applyFont="1" applyFill="1" applyBorder="1"/>
    <xf numFmtId="0" fontId="9" fillId="0" borderId="0" xfId="0" applyFont="1"/>
    <xf numFmtId="14" fontId="13" fillId="0" borderId="15" xfId="7" applyNumberFormat="1" applyFont="1" applyBorder="1" applyAlignment="1">
      <alignment horizontal="center" vertical="center"/>
    </xf>
    <xf numFmtId="0" fontId="19" fillId="0" borderId="1" xfId="7" applyFont="1" applyBorder="1" applyAlignment="1">
      <alignment horizontal="center"/>
    </xf>
    <xf numFmtId="17" fontId="11" fillId="0" borderId="1" xfId="7" quotePrefix="1" applyNumberFormat="1" applyFont="1" applyBorder="1" applyAlignment="1">
      <alignment horizontal="center"/>
    </xf>
    <xf numFmtId="0" fontId="10" fillId="0" borderId="1" xfId="1" applyFill="1" applyBorder="1" applyAlignment="1">
      <alignment horizontal="center"/>
    </xf>
    <xf numFmtId="0" fontId="14" fillId="2" borderId="1" xfId="1" applyFont="1" applyFill="1" applyBorder="1" applyAlignment="1">
      <alignment horizontal="center" vertical="center"/>
    </xf>
    <xf numFmtId="0" fontId="19" fillId="0" borderId="13" xfId="7" applyFont="1" applyBorder="1" applyAlignment="1">
      <alignment horizontal="center"/>
    </xf>
    <xf numFmtId="17" fontId="11" fillId="0" borderId="14" xfId="7" quotePrefix="1" applyNumberFormat="1" applyFont="1" applyBorder="1" applyAlignment="1">
      <alignment horizontal="center"/>
    </xf>
    <xf numFmtId="2" fontId="11" fillId="0" borderId="4" xfId="1" applyNumberFormat="1" applyFont="1" applyFill="1" applyBorder="1" applyAlignment="1">
      <alignment horizontal="center" vertical="center" wrapText="1"/>
    </xf>
    <xf numFmtId="2" fontId="11" fillId="0" borderId="1" xfId="7" applyNumberFormat="1" applyFont="1" applyFill="1" applyBorder="1" applyAlignment="1">
      <alignment horizontal="center" vertical="center" wrapText="1"/>
    </xf>
    <xf numFmtId="0" fontId="10" fillId="9" borderId="1" xfId="1" applyFill="1" applyBorder="1" applyAlignment="1">
      <alignment horizontal="center"/>
    </xf>
    <xf numFmtId="164" fontId="11" fillId="0" borderId="1" xfId="13" applyFont="1" applyFill="1" applyBorder="1" applyAlignment="1">
      <alignment horizontal="center" vertical="center" wrapText="1"/>
    </xf>
    <xf numFmtId="0" fontId="6" fillId="0" borderId="1" xfId="1" applyFont="1" applyBorder="1" applyAlignment="1">
      <alignment horizontal="center"/>
    </xf>
    <xf numFmtId="0" fontId="19" fillId="0" borderId="13" xfId="7" applyFont="1" applyFill="1" applyBorder="1" applyAlignment="1">
      <alignment horizontal="center"/>
    </xf>
    <xf numFmtId="17" fontId="11" fillId="0" borderId="1" xfId="7" quotePrefix="1" applyNumberFormat="1" applyFont="1" applyFill="1" applyBorder="1" applyAlignment="1">
      <alignment horizontal="center"/>
    </xf>
    <xf numFmtId="167" fontId="11" fillId="0" borderId="1" xfId="2" applyNumberFormat="1" applyFont="1" applyFill="1" applyBorder="1" applyAlignment="1">
      <alignment horizontal="center" vertical="center" wrapText="1"/>
    </xf>
    <xf numFmtId="43" fontId="11" fillId="0" borderId="1" xfId="1" applyNumberFormat="1" applyFont="1" applyFill="1" applyBorder="1" applyAlignment="1">
      <alignment vertical="center" wrapText="1"/>
    </xf>
    <xf numFmtId="43" fontId="11" fillId="0" borderId="1" xfId="1" applyNumberFormat="1" applyFont="1" applyFill="1" applyBorder="1"/>
    <xf numFmtId="2" fontId="11" fillId="0" borderId="1" xfId="1" applyNumberFormat="1" applyFont="1" applyFill="1" applyBorder="1"/>
    <xf numFmtId="2" fontId="11" fillId="0" borderId="1" xfId="1" applyNumberFormat="1" applyFont="1" applyFill="1" applyBorder="1" applyAlignment="1">
      <alignment horizontal="center"/>
    </xf>
    <xf numFmtId="0" fontId="10" fillId="0" borderId="0" xfId="1" applyFill="1"/>
    <xf numFmtId="0" fontId="19" fillId="0" borderId="0" xfId="7" applyFont="1" applyFill="1" applyAlignment="1">
      <alignment horizontal="center"/>
    </xf>
    <xf numFmtId="0" fontId="11" fillId="0" borderId="1" xfId="7" applyFont="1" applyFill="1" applyBorder="1" applyAlignment="1">
      <alignment horizontal="center"/>
    </xf>
    <xf numFmtId="0" fontId="19" fillId="0" borderId="1" xfId="7" applyFont="1" applyFill="1" applyBorder="1" applyAlignment="1">
      <alignment horizontal="center"/>
    </xf>
    <xf numFmtId="0" fontId="12" fillId="0" borderId="1" xfId="5" applyFont="1" applyFill="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1" applyFont="1" applyFill="1" applyBorder="1" applyAlignment="1">
      <alignment horizontal="center" vertical="center"/>
    </xf>
    <xf numFmtId="0" fontId="12" fillId="0" borderId="1" xfId="1" applyFont="1" applyFill="1" applyBorder="1" applyAlignment="1">
      <alignment horizontal="left" vertical="center" wrapText="1"/>
    </xf>
    <xf numFmtId="0" fontId="14" fillId="0" borderId="1" xfId="1" applyFont="1" applyFill="1" applyBorder="1" applyAlignment="1">
      <alignment horizontal="left" vertical="center"/>
    </xf>
    <xf numFmtId="0" fontId="9" fillId="0" borderId="1" xfId="1" applyFont="1" applyFill="1" applyBorder="1" applyAlignment="1">
      <alignment horizontal="left"/>
    </xf>
    <xf numFmtId="164" fontId="21" fillId="0" borderId="1" xfId="13" applyFont="1" applyFill="1" applyBorder="1" applyAlignment="1">
      <alignment horizontal="center" vertical="center" wrapText="1"/>
    </xf>
    <xf numFmtId="2" fontId="21" fillId="0" borderId="4" xfId="1" applyNumberFormat="1" applyFont="1" applyFill="1" applyBorder="1" applyAlignment="1">
      <alignment horizontal="center" vertical="center" wrapText="1"/>
    </xf>
    <xf numFmtId="2" fontId="21" fillId="0" borderId="1" xfId="1" applyNumberFormat="1" applyFont="1" applyFill="1" applyBorder="1" applyAlignment="1">
      <alignment horizontal="center" vertical="center" wrapText="1"/>
    </xf>
    <xf numFmtId="164" fontId="21" fillId="0" borderId="1" xfId="13" applyFont="1" applyFill="1" applyBorder="1" applyAlignment="1">
      <alignment vertical="center" wrapText="1"/>
    </xf>
    <xf numFmtId="0" fontId="5" fillId="0" borderId="0" xfId="1" applyFont="1"/>
    <xf numFmtId="0" fontId="5" fillId="0" borderId="0" xfId="1" applyFont="1" applyAlignment="1">
      <alignment horizontal="right"/>
    </xf>
    <xf numFmtId="43" fontId="11" fillId="13" borderId="1" xfId="1" applyNumberFormat="1" applyFont="1" applyFill="1" applyBorder="1" applyAlignment="1">
      <alignment vertical="center" wrapText="1"/>
    </xf>
    <xf numFmtId="43" fontId="11" fillId="13" borderId="1" xfId="1" applyNumberFormat="1" applyFont="1" applyFill="1" applyBorder="1"/>
    <xf numFmtId="2" fontId="11" fillId="13" borderId="1" xfId="1" applyNumberFormat="1" applyFont="1" applyFill="1" applyBorder="1"/>
    <xf numFmtId="2" fontId="11" fillId="13" borderId="1" xfId="1" applyNumberFormat="1" applyFont="1" applyFill="1" applyBorder="1" applyAlignment="1">
      <alignment horizontal="center"/>
    </xf>
    <xf numFmtId="0" fontId="4" fillId="0" borderId="0" xfId="1" applyFont="1"/>
    <xf numFmtId="0" fontId="25" fillId="0" borderId="0" xfId="1" applyFont="1"/>
    <xf numFmtId="2" fontId="21" fillId="0" borderId="1" xfId="7" applyNumberFormat="1" applyFont="1" applyFill="1" applyBorder="1" applyAlignment="1">
      <alignment horizontal="center" vertical="center" wrapText="1"/>
    </xf>
    <xf numFmtId="1" fontId="21" fillId="0" borderId="1" xfId="7" applyNumberFormat="1" applyFont="1" applyFill="1" applyBorder="1" applyAlignment="1">
      <alignment horizontal="center" vertical="center" wrapText="1"/>
    </xf>
    <xf numFmtId="1" fontId="11" fillId="0" borderId="4" xfId="1" applyNumberFormat="1" applyFont="1" applyFill="1" applyBorder="1" applyAlignment="1">
      <alignment horizontal="center" vertical="center" wrapText="1"/>
    </xf>
    <xf numFmtId="1" fontId="21" fillId="0" borderId="4" xfId="1" applyNumberFormat="1" applyFont="1" applyFill="1" applyBorder="1" applyAlignment="1">
      <alignment horizontal="center" vertical="center" wrapText="1"/>
    </xf>
    <xf numFmtId="1" fontId="21" fillId="0" borderId="1" xfId="1" applyNumberFormat="1" applyFont="1" applyFill="1" applyBorder="1" applyAlignment="1">
      <alignment horizontal="center" vertical="center" wrapText="1"/>
    </xf>
    <xf numFmtId="0" fontId="24" fillId="0" borderId="0" xfId="14" applyFont="1"/>
    <xf numFmtId="0" fontId="26" fillId="0" borderId="0" xfId="14" applyFont="1"/>
    <xf numFmtId="0" fontId="24" fillId="11" borderId="0" xfId="14" applyFont="1" applyFill="1"/>
    <xf numFmtId="0" fontId="24" fillId="12" borderId="0" xfId="14" applyFont="1" applyFill="1"/>
    <xf numFmtId="0" fontId="24" fillId="8" borderId="0" xfId="14" applyFont="1" applyFill="1"/>
    <xf numFmtId="0" fontId="24" fillId="15" borderId="0" xfId="14" applyFont="1" applyFill="1"/>
    <xf numFmtId="0" fontId="26" fillId="0" borderId="0" xfId="14" quotePrefix="1" applyFont="1" applyAlignment="1">
      <alignment horizontal="right"/>
    </xf>
    <xf numFmtId="0" fontId="24" fillId="0" borderId="0" xfId="14" applyFont="1" applyAlignment="1">
      <alignment horizontal="right"/>
    </xf>
    <xf numFmtId="43" fontId="24" fillId="0" borderId="0" xfId="14" applyNumberFormat="1" applyFont="1"/>
    <xf numFmtId="0" fontId="26" fillId="6" borderId="1" xfId="14" applyFont="1" applyFill="1" applyBorder="1" applyAlignment="1">
      <alignment horizontal="center" vertical="center" wrapText="1"/>
    </xf>
    <xf numFmtId="0" fontId="26" fillId="6" borderId="1" xfId="14" applyFont="1" applyFill="1" applyBorder="1" applyAlignment="1">
      <alignment horizontal="center" vertical="center"/>
    </xf>
    <xf numFmtId="0" fontId="26" fillId="0" borderId="0" xfId="14" applyFont="1" applyAlignment="1">
      <alignment vertical="center"/>
    </xf>
    <xf numFmtId="0" fontId="26" fillId="11" borderId="0" xfId="14" applyFont="1" applyFill="1" applyAlignment="1">
      <alignment vertical="center"/>
    </xf>
    <xf numFmtId="0" fontId="26" fillId="12" borderId="0" xfId="14" applyFont="1" applyFill="1" applyAlignment="1">
      <alignment vertical="center"/>
    </xf>
    <xf numFmtId="0" fontId="26" fillId="8" borderId="0" xfId="14" applyFont="1" applyFill="1" applyAlignment="1">
      <alignment vertical="center"/>
    </xf>
    <xf numFmtId="0" fontId="26" fillId="15" borderId="0" xfId="14" applyFont="1" applyFill="1" applyAlignment="1">
      <alignment vertical="center"/>
    </xf>
    <xf numFmtId="0" fontId="26" fillId="2" borderId="1" xfId="14" applyFont="1" applyFill="1" applyBorder="1" applyAlignment="1">
      <alignment horizontal="center" vertical="center" wrapText="1"/>
    </xf>
    <xf numFmtId="0" fontId="24" fillId="3" borderId="1" xfId="14" applyFont="1" applyFill="1" applyBorder="1" applyAlignment="1">
      <alignment horizontal="center" vertical="center" wrapText="1"/>
    </xf>
    <xf numFmtId="166" fontId="24" fillId="4" borderId="1" xfId="15" applyNumberFormat="1" applyFont="1" applyFill="1" applyBorder="1" applyAlignment="1">
      <alignment horizontal="center" vertical="center" wrapText="1"/>
    </xf>
    <xf numFmtId="166" fontId="24" fillId="4" borderId="1" xfId="15" applyNumberFormat="1" applyFont="1" applyFill="1" applyBorder="1" applyAlignment="1">
      <alignment horizontal="center" vertical="center"/>
    </xf>
    <xf numFmtId="167" fontId="24" fillId="4" borderId="1" xfId="15" applyNumberFormat="1" applyFont="1" applyFill="1" applyBorder="1" applyAlignment="1">
      <alignment horizontal="center" vertical="center" wrapText="1"/>
    </xf>
    <xf numFmtId="166" fontId="24" fillId="5" borderId="1" xfId="15" applyNumberFormat="1" applyFont="1" applyFill="1" applyBorder="1" applyAlignment="1">
      <alignment horizontal="center" vertical="center" wrapText="1"/>
    </xf>
    <xf numFmtId="166" fontId="24" fillId="5" borderId="1" xfId="15" applyNumberFormat="1" applyFont="1" applyFill="1" applyBorder="1" applyAlignment="1">
      <alignment horizontal="center" vertical="center"/>
    </xf>
    <xf numFmtId="167" fontId="24" fillId="5" borderId="1" xfId="15" applyNumberFormat="1" applyFont="1" applyFill="1" applyBorder="1" applyAlignment="1">
      <alignment horizontal="center" vertical="center" wrapText="1"/>
    </xf>
    <xf numFmtId="0" fontId="24" fillId="6" borderId="1" xfId="14" applyFont="1" applyFill="1" applyBorder="1" applyAlignment="1">
      <alignment horizontal="center" vertical="center"/>
    </xf>
    <xf numFmtId="0" fontId="24" fillId="0" borderId="0" xfId="14" applyFont="1" applyAlignment="1">
      <alignment horizontal="center" vertical="center"/>
    </xf>
    <xf numFmtId="0" fontId="24" fillId="11" borderId="0" xfId="14" applyFont="1" applyFill="1" applyAlignment="1">
      <alignment horizontal="center" vertical="center"/>
    </xf>
    <xf numFmtId="0" fontId="24" fillId="12" borderId="0" xfId="14" applyFont="1" applyFill="1" applyAlignment="1">
      <alignment horizontal="center" vertical="center"/>
    </xf>
    <xf numFmtId="0" fontId="24" fillId="8" borderId="0" xfId="14" applyFont="1" applyFill="1" applyAlignment="1">
      <alignment horizontal="center" vertical="center"/>
    </xf>
    <xf numFmtId="0" fontId="24" fillId="15" borderId="0" xfId="14" applyFont="1" applyFill="1" applyAlignment="1">
      <alignment horizontal="center" vertical="center"/>
    </xf>
    <xf numFmtId="0" fontId="24" fillId="0" borderId="1" xfId="14" applyFont="1" applyBorder="1"/>
    <xf numFmtId="0" fontId="27" fillId="0" borderId="1" xfId="14" applyFont="1" applyFill="1" applyBorder="1" applyAlignment="1">
      <alignment horizontal="center" vertical="center" wrapText="1"/>
    </xf>
    <xf numFmtId="0" fontId="27" fillId="0" borderId="1" xfId="14" applyFont="1" applyBorder="1" applyAlignment="1">
      <alignment horizontal="center" vertical="center" wrapText="1"/>
    </xf>
    <xf numFmtId="14" fontId="24" fillId="0" borderId="1" xfId="14" applyNumberFormat="1" applyFont="1" applyBorder="1" applyAlignment="1">
      <alignment horizontal="center" vertical="center"/>
    </xf>
    <xf numFmtId="0" fontId="27" fillId="0" borderId="1" xfId="14" applyFont="1" applyFill="1" applyBorder="1" applyAlignment="1">
      <alignment horizontal="center"/>
    </xf>
    <xf numFmtId="0" fontId="27" fillId="0" borderId="1" xfId="14" applyNumberFormat="1" applyFont="1" applyFill="1" applyBorder="1" applyAlignment="1">
      <alignment horizontal="center"/>
    </xf>
    <xf numFmtId="43" fontId="24" fillId="6" borderId="1" xfId="14" applyNumberFormat="1" applyFont="1" applyFill="1" applyBorder="1" applyAlignment="1">
      <alignment vertical="center" wrapText="1"/>
    </xf>
    <xf numFmtId="43" fontId="24" fillId="6" borderId="1" xfId="14" applyNumberFormat="1" applyFont="1" applyFill="1" applyBorder="1"/>
    <xf numFmtId="2" fontId="24" fillId="6" borderId="1" xfId="14" applyNumberFormat="1" applyFont="1" applyFill="1" applyBorder="1"/>
    <xf numFmtId="2" fontId="24" fillId="6" borderId="1" xfId="14" applyNumberFormat="1" applyFont="1" applyFill="1" applyBorder="1" applyAlignment="1">
      <alignment horizontal="center"/>
    </xf>
    <xf numFmtId="0" fontId="24" fillId="0" borderId="1" xfId="14" applyFont="1" applyFill="1" applyBorder="1" applyAlignment="1">
      <alignment horizontal="center"/>
    </xf>
    <xf numFmtId="0" fontId="27" fillId="0" borderId="1" xfId="14" applyFont="1" applyFill="1" applyBorder="1" applyAlignment="1">
      <alignment horizontal="left" vertical="center" wrapText="1"/>
    </xf>
    <xf numFmtId="0" fontId="27" fillId="0" borderId="1" xfId="14" applyFont="1" applyBorder="1" applyAlignment="1">
      <alignment horizontal="left" vertical="center" wrapText="1"/>
    </xf>
    <xf numFmtId="0" fontId="24" fillId="11" borderId="1" xfId="14" applyFont="1" applyFill="1" applyBorder="1" applyAlignment="1">
      <alignment horizontal="center"/>
    </xf>
    <xf numFmtId="2" fontId="24" fillId="0" borderId="0" xfId="14" applyNumberFormat="1" applyFont="1"/>
    <xf numFmtId="0" fontId="24" fillId="8" borderId="1" xfId="14" applyFont="1" applyFill="1" applyBorder="1" applyAlignment="1">
      <alignment horizontal="center"/>
    </xf>
    <xf numFmtId="0" fontId="24" fillId="15" borderId="1" xfId="14" applyFont="1" applyFill="1" applyBorder="1" applyAlignment="1">
      <alignment horizontal="center"/>
    </xf>
    <xf numFmtId="0" fontId="27" fillId="0" borderId="1" xfId="14" applyFont="1" applyFill="1" applyBorder="1" applyAlignment="1">
      <alignment horizontal="center" vertical="center"/>
    </xf>
    <xf numFmtId="0" fontId="27" fillId="0" borderId="1" xfId="14" applyNumberFormat="1" applyFont="1" applyFill="1" applyBorder="1" applyAlignment="1">
      <alignment horizontal="center" vertical="center"/>
    </xf>
    <xf numFmtId="0" fontId="24" fillId="0" borderId="1" xfId="14" applyFont="1" applyFill="1" applyBorder="1" applyAlignment="1">
      <alignment horizontal="left"/>
    </xf>
    <xf numFmtId="0" fontId="24" fillId="0" borderId="1" xfId="14" applyFont="1" applyBorder="1" applyAlignment="1">
      <alignment horizontal="left"/>
    </xf>
    <xf numFmtId="0" fontId="24" fillId="0" borderId="1" xfId="14" applyFont="1" applyFill="1" applyBorder="1" applyAlignment="1">
      <alignment horizontal="center" vertical="center"/>
    </xf>
    <xf numFmtId="0" fontId="24" fillId="0" borderId="1" xfId="14" applyFont="1" applyBorder="1" applyAlignment="1">
      <alignment horizontal="right"/>
    </xf>
    <xf numFmtId="14" fontId="24" fillId="0" borderId="1" xfId="14" applyNumberFormat="1" applyFont="1" applyFill="1" applyBorder="1" applyAlignment="1">
      <alignment horizontal="center" vertical="center"/>
    </xf>
    <xf numFmtId="14" fontId="24" fillId="0" borderId="1" xfId="16" applyNumberFormat="1" applyFont="1" applyFill="1" applyBorder="1" applyAlignment="1">
      <alignment horizontal="center" vertical="center"/>
    </xf>
    <xf numFmtId="0" fontId="24" fillId="0" borderId="1" xfId="14" applyFont="1" applyFill="1" applyBorder="1"/>
    <xf numFmtId="0" fontId="26" fillId="0" borderId="0" xfId="14" applyFont="1" applyAlignment="1">
      <alignment horizontal="right"/>
    </xf>
    <xf numFmtId="0" fontId="26" fillId="0" borderId="0" xfId="14" applyFont="1" applyFill="1" applyBorder="1"/>
    <xf numFmtId="0" fontId="24" fillId="0" borderId="0" xfId="14" applyFont="1" applyAlignment="1">
      <alignment horizontal="center"/>
    </xf>
    <xf numFmtId="0" fontId="26" fillId="0" borderId="1" xfId="14" applyFont="1" applyFill="1" applyBorder="1" applyAlignment="1">
      <alignment horizontal="center"/>
    </xf>
    <xf numFmtId="0" fontId="26" fillId="0" borderId="1" xfId="14" applyFont="1" applyBorder="1" applyAlignment="1">
      <alignment horizontal="center"/>
    </xf>
    <xf numFmtId="0" fontId="24" fillId="12" borderId="1" xfId="14" applyFont="1" applyFill="1" applyBorder="1"/>
    <xf numFmtId="9" fontId="24" fillId="12" borderId="1" xfId="16" applyFont="1" applyFill="1" applyBorder="1" applyAlignment="1">
      <alignment horizontal="center"/>
    </xf>
    <xf numFmtId="170" fontId="24" fillId="0" borderId="1" xfId="14" applyNumberFormat="1" applyFont="1" applyBorder="1"/>
    <xf numFmtId="0" fontId="24" fillId="15" borderId="1" xfId="14" applyFont="1" applyFill="1" applyBorder="1"/>
    <xf numFmtId="9" fontId="24" fillId="15" borderId="1" xfId="16" applyFont="1" applyFill="1" applyBorder="1" applyAlignment="1">
      <alignment horizontal="center"/>
    </xf>
    <xf numFmtId="0" fontId="24" fillId="8" borderId="1" xfId="14" applyFont="1" applyFill="1" applyBorder="1"/>
    <xf numFmtId="9" fontId="24" fillId="8" borderId="1" xfId="16" applyFont="1" applyFill="1" applyBorder="1" applyAlignment="1">
      <alignment horizontal="center"/>
    </xf>
    <xf numFmtId="0" fontId="24" fillId="11" borderId="1" xfId="14" applyFont="1" applyFill="1" applyBorder="1"/>
    <xf numFmtId="9" fontId="24" fillId="11" borderId="1" xfId="16" applyFont="1" applyFill="1" applyBorder="1" applyAlignment="1">
      <alignment horizontal="center"/>
    </xf>
    <xf numFmtId="0" fontId="24" fillId="0" borderId="1" xfId="14" applyFont="1" applyBorder="1" applyAlignment="1">
      <alignment horizontal="center"/>
    </xf>
    <xf numFmtId="170" fontId="26" fillId="0" borderId="1" xfId="14" applyNumberFormat="1" applyFont="1" applyBorder="1"/>
    <xf numFmtId="0" fontId="24" fillId="0" borderId="3" xfId="14" applyFont="1" applyBorder="1"/>
    <xf numFmtId="170" fontId="24" fillId="0" borderId="4" xfId="14" applyNumberFormat="1" applyFont="1" applyBorder="1"/>
    <xf numFmtId="0" fontId="26" fillId="0" borderId="1" xfId="14" applyFont="1" applyBorder="1"/>
    <xf numFmtId="0" fontId="26" fillId="2" borderId="1" xfId="14" applyFont="1" applyFill="1" applyBorder="1" applyAlignment="1">
      <alignment horizontal="center" vertical="center" wrapText="1"/>
    </xf>
    <xf numFmtId="2" fontId="30" fillId="0" borderId="1" xfId="5" applyNumberFormat="1" applyFont="1" applyFill="1" applyBorder="1" applyAlignment="1">
      <alignment horizontal="center" wrapText="1"/>
    </xf>
    <xf numFmtId="0" fontId="24" fillId="0" borderId="3" xfId="14" applyFont="1" applyFill="1" applyBorder="1"/>
    <xf numFmtId="0" fontId="31" fillId="0" borderId="1" xfId="14" applyFont="1" applyFill="1" applyBorder="1" applyAlignment="1">
      <alignment horizontal="center" vertical="center" wrapText="1"/>
    </xf>
    <xf numFmtId="0" fontId="31" fillId="0" borderId="1" xfId="14" applyFont="1" applyBorder="1" applyAlignment="1">
      <alignment horizontal="center" vertical="center" wrapText="1"/>
    </xf>
    <xf numFmtId="0" fontId="24" fillId="12" borderId="13" xfId="14" applyFont="1" applyFill="1" applyBorder="1"/>
    <xf numFmtId="0" fontId="24" fillId="15" borderId="13" xfId="14" applyFont="1" applyFill="1" applyBorder="1"/>
    <xf numFmtId="0" fontId="24" fillId="8" borderId="13" xfId="14" applyFont="1" applyFill="1" applyBorder="1"/>
    <xf numFmtId="0" fontId="24" fillId="11" borderId="13" xfId="14" applyFont="1" applyFill="1" applyBorder="1"/>
    <xf numFmtId="0" fontId="24" fillId="0" borderId="13" xfId="14" applyFont="1" applyBorder="1"/>
    <xf numFmtId="0" fontId="24" fillId="12" borderId="4" xfId="14" applyFont="1" applyFill="1" applyBorder="1"/>
    <xf numFmtId="0" fontId="24" fillId="15" borderId="4" xfId="14" applyFont="1" applyFill="1" applyBorder="1"/>
    <xf numFmtId="0" fontId="24" fillId="8" borderId="4" xfId="14" applyFont="1" applyFill="1" applyBorder="1"/>
    <xf numFmtId="0" fontId="24" fillId="11" borderId="4" xfId="14" applyFont="1" applyFill="1" applyBorder="1"/>
    <xf numFmtId="0" fontId="24" fillId="0" borderId="4" xfId="14" applyFont="1" applyBorder="1"/>
    <xf numFmtId="0" fontId="24" fillId="0" borderId="0" xfId="14" applyFont="1" applyFill="1"/>
    <xf numFmtId="0" fontId="26" fillId="0" borderId="0" xfId="14" applyFont="1" applyFill="1" applyAlignment="1">
      <alignment vertical="center"/>
    </xf>
    <xf numFmtId="15" fontId="24" fillId="16" borderId="1" xfId="0" quotePrefix="1" applyNumberFormat="1" applyFont="1" applyFill="1" applyBorder="1" applyAlignment="1">
      <alignment horizontal="center" vertical="center"/>
    </xf>
    <xf numFmtId="0" fontId="24" fillId="0" borderId="1" xfId="0" applyFont="1" applyBorder="1" applyAlignment="1">
      <alignment horizontal="center" vertical="center"/>
    </xf>
    <xf numFmtId="0" fontId="24" fillId="16" borderId="1" xfId="0" applyFont="1" applyFill="1" applyBorder="1" applyAlignment="1">
      <alignment horizontal="center" vertical="center"/>
    </xf>
    <xf numFmtId="2" fontId="24" fillId="16" borderId="1" xfId="0" applyNumberFormat="1" applyFont="1" applyFill="1" applyBorder="1" applyAlignment="1">
      <alignment horizontal="center" vertical="center"/>
    </xf>
    <xf numFmtId="0" fontId="24" fillId="13" borderId="1" xfId="14" applyFont="1" applyFill="1" applyBorder="1" applyAlignment="1">
      <alignment horizontal="center"/>
    </xf>
    <xf numFmtId="0" fontId="24" fillId="13" borderId="3" xfId="14" applyFont="1" applyFill="1" applyBorder="1"/>
    <xf numFmtId="0" fontId="11" fillId="0" borderId="1" xfId="5" applyFont="1" applyFill="1" applyBorder="1" applyAlignment="1">
      <alignment horizontal="center" vertical="center" wrapText="1"/>
    </xf>
    <xf numFmtId="0" fontId="34" fillId="0" borderId="0" xfId="5" applyFont="1"/>
    <xf numFmtId="0" fontId="12" fillId="0" borderId="1" xfId="5" applyFont="1" applyFill="1" applyBorder="1" applyAlignment="1">
      <alignment horizontal="center" vertical="center" wrapText="1"/>
    </xf>
    <xf numFmtId="0" fontId="11" fillId="0" borderId="1" xfId="5" applyFont="1" applyFill="1" applyBorder="1" applyAlignment="1">
      <alignment horizontal="center" vertical="center" wrapText="1"/>
    </xf>
    <xf numFmtId="0" fontId="11" fillId="0" borderId="16" xfId="5" applyFont="1" applyFill="1" applyBorder="1" applyAlignment="1">
      <alignment horizontal="center" vertical="center" wrapText="1"/>
    </xf>
    <xf numFmtId="2" fontId="30" fillId="0" borderId="16" xfId="5" applyNumberFormat="1" applyFont="1" applyFill="1" applyBorder="1" applyAlignment="1">
      <alignment horizontal="center" wrapText="1"/>
    </xf>
    <xf numFmtId="0" fontId="11" fillId="0" borderId="17" xfId="5" applyFont="1" applyFill="1" applyBorder="1" applyAlignment="1">
      <alignment horizontal="center" vertical="center" wrapText="1"/>
    </xf>
    <xf numFmtId="2" fontId="30" fillId="0" borderId="17" xfId="5" applyNumberFormat="1" applyFont="1" applyFill="1" applyBorder="1" applyAlignment="1">
      <alignment horizontal="center" wrapText="1"/>
    </xf>
    <xf numFmtId="2" fontId="15" fillId="0" borderId="1" xfId="5" applyNumberFormat="1" applyFont="1" applyFill="1" applyBorder="1" applyAlignment="1">
      <alignment horizontal="center" vertical="center" wrapText="1"/>
    </xf>
    <xf numFmtId="0" fontId="11" fillId="0" borderId="1" xfId="5" applyFont="1" applyFill="1" applyBorder="1" applyAlignment="1">
      <alignment horizontal="left" vertical="center" wrapText="1"/>
    </xf>
    <xf numFmtId="0" fontId="11" fillId="0" borderId="1" xfId="5" applyFont="1" applyFill="1" applyBorder="1" applyAlignment="1">
      <alignment horizontal="left" vertical="center"/>
    </xf>
    <xf numFmtId="2" fontId="24" fillId="0" borderId="0" xfId="14" applyNumberFormat="1" applyFont="1" applyFill="1"/>
    <xf numFmtId="0" fontId="35" fillId="0" borderId="1" xfId="14" applyFont="1" applyFill="1" applyBorder="1" applyAlignment="1">
      <alignment horizontal="center"/>
    </xf>
    <xf numFmtId="0" fontId="27" fillId="0" borderId="1" xfId="0" applyFont="1" applyFill="1" applyBorder="1" applyAlignment="1">
      <alignment horizontal="center"/>
    </xf>
    <xf numFmtId="0" fontId="27" fillId="0" borderId="1" xfId="14" applyFont="1" applyFill="1" applyBorder="1" applyAlignment="1">
      <alignment horizontal="left" vertical="center"/>
    </xf>
    <xf numFmtId="0" fontId="11" fillId="0" borderId="1" xfId="5" applyFont="1" applyFill="1" applyBorder="1" applyAlignment="1">
      <alignment horizontal="center" vertical="center"/>
    </xf>
    <xf numFmtId="0" fontId="36" fillId="16" borderId="0" xfId="0" applyFont="1" applyFill="1" applyBorder="1" applyProtection="1">
      <protection locked="0"/>
    </xf>
    <xf numFmtId="0" fontId="35" fillId="0" borderId="1" xfId="14" applyFont="1" applyFill="1" applyBorder="1" applyAlignment="1">
      <alignment horizontal="center" vertical="center"/>
    </xf>
    <xf numFmtId="0" fontId="35" fillId="0" borderId="0" xfId="14" applyFont="1" applyAlignment="1">
      <alignment horizontal="center"/>
    </xf>
    <xf numFmtId="0" fontId="24" fillId="0" borderId="0" xfId="14" quotePrefix="1" applyFont="1"/>
    <xf numFmtId="0" fontId="26" fillId="0" borderId="4" xfId="14" applyFont="1" applyBorder="1" applyAlignment="1">
      <alignment horizontal="right"/>
    </xf>
    <xf numFmtId="0" fontId="27" fillId="0" borderId="1" xfId="14" applyNumberFormat="1" applyFont="1" applyFill="1" applyBorder="1" applyAlignment="1">
      <alignment horizontal="right"/>
    </xf>
    <xf numFmtId="0" fontId="35" fillId="0" borderId="1" xfId="14" applyNumberFormat="1" applyFont="1" applyFill="1" applyBorder="1" applyAlignment="1">
      <alignment horizontal="right"/>
    </xf>
    <xf numFmtId="169" fontId="35" fillId="0" borderId="1" xfId="12" applyNumberFormat="1" applyFont="1" applyFill="1" applyBorder="1" applyAlignment="1">
      <alignment horizontal="right" vertical="center"/>
    </xf>
    <xf numFmtId="0" fontId="35" fillId="0" borderId="1" xfId="0" applyFont="1" applyBorder="1" applyAlignment="1">
      <alignment horizontal="center" vertical="center"/>
    </xf>
    <xf numFmtId="0" fontId="35" fillId="16" borderId="1" xfId="0" applyFont="1" applyFill="1" applyBorder="1" applyAlignment="1">
      <alignment horizontal="center" vertical="center"/>
    </xf>
    <xf numFmtId="164" fontId="35" fillId="0" borderId="1" xfId="13" applyFont="1" applyBorder="1" applyAlignment="1">
      <alignment horizontal="right" vertical="center"/>
    </xf>
    <xf numFmtId="164" fontId="35" fillId="16" borderId="1" xfId="13" applyFont="1" applyFill="1" applyBorder="1" applyAlignment="1">
      <alignment horizontal="right" vertical="center"/>
    </xf>
    <xf numFmtId="0" fontId="12" fillId="0" borderId="1" xfId="5" applyFont="1" applyFill="1" applyBorder="1" applyAlignment="1">
      <alignment horizontal="center" vertical="center" wrapText="1"/>
    </xf>
    <xf numFmtId="0" fontId="11" fillId="0" borderId="1" xfId="5" applyFont="1" applyFill="1" applyBorder="1" applyAlignment="1">
      <alignment horizontal="center" vertical="center"/>
    </xf>
    <xf numFmtId="0" fontId="11" fillId="0" borderId="1" xfId="5" applyFont="1" applyFill="1" applyBorder="1" applyAlignment="1">
      <alignment horizontal="center" vertical="center" wrapText="1"/>
    </xf>
    <xf numFmtId="0" fontId="24" fillId="0" borderId="0" xfId="17" applyFont="1"/>
    <xf numFmtId="0" fontId="26" fillId="0" borderId="0" xfId="17" applyFont="1"/>
    <xf numFmtId="0" fontId="27" fillId="0" borderId="0" xfId="17" applyFont="1"/>
    <xf numFmtId="0" fontId="24" fillId="0" borderId="0" xfId="17" applyFont="1" applyFill="1"/>
    <xf numFmtId="0" fontId="26" fillId="0" borderId="0" xfId="17" quotePrefix="1" applyFont="1" applyAlignment="1">
      <alignment horizontal="right"/>
    </xf>
    <xf numFmtId="0" fontId="24" fillId="0" borderId="0" xfId="17" applyFont="1" applyAlignment="1">
      <alignment horizontal="right"/>
    </xf>
    <xf numFmtId="43" fontId="24" fillId="0" borderId="0" xfId="17" applyNumberFormat="1" applyFont="1"/>
    <xf numFmtId="0" fontId="26" fillId="6" borderId="1" xfId="17" applyFont="1" applyFill="1" applyBorder="1" applyAlignment="1">
      <alignment horizontal="center" vertical="center" wrapText="1"/>
    </xf>
    <xf numFmtId="0" fontId="26" fillId="6" borderId="1" xfId="17" applyFont="1" applyFill="1" applyBorder="1" applyAlignment="1">
      <alignment horizontal="center" vertical="center"/>
    </xf>
    <xf numFmtId="0" fontId="26" fillId="0" borderId="0" xfId="17" applyFont="1" applyAlignment="1">
      <alignment vertical="center"/>
    </xf>
    <xf numFmtId="0" fontId="26" fillId="0" borderId="0" xfId="17" applyFont="1" applyFill="1" applyAlignment="1">
      <alignment vertical="center"/>
    </xf>
    <xf numFmtId="0" fontId="26" fillId="2" borderId="1" xfId="17" applyFont="1" applyFill="1" applyBorder="1" applyAlignment="1">
      <alignment horizontal="center" vertical="center" wrapText="1"/>
    </xf>
    <xf numFmtId="0" fontId="24" fillId="3" borderId="1" xfId="17" applyFont="1" applyFill="1" applyBorder="1" applyAlignment="1">
      <alignment horizontal="center" vertical="center" wrapText="1"/>
    </xf>
    <xf numFmtId="166" fontId="24" fillId="4" borderId="1" xfId="18" applyNumberFormat="1" applyFont="1" applyFill="1" applyBorder="1" applyAlignment="1">
      <alignment horizontal="center" vertical="center" wrapText="1"/>
    </xf>
    <xf numFmtId="166" fontId="24" fillId="4" borderId="1" xfId="18" applyNumberFormat="1" applyFont="1" applyFill="1" applyBorder="1" applyAlignment="1">
      <alignment horizontal="center" vertical="center"/>
    </xf>
    <xf numFmtId="167" fontId="24" fillId="4" borderId="1" xfId="18" applyNumberFormat="1" applyFont="1" applyFill="1" applyBorder="1" applyAlignment="1">
      <alignment horizontal="center" vertical="center" wrapText="1"/>
    </xf>
    <xf numFmtId="166" fontId="24" fillId="5" borderId="1" xfId="18" applyNumberFormat="1" applyFont="1" applyFill="1" applyBorder="1" applyAlignment="1">
      <alignment horizontal="center" vertical="center" wrapText="1"/>
    </xf>
    <xf numFmtId="166" fontId="24" fillId="5" borderId="1" xfId="18" applyNumberFormat="1" applyFont="1" applyFill="1" applyBorder="1" applyAlignment="1">
      <alignment horizontal="center" vertical="center"/>
    </xf>
    <xf numFmtId="167" fontId="24" fillId="5" borderId="1" xfId="18" applyNumberFormat="1" applyFont="1" applyFill="1" applyBorder="1" applyAlignment="1">
      <alignment horizontal="center" vertical="center" wrapText="1"/>
    </xf>
    <xf numFmtId="0" fontId="24" fillId="6" borderId="1" xfId="17" applyFont="1" applyFill="1" applyBorder="1" applyAlignment="1">
      <alignment horizontal="center" vertical="center"/>
    </xf>
    <xf numFmtId="0" fontId="24" fillId="0" borderId="0" xfId="17" applyFont="1" applyAlignment="1">
      <alignment horizontal="center" vertical="center"/>
    </xf>
    <xf numFmtId="0" fontId="26" fillId="0" borderId="1" xfId="17" applyFont="1" applyBorder="1"/>
    <xf numFmtId="0" fontId="27" fillId="0" borderId="1" xfId="17" applyFont="1" applyFill="1" applyBorder="1" applyAlignment="1">
      <alignment horizontal="center" vertical="center" wrapText="1"/>
    </xf>
    <xf numFmtId="0" fontId="31" fillId="0" borderId="1" xfId="17" applyFont="1" applyFill="1" applyBorder="1" applyAlignment="1">
      <alignment horizontal="center" vertical="center" wrapText="1"/>
    </xf>
    <xf numFmtId="0" fontId="31" fillId="0" borderId="1" xfId="17" applyFont="1" applyBorder="1" applyAlignment="1">
      <alignment horizontal="center" vertical="center" wrapText="1"/>
    </xf>
    <xf numFmtId="14" fontId="24" fillId="0" borderId="1" xfId="17" applyNumberFormat="1" applyFont="1" applyBorder="1" applyAlignment="1">
      <alignment horizontal="center" vertical="center"/>
    </xf>
    <xf numFmtId="0" fontId="27" fillId="0" borderId="1" xfId="17" applyFont="1" applyFill="1" applyBorder="1" applyAlignment="1">
      <alignment horizontal="center"/>
    </xf>
    <xf numFmtId="0" fontId="27" fillId="0" borderId="1" xfId="17" applyNumberFormat="1" applyFont="1" applyFill="1" applyBorder="1" applyAlignment="1">
      <alignment horizontal="center"/>
    </xf>
    <xf numFmtId="43" fontId="24" fillId="6" borderId="1" xfId="17" applyNumberFormat="1" applyFont="1" applyFill="1" applyBorder="1" applyAlignment="1">
      <alignment vertical="center" wrapText="1"/>
    </xf>
    <xf numFmtId="43" fontId="24" fillId="6" borderId="1" xfId="17" applyNumberFormat="1" applyFont="1" applyFill="1" applyBorder="1"/>
    <xf numFmtId="2" fontId="24" fillId="6" borderId="1" xfId="17" applyNumberFormat="1" applyFont="1" applyFill="1" applyBorder="1"/>
    <xf numFmtId="2" fontId="24" fillId="6" borderId="1" xfId="17" applyNumberFormat="1" applyFont="1" applyFill="1" applyBorder="1" applyAlignment="1">
      <alignment horizontal="center"/>
    </xf>
    <xf numFmtId="0" fontId="24" fillId="0" borderId="1" xfId="17" applyFont="1" applyFill="1" applyBorder="1" applyAlignment="1">
      <alignment horizontal="center"/>
    </xf>
    <xf numFmtId="0" fontId="24" fillId="0" borderId="1" xfId="17" applyFont="1" applyBorder="1"/>
    <xf numFmtId="0" fontId="27" fillId="0" borderId="1" xfId="17" applyFont="1" applyFill="1" applyBorder="1" applyAlignment="1">
      <alignment horizontal="left" vertical="center" wrapText="1"/>
    </xf>
    <xf numFmtId="0" fontId="27" fillId="0" borderId="1" xfId="0" applyFont="1" applyFill="1" applyBorder="1"/>
    <xf numFmtId="15" fontId="27" fillId="16" borderId="1" xfId="0" quotePrefix="1" applyNumberFormat="1" applyFont="1" applyFill="1" applyBorder="1" applyAlignment="1">
      <alignment horizontal="center" vertical="center"/>
    </xf>
    <xf numFmtId="0" fontId="27" fillId="0" borderId="1" xfId="0" applyFont="1" applyBorder="1" applyAlignment="1">
      <alignment horizontal="center" vertical="center"/>
    </xf>
    <xf numFmtId="0" fontId="24" fillId="15" borderId="1" xfId="17" applyFont="1" applyFill="1" applyBorder="1" applyAlignment="1">
      <alignment horizontal="center"/>
    </xf>
    <xf numFmtId="2" fontId="24" fillId="0" borderId="0" xfId="17" applyNumberFormat="1" applyFont="1"/>
    <xf numFmtId="0" fontId="24" fillId="11" borderId="1" xfId="17" applyFont="1" applyFill="1" applyBorder="1"/>
    <xf numFmtId="0" fontId="24" fillId="8" borderId="1" xfId="17" applyFont="1" applyFill="1" applyBorder="1"/>
    <xf numFmtId="0" fontId="24" fillId="15" borderId="1" xfId="17" applyFont="1" applyFill="1" applyBorder="1"/>
    <xf numFmtId="0" fontId="24" fillId="12" borderId="1" xfId="17" applyFont="1" applyFill="1" applyBorder="1"/>
    <xf numFmtId="0" fontId="24" fillId="11" borderId="1" xfId="17" applyFont="1" applyFill="1" applyBorder="1" applyAlignment="1">
      <alignment horizontal="center"/>
    </xf>
    <xf numFmtId="0" fontId="24" fillId="8" borderId="1" xfId="17" applyFont="1" applyFill="1" applyBorder="1" applyAlignment="1">
      <alignment horizontal="center"/>
    </xf>
    <xf numFmtId="0" fontId="27" fillId="16" borderId="1" xfId="0" applyFont="1" applyFill="1" applyBorder="1" applyAlignment="1">
      <alignment horizontal="center" vertical="center"/>
    </xf>
    <xf numFmtId="2" fontId="24" fillId="0" borderId="0" xfId="17" applyNumberFormat="1" applyFont="1" applyFill="1"/>
    <xf numFmtId="0" fontId="27" fillId="0" borderId="1" xfId="17" applyFont="1" applyBorder="1" applyAlignment="1">
      <alignment horizontal="left" vertical="center" wrapText="1"/>
    </xf>
    <xf numFmtId="14" fontId="27" fillId="0" borderId="1" xfId="17" applyNumberFormat="1" applyFont="1" applyBorder="1" applyAlignment="1">
      <alignment horizontal="center" vertical="center"/>
    </xf>
    <xf numFmtId="0" fontId="24" fillId="13" borderId="1" xfId="17" applyFont="1" applyFill="1" applyBorder="1" applyAlignment="1">
      <alignment horizontal="center"/>
    </xf>
    <xf numFmtId="0" fontId="24" fillId="13" borderId="3" xfId="17" applyFont="1" applyFill="1" applyBorder="1"/>
    <xf numFmtId="0" fontId="35" fillId="0" borderId="1" xfId="17" applyFont="1" applyFill="1" applyBorder="1" applyAlignment="1">
      <alignment horizontal="center"/>
    </xf>
    <xf numFmtId="0" fontId="35" fillId="0" borderId="1" xfId="17" applyFont="1" applyFill="1" applyBorder="1" applyAlignment="1">
      <alignment horizontal="center" vertical="center"/>
    </xf>
    <xf numFmtId="0" fontId="27" fillId="0" borderId="1" xfId="17" applyNumberFormat="1" applyFont="1" applyFill="1" applyBorder="1" applyAlignment="1">
      <alignment horizontal="center" vertical="center"/>
    </xf>
    <xf numFmtId="0" fontId="24" fillId="0" borderId="1" xfId="17" applyFont="1" applyBorder="1" applyAlignment="1">
      <alignment horizontal="right"/>
    </xf>
    <xf numFmtId="0" fontId="27" fillId="0" borderId="1" xfId="17" applyFont="1" applyFill="1" applyBorder="1" applyAlignment="1">
      <alignment horizontal="center" vertical="center"/>
    </xf>
    <xf numFmtId="0" fontId="26" fillId="0" borderId="0" xfId="17" applyFont="1" applyAlignment="1">
      <alignment horizontal="right"/>
    </xf>
    <xf numFmtId="0" fontId="26" fillId="0" borderId="0" xfId="17" applyFont="1" applyFill="1" applyBorder="1"/>
    <xf numFmtId="0" fontId="24" fillId="0" borderId="0" xfId="17" applyFont="1" applyAlignment="1">
      <alignment horizontal="center"/>
    </xf>
    <xf numFmtId="0" fontId="26" fillId="0" borderId="1" xfId="17" applyFont="1" applyFill="1" applyBorder="1" applyAlignment="1">
      <alignment horizontal="center"/>
    </xf>
    <xf numFmtId="0" fontId="31" fillId="0" borderId="4" xfId="17" applyFont="1" applyBorder="1" applyAlignment="1">
      <alignment horizontal="center"/>
    </xf>
    <xf numFmtId="0" fontId="26" fillId="0" borderId="1" xfId="17" applyFont="1" applyBorder="1" applyAlignment="1">
      <alignment horizontal="center"/>
    </xf>
    <xf numFmtId="0" fontId="24" fillId="12" borderId="13" xfId="17" applyFont="1" applyFill="1" applyBorder="1"/>
    <xf numFmtId="0" fontId="24" fillId="12" borderId="4" xfId="17" applyFont="1" applyFill="1" applyBorder="1"/>
    <xf numFmtId="0" fontId="27" fillId="12" borderId="4" xfId="17" applyFont="1" applyFill="1" applyBorder="1"/>
    <xf numFmtId="9" fontId="24" fillId="12" borderId="1" xfId="19" applyFont="1" applyFill="1" applyBorder="1" applyAlignment="1">
      <alignment horizontal="center"/>
    </xf>
    <xf numFmtId="170" fontId="24" fillId="0" borderId="1" xfId="17" applyNumberFormat="1" applyFont="1" applyBorder="1"/>
    <xf numFmtId="0" fontId="24" fillId="15" borderId="13" xfId="17" applyFont="1" applyFill="1" applyBorder="1"/>
    <xf numFmtId="0" fontId="24" fillId="15" borderId="4" xfId="17" applyFont="1" applyFill="1" applyBorder="1"/>
    <xf numFmtId="0" fontId="27" fillId="15" borderId="4" xfId="17" applyFont="1" applyFill="1" applyBorder="1"/>
    <xf numFmtId="9" fontId="24" fillId="15" borderId="1" xfId="19" applyFont="1" applyFill="1" applyBorder="1" applyAlignment="1">
      <alignment horizontal="center"/>
    </xf>
    <xf numFmtId="0" fontId="24" fillId="8" borderId="13" xfId="17" applyFont="1" applyFill="1" applyBorder="1"/>
    <xf numFmtId="0" fontId="24" fillId="8" borderId="4" xfId="17" applyFont="1" applyFill="1" applyBorder="1"/>
    <xf numFmtId="0" fontId="27" fillId="8" borderId="4" xfId="17" applyFont="1" applyFill="1" applyBorder="1"/>
    <xf numFmtId="9" fontId="24" fillId="8" borderId="1" xfId="19" applyFont="1" applyFill="1" applyBorder="1" applyAlignment="1">
      <alignment horizontal="center"/>
    </xf>
    <xf numFmtId="0" fontId="24" fillId="11" borderId="13" xfId="17" applyFont="1" applyFill="1" applyBorder="1"/>
    <xf numFmtId="0" fontId="24" fillId="11" borderId="4" xfId="17" applyFont="1" applyFill="1" applyBorder="1"/>
    <xf numFmtId="0" fontId="27" fillId="11" borderId="4" xfId="17" applyFont="1" applyFill="1" applyBorder="1"/>
    <xf numFmtId="9" fontId="24" fillId="11" borderId="1" xfId="19" applyFont="1" applyFill="1" applyBorder="1" applyAlignment="1">
      <alignment horizontal="center"/>
    </xf>
    <xf numFmtId="0" fontId="24" fillId="0" borderId="13" xfId="17" applyFont="1" applyBorder="1"/>
    <xf numFmtId="0" fontId="24" fillId="0" borderId="4" xfId="17" applyFont="1" applyBorder="1"/>
    <xf numFmtId="0" fontId="27" fillId="0" borderId="4" xfId="17" applyFont="1" applyBorder="1"/>
    <xf numFmtId="0" fontId="24" fillId="0" borderId="1" xfId="17" applyFont="1" applyBorder="1" applyAlignment="1">
      <alignment horizontal="center"/>
    </xf>
    <xf numFmtId="170" fontId="26" fillId="0" borderId="1" xfId="17" applyNumberFormat="1" applyFont="1" applyBorder="1"/>
    <xf numFmtId="0" fontId="24" fillId="0" borderId="1" xfId="17" applyFont="1" applyFill="1" applyBorder="1"/>
    <xf numFmtId="0" fontId="24" fillId="0" borderId="3" xfId="17" applyFont="1" applyFill="1" applyBorder="1"/>
    <xf numFmtId="0" fontId="24" fillId="0" borderId="3" xfId="17" applyFont="1" applyBorder="1"/>
    <xf numFmtId="0" fontId="27" fillId="0" borderId="3" xfId="17" applyFont="1" applyBorder="1"/>
    <xf numFmtId="170" fontId="24" fillId="0" borderId="4" xfId="17" applyNumberFormat="1" applyFont="1" applyBorder="1"/>
    <xf numFmtId="0" fontId="26" fillId="0" borderId="4" xfId="17" applyFont="1" applyBorder="1" applyAlignment="1">
      <alignment horizontal="right"/>
    </xf>
    <xf numFmtId="0" fontId="24" fillId="0" borderId="0" xfId="17" quotePrefix="1" applyFont="1"/>
    <xf numFmtId="0" fontId="20" fillId="0" borderId="1" xfId="0" applyFont="1" applyFill="1" applyBorder="1" applyAlignment="1" applyProtection="1">
      <alignment horizontal="center"/>
      <protection locked="0"/>
    </xf>
    <xf numFmtId="2" fontId="20" fillId="0" borderId="1" xfId="0" applyNumberFormat="1" applyFont="1" applyFill="1" applyBorder="1" applyAlignment="1" applyProtection="1">
      <alignment horizontal="center"/>
      <protection locked="0"/>
    </xf>
    <xf numFmtId="164" fontId="27" fillId="0" borderId="1" xfId="17" applyNumberFormat="1" applyFont="1" applyFill="1" applyBorder="1" applyAlignment="1">
      <alignment horizontal="right"/>
    </xf>
    <xf numFmtId="0" fontId="1" fillId="0" borderId="0" xfId="1" applyFont="1"/>
    <xf numFmtId="43" fontId="20" fillId="0" borderId="1" xfId="12" applyFont="1" applyFill="1" applyBorder="1" applyAlignment="1" applyProtection="1">
      <alignment horizontal="center" vertical="center"/>
      <protection locked="0"/>
    </xf>
    <xf numFmtId="43" fontId="20" fillId="0" borderId="1" xfId="12" quotePrefix="1" applyFont="1" applyFill="1" applyBorder="1" applyAlignment="1" applyProtection="1">
      <alignment horizontal="center" vertical="center"/>
      <protection locked="0"/>
    </xf>
    <xf numFmtId="0" fontId="20" fillId="0" borderId="0" xfId="0" applyFont="1" applyFill="1" applyBorder="1" applyAlignment="1" applyProtection="1">
      <alignment horizontal="center"/>
      <protection locked="0"/>
    </xf>
    <xf numFmtId="2" fontId="39" fillId="0" borderId="13" xfId="0" applyNumberFormat="1" applyFont="1" applyFill="1" applyBorder="1" applyAlignment="1" applyProtection="1">
      <alignment horizontal="center" vertical="center"/>
      <protection locked="0"/>
    </xf>
    <xf numFmtId="2" fontId="39" fillId="0" borderId="13" xfId="0" applyNumberFormat="1" applyFont="1" applyFill="1" applyBorder="1" applyAlignment="1" applyProtection="1">
      <alignment horizontal="center"/>
      <protection locked="0"/>
    </xf>
    <xf numFmtId="2" fontId="30" fillId="0" borderId="1" xfId="5" applyNumberFormat="1" applyFont="1" applyFill="1" applyBorder="1" applyAlignment="1">
      <alignment horizontal="center" vertical="center" wrapText="1"/>
    </xf>
    <xf numFmtId="0" fontId="20" fillId="0" borderId="1" xfId="0" applyFont="1" applyFill="1" applyBorder="1" applyAlignment="1" applyProtection="1">
      <alignment horizontal="center" vertical="center"/>
      <protection locked="0"/>
    </xf>
    <xf numFmtId="0" fontId="11" fillId="0" borderId="0" xfId="5" applyFont="1" applyFill="1" applyBorder="1"/>
    <xf numFmtId="0" fontId="7" fillId="0" borderId="0" xfId="5" applyFill="1" applyBorder="1"/>
    <xf numFmtId="2" fontId="39" fillId="0" borderId="0" xfId="0" applyNumberFormat="1" applyFont="1" applyFill="1" applyBorder="1" applyAlignment="1" applyProtection="1">
      <alignment horizontal="center" vertical="center"/>
      <protection locked="0"/>
    </xf>
    <xf numFmtId="2" fontId="39" fillId="0" borderId="0" xfId="0" applyNumberFormat="1" applyFont="1" applyFill="1" applyBorder="1" applyAlignment="1" applyProtection="1">
      <alignment horizontal="center"/>
      <protection locked="0"/>
    </xf>
    <xf numFmtId="43" fontId="40" fillId="0" borderId="0" xfId="12" applyFont="1" applyFill="1" applyBorder="1" applyAlignment="1" applyProtection="1">
      <alignment horizontal="center" vertical="center"/>
      <protection locked="0"/>
    </xf>
    <xf numFmtId="43" fontId="39" fillId="0" borderId="0" xfId="12" applyFont="1" applyFill="1" applyBorder="1" applyAlignment="1" applyProtection="1">
      <alignment horizontal="center" vertical="center"/>
      <protection locked="0"/>
    </xf>
    <xf numFmtId="43" fontId="40" fillId="0" borderId="0" xfId="12" quotePrefix="1" applyFont="1" applyFill="1" applyBorder="1" applyAlignment="1" applyProtection="1">
      <alignment horizontal="center" vertical="center"/>
      <protection locked="0"/>
    </xf>
    <xf numFmtId="43" fontId="39" fillId="0" borderId="0" xfId="12" quotePrefix="1" applyFont="1" applyFill="1" applyBorder="1" applyAlignment="1" applyProtection="1">
      <alignment horizontal="center" vertical="center"/>
      <protection locked="0"/>
    </xf>
    <xf numFmtId="0" fontId="40" fillId="0" borderId="0" xfId="0" applyFont="1" applyFill="1" applyBorder="1" applyAlignment="1" applyProtection="1">
      <alignment horizontal="center"/>
      <protection locked="0"/>
    </xf>
    <xf numFmtId="0" fontId="39" fillId="0" borderId="0" xfId="0" applyFont="1" applyFill="1" applyBorder="1" applyAlignment="1" applyProtection="1">
      <alignment horizontal="center"/>
      <protection locked="0"/>
    </xf>
    <xf numFmtId="2" fontId="40" fillId="0" borderId="0" xfId="0" applyNumberFormat="1" applyFont="1" applyFill="1" applyBorder="1" applyAlignment="1" applyProtection="1">
      <alignment horizontal="center"/>
      <protection locked="0"/>
    </xf>
    <xf numFmtId="0" fontId="27" fillId="0" borderId="0" xfId="17" applyFont="1" applyAlignment="1">
      <alignment horizontal="center"/>
    </xf>
    <xf numFmtId="169" fontId="27" fillId="0" borderId="1" xfId="12" quotePrefix="1" applyNumberFormat="1" applyFont="1" applyFill="1" applyBorder="1" applyAlignment="1">
      <alignment horizontal="right" vertical="center"/>
    </xf>
    <xf numFmtId="169" fontId="24" fillId="0" borderId="0" xfId="17" applyNumberFormat="1" applyFont="1"/>
    <xf numFmtId="168" fontId="24" fillId="0" borderId="0" xfId="17" applyNumberFormat="1" applyFont="1"/>
    <xf numFmtId="0" fontId="24" fillId="8" borderId="0" xfId="17" applyFont="1" applyFill="1"/>
    <xf numFmtId="2" fontId="24" fillId="8" borderId="0" xfId="17" applyNumberFormat="1" applyFont="1" applyFill="1" applyAlignment="1">
      <alignment horizontal="center"/>
    </xf>
    <xf numFmtId="0" fontId="1" fillId="0" borderId="1" xfId="1" applyFont="1" applyFill="1" applyBorder="1"/>
    <xf numFmtId="0" fontId="42" fillId="17" borderId="1" xfId="7" applyFont="1" applyFill="1" applyBorder="1"/>
    <xf numFmtId="0" fontId="21" fillId="17" borderId="1" xfId="7" applyFont="1" applyFill="1" applyBorder="1"/>
    <xf numFmtId="14" fontId="43" fillId="17" borderId="2" xfId="7" applyNumberFormat="1" applyFont="1" applyFill="1" applyBorder="1" applyAlignment="1">
      <alignment horizontal="center" vertical="center"/>
    </xf>
    <xf numFmtId="1" fontId="21" fillId="17" borderId="1" xfId="7" applyNumberFormat="1" applyFont="1" applyFill="1" applyBorder="1" applyAlignment="1">
      <alignment horizontal="center" vertical="center" wrapText="1"/>
    </xf>
    <xf numFmtId="0" fontId="21" fillId="17" borderId="1" xfId="7" applyFont="1" applyFill="1" applyBorder="1" applyAlignment="1">
      <alignment horizontal="center" vertical="center" wrapText="1"/>
    </xf>
    <xf numFmtId="166" fontId="21" fillId="17" borderId="1" xfId="2" applyNumberFormat="1" applyFont="1" applyFill="1" applyBorder="1" applyAlignment="1">
      <alignment horizontal="center" vertical="center" wrapText="1"/>
    </xf>
    <xf numFmtId="167" fontId="21" fillId="17" borderId="1" xfId="2" applyNumberFormat="1" applyFont="1" applyFill="1" applyBorder="1" applyAlignment="1">
      <alignment horizontal="center" vertical="center" wrapText="1"/>
    </xf>
    <xf numFmtId="43" fontId="21" fillId="17" borderId="1" xfId="7" applyNumberFormat="1" applyFont="1" applyFill="1" applyBorder="1" applyAlignment="1">
      <alignment vertical="center" wrapText="1"/>
    </xf>
    <xf numFmtId="43" fontId="21" fillId="17" borderId="1" xfId="7" applyNumberFormat="1" applyFont="1" applyFill="1" applyBorder="1"/>
    <xf numFmtId="2" fontId="21" fillId="17" borderId="1" xfId="7" applyNumberFormat="1" applyFont="1" applyFill="1" applyBorder="1"/>
    <xf numFmtId="2" fontId="21" fillId="17" borderId="1" xfId="7" applyNumberFormat="1" applyFont="1" applyFill="1" applyBorder="1" applyAlignment="1">
      <alignment horizontal="center"/>
    </xf>
    <xf numFmtId="0" fontId="42" fillId="17" borderId="1" xfId="7" applyFont="1" applyFill="1" applyBorder="1" applyAlignment="1">
      <alignment horizontal="center"/>
    </xf>
    <xf numFmtId="165" fontId="10" fillId="0" borderId="0" xfId="7" applyNumberFormat="1"/>
    <xf numFmtId="0" fontId="1" fillId="0" borderId="0" xfId="7" applyFont="1"/>
    <xf numFmtId="0" fontId="0" fillId="2"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2" borderId="1" xfId="0" applyFill="1" applyBorder="1" applyAlignment="1">
      <alignment horizontal="center" vertical="center" wrapText="1"/>
    </xf>
    <xf numFmtId="0" fontId="22" fillId="0" borderId="0" xfId="0" applyFont="1" applyAlignment="1">
      <alignment horizontal="left" vertical="top" wrapText="1"/>
    </xf>
    <xf numFmtId="0" fontId="7" fillId="0" borderId="1" xfId="5" applyBorder="1" applyAlignment="1">
      <alignment horizontal="center"/>
    </xf>
    <xf numFmtId="0" fontId="12" fillId="0" borderId="1" xfId="5" applyFont="1" applyFill="1" applyBorder="1" applyAlignment="1">
      <alignment horizontal="center" vertical="center"/>
    </xf>
    <xf numFmtId="0" fontId="12" fillId="0" borderId="1" xfId="5" applyFont="1" applyFill="1" applyBorder="1" applyAlignment="1">
      <alignment horizontal="center" vertical="center" wrapText="1"/>
    </xf>
    <xf numFmtId="0" fontId="11" fillId="0" borderId="1" xfId="5" applyFont="1" applyFill="1" applyBorder="1" applyAlignment="1">
      <alignment horizontal="center" vertical="center"/>
    </xf>
    <xf numFmtId="0" fontId="11" fillId="0" borderId="1" xfId="5" applyFont="1" applyFill="1" applyBorder="1" applyAlignment="1">
      <alignment horizontal="center" vertical="center" wrapText="1"/>
    </xf>
    <xf numFmtId="0" fontId="10" fillId="0" borderId="5" xfId="7" applyBorder="1" applyAlignment="1">
      <alignment horizontal="center"/>
    </xf>
    <xf numFmtId="0" fontId="12" fillId="0" borderId="14" xfId="5" applyFont="1" applyFill="1" applyBorder="1" applyAlignment="1">
      <alignment horizontal="center" vertical="center" wrapText="1"/>
    </xf>
    <xf numFmtId="0" fontId="12" fillId="0" borderId="16" xfId="5" applyFont="1" applyFill="1" applyBorder="1" applyAlignment="1">
      <alignment horizontal="center" vertical="center" wrapText="1"/>
    </xf>
    <xf numFmtId="0" fontId="26" fillId="4" borderId="13" xfId="14" applyFont="1" applyFill="1" applyBorder="1" applyAlignment="1">
      <alignment horizontal="center" vertical="center"/>
    </xf>
    <xf numFmtId="0" fontId="26" fillId="4" borderId="3" xfId="14" applyFont="1" applyFill="1" applyBorder="1" applyAlignment="1">
      <alignment horizontal="center" vertical="center"/>
    </xf>
    <xf numFmtId="0" fontId="26" fillId="4" borderId="4" xfId="14" applyFont="1" applyFill="1" applyBorder="1" applyAlignment="1">
      <alignment horizontal="center" vertical="center"/>
    </xf>
    <xf numFmtId="0" fontId="26" fillId="5" borderId="13" xfId="14" applyFont="1" applyFill="1" applyBorder="1" applyAlignment="1">
      <alignment horizontal="center" vertical="center"/>
    </xf>
    <xf numFmtId="0" fontId="26" fillId="5" borderId="3" xfId="14" applyFont="1" applyFill="1" applyBorder="1" applyAlignment="1">
      <alignment horizontal="center" vertical="center"/>
    </xf>
    <xf numFmtId="0" fontId="26" fillId="5" borderId="4" xfId="14" applyFont="1" applyFill="1" applyBorder="1" applyAlignment="1">
      <alignment horizontal="center" vertical="center"/>
    </xf>
    <xf numFmtId="0" fontId="26" fillId="2" borderId="1" xfId="14" applyFont="1" applyFill="1" applyBorder="1" applyAlignment="1">
      <alignment horizontal="center" vertical="center" wrapText="1"/>
    </xf>
    <xf numFmtId="0" fontId="24" fillId="3" borderId="13" xfId="14" applyFont="1" applyFill="1" applyBorder="1" applyAlignment="1">
      <alignment horizontal="center" vertical="center" wrapText="1"/>
    </xf>
    <xf numFmtId="0" fontId="24" fillId="3" borderId="3" xfId="14" applyFont="1" applyFill="1" applyBorder="1" applyAlignment="1">
      <alignment horizontal="center" vertical="center" wrapText="1"/>
    </xf>
    <xf numFmtId="0" fontId="24" fillId="3" borderId="4" xfId="14" applyFont="1" applyFill="1" applyBorder="1" applyAlignment="1">
      <alignment horizontal="center" vertical="center" wrapText="1"/>
    </xf>
    <xf numFmtId="0" fontId="26" fillId="2" borderId="1" xfId="14" applyFont="1" applyFill="1" applyBorder="1" applyAlignment="1">
      <alignment horizontal="center" vertical="center"/>
    </xf>
    <xf numFmtId="0" fontId="26" fillId="2" borderId="13" xfId="14" applyFont="1" applyFill="1" applyBorder="1" applyAlignment="1">
      <alignment horizontal="center" vertical="center"/>
    </xf>
    <xf numFmtId="0" fontId="26" fillId="2" borderId="3" xfId="14" applyFont="1" applyFill="1" applyBorder="1" applyAlignment="1">
      <alignment horizontal="center" vertical="center"/>
    </xf>
    <xf numFmtId="0" fontId="26" fillId="2" borderId="4" xfId="14" applyFont="1" applyFill="1" applyBorder="1" applyAlignment="1">
      <alignment horizontal="center" vertical="center"/>
    </xf>
    <xf numFmtId="0" fontId="26" fillId="3" borderId="13" xfId="14" applyFont="1" applyFill="1" applyBorder="1" applyAlignment="1">
      <alignment horizontal="center" vertical="center"/>
    </xf>
    <xf numFmtId="0" fontId="26" fillId="3" borderId="3" xfId="14" applyFont="1" applyFill="1" applyBorder="1" applyAlignment="1">
      <alignment horizontal="center" vertical="center"/>
    </xf>
    <xf numFmtId="0" fontId="26" fillId="3" borderId="4" xfId="14" applyFont="1" applyFill="1" applyBorder="1" applyAlignment="1">
      <alignment horizontal="center" vertical="center"/>
    </xf>
    <xf numFmtId="0" fontId="26" fillId="2" borderId="6" xfId="14" applyFont="1" applyFill="1" applyBorder="1" applyAlignment="1">
      <alignment horizontal="center" vertical="center" wrapText="1"/>
    </xf>
    <xf numFmtId="0" fontId="26" fillId="2" borderId="8" xfId="14" applyFont="1" applyFill="1" applyBorder="1" applyAlignment="1">
      <alignment horizontal="center" vertical="center" wrapText="1"/>
    </xf>
    <xf numFmtId="0" fontId="26" fillId="2" borderId="11" xfId="14" applyFont="1" applyFill="1" applyBorder="1" applyAlignment="1">
      <alignment horizontal="center" vertical="center" wrapText="1"/>
    </xf>
    <xf numFmtId="0" fontId="26" fillId="2" borderId="12" xfId="14" applyFont="1" applyFill="1" applyBorder="1" applyAlignment="1">
      <alignment horizontal="center" vertical="center" wrapText="1"/>
    </xf>
    <xf numFmtId="0" fontId="26" fillId="0" borderId="13" xfId="14" applyFont="1" applyBorder="1" applyAlignment="1">
      <alignment horizontal="center"/>
    </xf>
    <xf numFmtId="0" fontId="26" fillId="0" borderId="4" xfId="14" applyFont="1" applyBorder="1" applyAlignment="1">
      <alignment horizontal="center"/>
    </xf>
    <xf numFmtId="0" fontId="26" fillId="11" borderId="1" xfId="14" applyFont="1" applyFill="1" applyBorder="1" applyAlignment="1">
      <alignment horizontal="center" vertical="center"/>
    </xf>
    <xf numFmtId="0" fontId="26" fillId="8" borderId="1" xfId="14" applyFont="1" applyFill="1" applyBorder="1" applyAlignment="1">
      <alignment horizontal="center" vertical="center"/>
    </xf>
    <xf numFmtId="0" fontId="26" fillId="15" borderId="1" xfId="14" applyFont="1" applyFill="1" applyBorder="1" applyAlignment="1">
      <alignment horizontal="center" vertical="center"/>
    </xf>
    <xf numFmtId="0" fontId="26" fillId="12" borderId="1" xfId="14" applyFont="1" applyFill="1" applyBorder="1" applyAlignment="1">
      <alignment horizontal="center" vertical="center"/>
    </xf>
    <xf numFmtId="0" fontId="41" fillId="0" borderId="0" xfId="17" applyFont="1" applyAlignment="1">
      <alignment horizontal="center"/>
    </xf>
    <xf numFmtId="0" fontId="26" fillId="2" borderId="1" xfId="17" applyFont="1" applyFill="1" applyBorder="1" applyAlignment="1">
      <alignment horizontal="center" vertical="center"/>
    </xf>
    <xf numFmtId="0" fontId="26" fillId="2" borderId="1" xfId="17" applyFont="1" applyFill="1" applyBorder="1" applyAlignment="1">
      <alignment horizontal="center" vertical="center" wrapText="1"/>
    </xf>
    <xf numFmtId="0" fontId="26" fillId="2" borderId="6" xfId="17" applyFont="1" applyFill="1" applyBorder="1" applyAlignment="1">
      <alignment horizontal="center" vertical="center" wrapText="1"/>
    </xf>
    <xf numFmtId="0" fontId="26" fillId="2" borderId="8" xfId="17" applyFont="1" applyFill="1" applyBorder="1" applyAlignment="1">
      <alignment horizontal="center" vertical="center" wrapText="1"/>
    </xf>
    <xf numFmtId="0" fontId="26" fillId="2" borderId="11" xfId="17" applyFont="1" applyFill="1" applyBorder="1" applyAlignment="1">
      <alignment horizontal="center" vertical="center" wrapText="1"/>
    </xf>
    <xf numFmtId="0" fontId="26" fillId="2" borderId="12" xfId="17" applyFont="1" applyFill="1" applyBorder="1" applyAlignment="1">
      <alignment horizontal="center" vertical="center" wrapText="1"/>
    </xf>
    <xf numFmtId="0" fontId="31" fillId="8" borderId="14" xfId="17" applyFont="1" applyFill="1" applyBorder="1" applyAlignment="1">
      <alignment horizontal="center" vertical="center" wrapText="1"/>
    </xf>
    <xf numFmtId="0" fontId="31" fillId="8" borderId="16" xfId="17" applyFont="1" applyFill="1" applyBorder="1" applyAlignment="1">
      <alignment horizontal="center" vertical="center" wrapText="1"/>
    </xf>
    <xf numFmtId="0" fontId="26" fillId="8" borderId="1" xfId="17" applyFont="1" applyFill="1" applyBorder="1" applyAlignment="1">
      <alignment horizontal="center" vertical="center"/>
    </xf>
    <xf numFmtId="0" fontId="26" fillId="15" borderId="1" xfId="17" applyFont="1" applyFill="1" applyBorder="1" applyAlignment="1">
      <alignment horizontal="center" vertical="center"/>
    </xf>
    <xf numFmtId="0" fontId="26" fillId="12" borderId="1" xfId="17" applyFont="1" applyFill="1" applyBorder="1" applyAlignment="1">
      <alignment horizontal="center" vertical="center"/>
    </xf>
    <xf numFmtId="0" fontId="26" fillId="0" borderId="13" xfId="17" applyFont="1" applyBorder="1" applyAlignment="1">
      <alignment horizontal="center"/>
    </xf>
    <xf numFmtId="0" fontId="26" fillId="0" borderId="4" xfId="17" applyFont="1" applyBorder="1" applyAlignment="1">
      <alignment horizontal="center"/>
    </xf>
    <xf numFmtId="0" fontId="26" fillId="3" borderId="13" xfId="17" applyFont="1" applyFill="1" applyBorder="1" applyAlignment="1">
      <alignment horizontal="center" vertical="center"/>
    </xf>
    <xf numFmtId="0" fontId="26" fillId="3" borderId="3" xfId="17" applyFont="1" applyFill="1" applyBorder="1" applyAlignment="1">
      <alignment horizontal="center" vertical="center"/>
    </xf>
    <xf numFmtId="0" fontId="26" fillId="3" borderId="4" xfId="17" applyFont="1" applyFill="1" applyBorder="1" applyAlignment="1">
      <alignment horizontal="center" vertical="center"/>
    </xf>
    <xf numFmtId="0" fontId="26" fillId="4" borderId="13" xfId="17" applyFont="1" applyFill="1" applyBorder="1" applyAlignment="1">
      <alignment horizontal="center" vertical="center"/>
    </xf>
    <xf numFmtId="0" fontId="26" fillId="4" borderId="3" xfId="17" applyFont="1" applyFill="1" applyBorder="1" applyAlignment="1">
      <alignment horizontal="center" vertical="center"/>
    </xf>
    <xf numFmtId="0" fontId="26" fillId="4" borderId="4" xfId="17" applyFont="1" applyFill="1" applyBorder="1" applyAlignment="1">
      <alignment horizontal="center" vertical="center"/>
    </xf>
    <xf numFmtId="0" fontId="26" fillId="5" borderId="13" xfId="17" applyFont="1" applyFill="1" applyBorder="1" applyAlignment="1">
      <alignment horizontal="center" vertical="center"/>
    </xf>
    <xf numFmtId="0" fontId="26" fillId="5" borderId="3" xfId="17" applyFont="1" applyFill="1" applyBorder="1" applyAlignment="1">
      <alignment horizontal="center" vertical="center"/>
    </xf>
    <xf numFmtId="0" fontId="26" fillId="5" borderId="4" xfId="17" applyFont="1" applyFill="1" applyBorder="1" applyAlignment="1">
      <alignment horizontal="center" vertical="center"/>
    </xf>
    <xf numFmtId="0" fontId="24" fillId="3" borderId="13" xfId="17" applyFont="1" applyFill="1" applyBorder="1" applyAlignment="1">
      <alignment horizontal="center" vertical="center" wrapText="1"/>
    </xf>
    <xf numFmtId="0" fontId="24" fillId="3" borderId="3" xfId="17" applyFont="1" applyFill="1" applyBorder="1" applyAlignment="1">
      <alignment horizontal="center" vertical="center" wrapText="1"/>
    </xf>
    <xf numFmtId="0" fontId="24" fillId="3" borderId="4" xfId="17" applyFont="1" applyFill="1" applyBorder="1" applyAlignment="1">
      <alignment horizontal="center" vertical="center" wrapText="1"/>
    </xf>
    <xf numFmtId="0" fontId="26" fillId="11" borderId="1" xfId="17" applyFont="1" applyFill="1" applyBorder="1" applyAlignment="1">
      <alignment horizontal="center" vertical="center"/>
    </xf>
    <xf numFmtId="0" fontId="26" fillId="2" borderId="13" xfId="17" applyFont="1" applyFill="1" applyBorder="1" applyAlignment="1">
      <alignment horizontal="center" vertical="center"/>
    </xf>
    <xf numFmtId="0" fontId="26" fillId="2" borderId="3" xfId="17" applyFont="1" applyFill="1" applyBorder="1" applyAlignment="1">
      <alignment horizontal="center" vertical="center"/>
    </xf>
    <xf numFmtId="0" fontId="26" fillId="2" borderId="4" xfId="17" applyFont="1" applyFill="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xf>
    <xf numFmtId="0" fontId="7" fillId="0" borderId="11" xfId="5" applyBorder="1" applyAlignment="1">
      <alignment horizontal="center"/>
    </xf>
    <xf numFmtId="0" fontId="7" fillId="0" borderId="5" xfId="5" applyBorder="1" applyAlignment="1">
      <alignment horizontal="center"/>
    </xf>
    <xf numFmtId="0" fontId="10" fillId="0" borderId="1" xfId="7" applyBorder="1" applyAlignment="1">
      <alignment horizontal="center"/>
    </xf>
    <xf numFmtId="0" fontId="10" fillId="0" borderId="1" xfId="7" applyBorder="1" applyAlignment="1">
      <alignment horizontal="center" vertical="top"/>
    </xf>
  </cellXfs>
  <cellStyles count="20">
    <cellStyle name="Comma" xfId="12" builtinId="3"/>
    <cellStyle name="Comma [0]" xfId="13" builtinId="6"/>
    <cellStyle name="Comma [0] 2" xfId="2"/>
    <cellStyle name="Comma [0] 2 2" xfId="10"/>
    <cellStyle name="Comma [0] 3" xfId="15"/>
    <cellStyle name="Comma [0] 3 2" xfId="18"/>
    <cellStyle name="Comma [0] 4" xfId="6"/>
    <cellStyle name="Comma 2" xfId="4"/>
    <cellStyle name="Comma 2 2" xfId="8"/>
    <cellStyle name="Normal" xfId="0" builtinId="0"/>
    <cellStyle name="Normal 14" xfId="7"/>
    <cellStyle name="Normal 2" xfId="1"/>
    <cellStyle name="Normal 3" xfId="5"/>
    <cellStyle name="Normal 3 2" xfId="9"/>
    <cellStyle name="Normal 4" xfId="14"/>
    <cellStyle name="Normal 4 2" xfId="17"/>
    <cellStyle name="Percent" xfId="11" builtinId="5"/>
    <cellStyle name="Percent 2" xfId="3"/>
    <cellStyle name="Percent 3" xfId="16"/>
    <cellStyle name="Percent 3 2"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230731</xdr:colOff>
      <xdr:row>11</xdr:row>
      <xdr:rowOff>129281</xdr:rowOff>
    </xdr:from>
    <xdr:to>
      <xdr:col>25</xdr:col>
      <xdr:colOff>46010</xdr:colOff>
      <xdr:row>20</xdr:row>
      <xdr:rowOff>144795</xdr:rowOff>
    </xdr:to>
    <xdr:pic>
      <xdr:nvPicPr>
        <xdr:cNvPr id="2" name="Picture 1" descr="STATUS MUTU AIR PELABUHAN PANGGULUBELO BERDASARKAN INDEKS STORET DAN INDEKS  PENCEMARAN ABSTRAK ABSTRACT WATER QUALITY STATUS OF">
          <a:extLst>
            <a:ext uri="{FF2B5EF4-FFF2-40B4-BE49-F238E27FC236}">
              <a16:creationId xmlns:a16="http://schemas.microsoft.com/office/drawing/2014/main" id="{5C6BF434-892F-4D4E-99F6-64E96B57B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61509" y="2486766"/>
          <a:ext cx="4332525" cy="1863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666525</xdr:colOff>
      <xdr:row>13</xdr:row>
      <xdr:rowOff>72057</xdr:rowOff>
    </xdr:from>
    <xdr:to>
      <xdr:col>33</xdr:col>
      <xdr:colOff>105742</xdr:colOff>
      <xdr:row>23</xdr:row>
      <xdr:rowOff>8286</xdr:rowOff>
    </xdr:to>
    <xdr:pic>
      <xdr:nvPicPr>
        <xdr:cNvPr id="2" name="Picture 1" descr="STATUS MUTU AIR PELABUHAN PANGGULUBELO BERDASARKAN INDEKS STORET DAN INDEKS  PENCEMARAN ABSTRAK ABSTRACT WATER QUALITY STATUS OF">
          <a:extLst>
            <a:ext uri="{FF2B5EF4-FFF2-40B4-BE49-F238E27FC236}">
              <a16:creationId xmlns:a16="http://schemas.microsoft.com/office/drawing/2014/main" id="{BFDAC62D-B4E4-834E-9FB3-CD8E65B10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4468" y="2720142"/>
          <a:ext cx="4357090" cy="1854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0"/>
  <sheetViews>
    <sheetView zoomScale="150" zoomScaleNormal="115" workbookViewId="0">
      <selection activeCell="K6" sqref="K6"/>
    </sheetView>
  </sheetViews>
  <sheetFormatPr defaultColWidth="8.7109375" defaultRowHeight="15" x14ac:dyDescent="0.25"/>
  <cols>
    <col min="1" max="1" width="11.7109375" customWidth="1"/>
    <col min="2" max="2" width="28" customWidth="1"/>
    <col min="3" max="13" width="12.140625" customWidth="1"/>
  </cols>
  <sheetData>
    <row r="1" spans="1:19" x14ac:dyDescent="0.25">
      <c r="B1" s="190" t="s">
        <v>119</v>
      </c>
    </row>
    <row r="3" spans="1:19" x14ac:dyDescent="0.25">
      <c r="B3" s="100"/>
      <c r="C3" s="102">
        <v>2012</v>
      </c>
      <c r="D3" s="102">
        <v>2013</v>
      </c>
      <c r="E3" s="102">
        <v>2014</v>
      </c>
      <c r="F3" s="102">
        <v>2015</v>
      </c>
      <c r="G3" s="102">
        <v>2016</v>
      </c>
      <c r="H3" s="103">
        <v>2017</v>
      </c>
      <c r="I3" s="104">
        <v>2018</v>
      </c>
      <c r="J3" s="104">
        <v>2019</v>
      </c>
      <c r="K3" s="104">
        <v>2020</v>
      </c>
      <c r="L3" s="104">
        <v>2021</v>
      </c>
      <c r="M3" s="104">
        <v>2022</v>
      </c>
    </row>
    <row r="4" spans="1:19" x14ac:dyDescent="0.25">
      <c r="A4" s="502" t="s">
        <v>163</v>
      </c>
      <c r="B4" s="174" t="s">
        <v>116</v>
      </c>
      <c r="C4" s="101">
        <v>11.333333333333334</v>
      </c>
      <c r="D4" s="101">
        <v>39.333333333333336</v>
      </c>
      <c r="E4" s="101">
        <v>38</v>
      </c>
      <c r="F4" s="101">
        <v>38</v>
      </c>
      <c r="G4" s="101">
        <v>42.666666666666664</v>
      </c>
      <c r="H4" s="101">
        <v>21.333333333333336</v>
      </c>
      <c r="I4" s="101">
        <f>'IKA 2018'!F50</f>
        <v>11.333333333333332</v>
      </c>
      <c r="J4" s="101">
        <v>22.6666666666667</v>
      </c>
      <c r="K4" s="101">
        <v>23.3333333333333</v>
      </c>
      <c r="L4" s="101">
        <v>24</v>
      </c>
      <c r="M4" s="101">
        <v>24.666666666666668</v>
      </c>
    </row>
    <row r="5" spans="1:19" x14ac:dyDescent="0.25">
      <c r="A5" s="502"/>
      <c r="B5" s="174" t="s">
        <v>117</v>
      </c>
      <c r="C5" s="101">
        <v>75.624131944444429</v>
      </c>
      <c r="D5" s="101">
        <v>79.527095734126988</v>
      </c>
      <c r="E5" s="101">
        <v>59.043402777777771</v>
      </c>
      <c r="F5" s="101">
        <v>57.426215277777779</v>
      </c>
      <c r="G5" s="101">
        <v>38.80324074074074</v>
      </c>
      <c r="H5">
        <v>39.24</v>
      </c>
      <c r="I5" s="100">
        <v>40</v>
      </c>
      <c r="J5" s="100">
        <v>42</v>
      </c>
      <c r="K5" s="100">
        <v>44</v>
      </c>
      <c r="L5" s="100">
        <v>45</v>
      </c>
      <c r="M5" s="100">
        <v>46</v>
      </c>
    </row>
    <row r="6" spans="1:19" x14ac:dyDescent="0.25">
      <c r="A6" s="502"/>
      <c r="B6" s="174" t="s">
        <v>118</v>
      </c>
      <c r="C6" s="100"/>
      <c r="D6" s="100"/>
      <c r="E6" s="100"/>
      <c r="F6" s="100"/>
      <c r="G6" s="100"/>
      <c r="H6" s="101">
        <v>34.153984649348573</v>
      </c>
      <c r="I6" s="101">
        <v>34.131817942646663</v>
      </c>
      <c r="J6" s="101">
        <v>34.747227022637063</v>
      </c>
      <c r="K6" s="101">
        <v>34.82135302151606</v>
      </c>
      <c r="L6" s="101">
        <v>34.897274523637932</v>
      </c>
      <c r="M6" s="101">
        <v>34.974811978678375</v>
      </c>
    </row>
    <row r="8" spans="1:19" x14ac:dyDescent="0.25">
      <c r="A8" s="501" t="s">
        <v>162</v>
      </c>
      <c r="B8" s="171" t="s">
        <v>81</v>
      </c>
      <c r="C8" s="100"/>
      <c r="D8" s="100"/>
      <c r="E8" s="100"/>
      <c r="F8" s="100"/>
      <c r="G8" s="100"/>
      <c r="H8" s="100">
        <v>1.19</v>
      </c>
      <c r="I8" s="100">
        <v>1.17</v>
      </c>
      <c r="J8" s="100">
        <v>1.1399999999999999</v>
      </c>
      <c r="K8" s="100">
        <v>1.1000000000000001</v>
      </c>
      <c r="L8" s="100">
        <v>1.085</v>
      </c>
      <c r="M8" s="100">
        <v>1.07</v>
      </c>
    </row>
    <row r="9" spans="1:19" x14ac:dyDescent="0.25">
      <c r="A9" s="501"/>
      <c r="B9" s="171" t="s">
        <v>155</v>
      </c>
      <c r="C9" s="100"/>
      <c r="D9" s="100"/>
      <c r="E9" s="100"/>
      <c r="F9" s="100"/>
      <c r="G9" s="100"/>
      <c r="H9" s="170">
        <v>0.56999999999999995</v>
      </c>
      <c r="I9" s="170">
        <v>0.53</v>
      </c>
      <c r="J9" s="170">
        <v>0.5</v>
      </c>
      <c r="K9" s="170">
        <v>0.47</v>
      </c>
      <c r="L9" s="170">
        <v>0.43</v>
      </c>
      <c r="M9" s="170">
        <v>0.4</v>
      </c>
      <c r="N9" s="169"/>
      <c r="P9" s="169"/>
      <c r="R9" s="169"/>
      <c r="S9" s="169"/>
    </row>
    <row r="10" spans="1:19" x14ac:dyDescent="0.25">
      <c r="A10" s="501"/>
      <c r="B10" s="171" t="s">
        <v>169</v>
      </c>
      <c r="C10" s="100"/>
      <c r="D10" s="100"/>
      <c r="E10" s="100"/>
      <c r="F10" s="100"/>
      <c r="G10" s="100"/>
      <c r="H10" s="178">
        <v>0.1115</v>
      </c>
      <c r="I10" s="178">
        <v>0.1115</v>
      </c>
      <c r="J10" s="179" t="s">
        <v>165</v>
      </c>
      <c r="K10" s="179" t="s">
        <v>166</v>
      </c>
      <c r="L10" s="179" t="s">
        <v>167</v>
      </c>
      <c r="M10" s="179" t="s">
        <v>168</v>
      </c>
    </row>
    <row r="12" spans="1:19" ht="18.75" customHeight="1" x14ac:dyDescent="0.25">
      <c r="A12" s="503" t="s">
        <v>164</v>
      </c>
      <c r="B12" s="157" t="s">
        <v>156</v>
      </c>
      <c r="C12" s="154"/>
      <c r="D12" s="154"/>
      <c r="E12" s="154"/>
      <c r="F12" s="154"/>
      <c r="G12" s="154"/>
      <c r="H12" s="189">
        <f>SUM(H13:H15)</f>
        <v>31.83359385973943</v>
      </c>
      <c r="I12" s="189">
        <f t="shared" ref="I12:M12" si="0">SUM(I13:I15)</f>
        <v>29.052727177058664</v>
      </c>
      <c r="J12" s="189">
        <f t="shared" si="0"/>
        <v>33.298890809054839</v>
      </c>
      <c r="K12" s="189">
        <f t="shared" si="0"/>
        <v>34.128541208606414</v>
      </c>
      <c r="L12" s="189">
        <f t="shared" si="0"/>
        <v>34.658909809455174</v>
      </c>
      <c r="M12" s="189">
        <f t="shared" si="0"/>
        <v>35.189924791471348</v>
      </c>
    </row>
    <row r="13" spans="1:19" x14ac:dyDescent="0.25">
      <c r="A13" s="503"/>
      <c r="B13" s="100" t="s">
        <v>158</v>
      </c>
      <c r="C13" s="100"/>
      <c r="D13" s="100"/>
      <c r="E13" s="100"/>
      <c r="F13" s="100"/>
      <c r="G13" s="100"/>
      <c r="H13" s="101">
        <f>H4*0.3</f>
        <v>6.4</v>
      </c>
      <c r="I13" s="101">
        <f t="shared" ref="I13:M13" si="1">I4*0.3</f>
        <v>3.3999999999999995</v>
      </c>
      <c r="J13" s="101">
        <f t="shared" si="1"/>
        <v>6.8000000000000096</v>
      </c>
      <c r="K13" s="101">
        <f t="shared" si="1"/>
        <v>6.9999999999999902</v>
      </c>
      <c r="L13" s="101">
        <f t="shared" si="1"/>
        <v>7.1999999999999993</v>
      </c>
      <c r="M13" s="101">
        <f t="shared" si="1"/>
        <v>7.4</v>
      </c>
    </row>
    <row r="14" spans="1:19" x14ac:dyDescent="0.25">
      <c r="A14" s="503"/>
      <c r="B14" s="100" t="s">
        <v>159</v>
      </c>
      <c r="C14" s="100"/>
      <c r="D14" s="100"/>
      <c r="E14" s="100"/>
      <c r="F14" s="100"/>
      <c r="G14" s="100"/>
      <c r="H14" s="101">
        <f>H5*0.3</f>
        <v>11.772</v>
      </c>
      <c r="I14" s="101">
        <f t="shared" ref="I14:M14" si="2">I5*0.3</f>
        <v>12</v>
      </c>
      <c r="J14" s="101">
        <f t="shared" si="2"/>
        <v>12.6</v>
      </c>
      <c r="K14" s="101">
        <f t="shared" si="2"/>
        <v>13.2</v>
      </c>
      <c r="L14" s="101">
        <f t="shared" si="2"/>
        <v>13.5</v>
      </c>
      <c r="M14" s="101">
        <f t="shared" si="2"/>
        <v>13.799999999999999</v>
      </c>
    </row>
    <row r="15" spans="1:19" x14ac:dyDescent="0.25">
      <c r="A15" s="503"/>
      <c r="B15" s="100" t="s">
        <v>160</v>
      </c>
      <c r="C15" s="100"/>
      <c r="D15" s="100"/>
      <c r="E15" s="100"/>
      <c r="F15" s="100"/>
      <c r="G15" s="100"/>
      <c r="H15" s="101">
        <f>H6*0.4</f>
        <v>13.66159385973943</v>
      </c>
      <c r="I15" s="101">
        <f t="shared" ref="I15:M15" si="3">I6*0.4</f>
        <v>13.652727177058665</v>
      </c>
      <c r="J15" s="101">
        <f t="shared" si="3"/>
        <v>13.898890809054826</v>
      </c>
      <c r="K15" s="101">
        <f t="shared" si="3"/>
        <v>13.928541208606426</v>
      </c>
      <c r="L15" s="101">
        <f t="shared" si="3"/>
        <v>13.958909809455173</v>
      </c>
      <c r="M15" s="101">
        <f t="shared" si="3"/>
        <v>13.989924791471351</v>
      </c>
    </row>
    <row r="20" spans="2:2" x14ac:dyDescent="0.25">
      <c r="B20" t="s">
        <v>161</v>
      </c>
    </row>
  </sheetData>
  <mergeCells count="3">
    <mergeCell ref="A8:A10"/>
    <mergeCell ref="A4:A6"/>
    <mergeCell ref="A12:A15"/>
  </mergeCells>
  <pageMargins left="0.42" right="0.37" top="0.75" bottom="0.75" header="0.3" footer="0.3"/>
  <pageSetup paperSize="10001" scale="90"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L50"/>
  <sheetViews>
    <sheetView topLeftCell="A4" zoomScale="115" zoomScaleNormal="115" workbookViewId="0">
      <pane ySplit="4" topLeftCell="A32" activePane="bottomLeft" state="frozen"/>
      <selection activeCell="O29" sqref="O29"/>
      <selection pane="bottomLeft" activeCell="I42" sqref="I41:I42"/>
    </sheetView>
  </sheetViews>
  <sheetFormatPr defaultColWidth="9.140625" defaultRowHeight="15" x14ac:dyDescent="0.25"/>
  <cols>
    <col min="1" max="1" width="4.140625" style="1" bestFit="1" customWidth="1"/>
    <col min="2" max="2" width="38.28515625" style="1" customWidth="1"/>
    <col min="3" max="3" width="21.28515625" style="1" customWidth="1"/>
    <col min="4" max="4" width="14.140625" style="1" customWidth="1"/>
    <col min="5" max="5" width="9.140625" style="1"/>
    <col min="6" max="6" width="10.140625" style="1" customWidth="1"/>
    <col min="7" max="10" width="9.140625" style="1"/>
    <col min="11" max="11" width="10" style="1" bestFit="1" customWidth="1"/>
    <col min="12" max="12" width="4.42578125" style="1" bestFit="1" customWidth="1"/>
    <col min="13" max="13" width="3.7109375" style="1" bestFit="1" customWidth="1"/>
    <col min="14" max="14" width="4.7109375" style="1" bestFit="1" customWidth="1"/>
    <col min="15" max="15" width="5" style="1" bestFit="1" customWidth="1"/>
    <col min="16" max="16" width="5.7109375" style="1" bestFit="1" customWidth="1"/>
    <col min="17" max="17" width="9.140625" style="1" bestFit="1" customWidth="1"/>
    <col min="18" max="18" width="7.7109375" style="1" bestFit="1" customWidth="1"/>
    <col min="19" max="19" width="6.28515625" style="1" bestFit="1" customWidth="1"/>
    <col min="20" max="20" width="6" style="1" bestFit="1" customWidth="1"/>
    <col min="21" max="22" width="6.28515625" style="1" bestFit="1" customWidth="1"/>
    <col min="23" max="23" width="8.28515625" style="1" bestFit="1" customWidth="1"/>
    <col min="24" max="24" width="8.7109375" style="1" bestFit="1" customWidth="1"/>
    <col min="25" max="25" width="9.7109375" style="1" bestFit="1" customWidth="1"/>
    <col min="26" max="26" width="6.28515625" style="1" bestFit="1" customWidth="1"/>
    <col min="27" max="27" width="6" style="1" bestFit="1" customWidth="1"/>
    <col min="28" max="30" width="6.28515625" style="1" bestFit="1" customWidth="1"/>
    <col min="31" max="31" width="8.7109375" style="1" bestFit="1" customWidth="1"/>
    <col min="32" max="32" width="7.7109375" style="1" bestFit="1" customWidth="1"/>
    <col min="33" max="35" width="9.140625" style="1"/>
    <col min="36" max="36" width="10.42578125" style="1" bestFit="1" customWidth="1"/>
    <col min="37" max="37" width="9.140625" style="1"/>
    <col min="38" max="38" width="10.7109375" style="1" bestFit="1" customWidth="1"/>
    <col min="39" max="16384" width="9.140625" style="1"/>
  </cols>
  <sheetData>
    <row r="1" spans="1:38" x14ac:dyDescent="0.25">
      <c r="B1" s="2" t="s">
        <v>0</v>
      </c>
    </row>
    <row r="3" spans="1:38" x14ac:dyDescent="0.25">
      <c r="B3" s="2" t="s">
        <v>1</v>
      </c>
    </row>
    <row r="4" spans="1:38" x14ac:dyDescent="0.25">
      <c r="B4" s="2" t="s">
        <v>2</v>
      </c>
    </row>
    <row r="6" spans="1:38" x14ac:dyDescent="0.25">
      <c r="B6" s="2" t="s">
        <v>3</v>
      </c>
    </row>
    <row r="7" spans="1:38" ht="33.75" thickBot="1" x14ac:dyDescent="0.3">
      <c r="A7" s="3" t="s">
        <v>4</v>
      </c>
      <c r="B7" s="4" t="s">
        <v>5</v>
      </c>
      <c r="C7" s="4" t="s">
        <v>6</v>
      </c>
      <c r="D7" s="4" t="s">
        <v>7</v>
      </c>
      <c r="E7" s="5" t="s">
        <v>8</v>
      </c>
      <c r="F7" s="5" t="s">
        <v>9</v>
      </c>
      <c r="G7" s="5" t="s">
        <v>10</v>
      </c>
      <c r="H7" s="5" t="s">
        <v>11</v>
      </c>
      <c r="I7" s="5" t="s">
        <v>12</v>
      </c>
      <c r="J7" s="5" t="s">
        <v>13</v>
      </c>
      <c r="K7" s="5" t="s">
        <v>14</v>
      </c>
      <c r="L7" s="6" t="s">
        <v>8</v>
      </c>
      <c r="M7" s="6" t="s">
        <v>9</v>
      </c>
      <c r="N7" s="6" t="s">
        <v>10</v>
      </c>
      <c r="O7" s="6" t="s">
        <v>11</v>
      </c>
      <c r="P7" s="6" t="s">
        <v>12</v>
      </c>
      <c r="Q7" s="6" t="s">
        <v>13</v>
      </c>
      <c r="R7" s="6"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11" t="s">
        <v>15</v>
      </c>
      <c r="AH7" s="11" t="s">
        <v>16</v>
      </c>
      <c r="AI7" s="11" t="s">
        <v>17</v>
      </c>
      <c r="AJ7" s="11" t="s">
        <v>18</v>
      </c>
      <c r="AK7" s="11" t="s">
        <v>19</v>
      </c>
      <c r="AL7" s="12" t="s">
        <v>20</v>
      </c>
    </row>
    <row r="8" spans="1:38" ht="17.25" thickBot="1" x14ac:dyDescent="0.35">
      <c r="A8" s="13">
        <v>1</v>
      </c>
      <c r="B8" s="14" t="s">
        <v>21</v>
      </c>
      <c r="C8" s="14"/>
      <c r="D8" s="15">
        <v>41765</v>
      </c>
      <c r="E8" s="16">
        <v>61</v>
      </c>
      <c r="F8" s="17">
        <v>7.31</v>
      </c>
      <c r="G8" s="17">
        <v>2.4900000000000002</v>
      </c>
      <c r="H8" s="17">
        <v>29.9</v>
      </c>
      <c r="I8" s="17"/>
      <c r="J8" s="17">
        <v>120</v>
      </c>
      <c r="K8" s="17"/>
      <c r="L8" s="6">
        <v>50</v>
      </c>
      <c r="M8" s="6">
        <v>4</v>
      </c>
      <c r="N8" s="6">
        <v>3</v>
      </c>
      <c r="O8" s="6">
        <v>25</v>
      </c>
      <c r="P8" s="6">
        <v>0.2</v>
      </c>
      <c r="Q8" s="6">
        <v>1000</v>
      </c>
      <c r="R8" s="6">
        <v>5000</v>
      </c>
      <c r="S8" s="7">
        <f t="shared" ref="S8:S37" si="0">E8/L8</f>
        <v>1.22</v>
      </c>
      <c r="T8" s="7">
        <f>((7-F8)/(7-M8))/M8</f>
        <v>-2.5833333333333302E-2</v>
      </c>
      <c r="U8" s="7">
        <f t="shared" ref="U8:Y23" si="1">G8/N8</f>
        <v>0.83000000000000007</v>
      </c>
      <c r="V8" s="7">
        <f t="shared" si="1"/>
        <v>1.196</v>
      </c>
      <c r="W8" s="8">
        <f t="shared" si="1"/>
        <v>0</v>
      </c>
      <c r="X8" s="7">
        <f t="shared" si="1"/>
        <v>0.12</v>
      </c>
      <c r="Y8" s="7">
        <f t="shared" si="1"/>
        <v>0</v>
      </c>
      <c r="Z8" s="9">
        <f t="shared" ref="Z8:AC37" si="2">1+(5*(LOG10(E8/L8)))</f>
        <v>1.4317991533737411</v>
      </c>
      <c r="AA8" s="9">
        <f t="shared" si="2"/>
        <v>2.3092869281494899</v>
      </c>
      <c r="AB8" s="9">
        <f t="shared" si="2"/>
        <v>0.5953904618803697</v>
      </c>
      <c r="AC8" s="9">
        <f>1+(5*(LOG10(H8/O8)))</f>
        <v>1.3886558982619601</v>
      </c>
      <c r="AD8" s="9">
        <f t="shared" ref="AA8:AF23" si="3">W8</f>
        <v>0</v>
      </c>
      <c r="AE8" s="9">
        <f>X8</f>
        <v>0.12</v>
      </c>
      <c r="AF8" s="9">
        <f t="shared" si="3"/>
        <v>0</v>
      </c>
      <c r="AG8" s="18">
        <f>AVERAGE(Z8:AF8)</f>
        <v>0.83501892023793722</v>
      </c>
      <c r="AH8" s="19">
        <f>MAX(Z8:AG8)</f>
        <v>2.3092869281494899</v>
      </c>
      <c r="AI8" s="20">
        <f>POWER(AG8,2)</f>
        <v>0.69725659715533062</v>
      </c>
      <c r="AJ8" s="20">
        <f>POWER(AH8,2)</f>
        <v>5.3328061165221072</v>
      </c>
      <c r="AK8" s="21">
        <f>SQRT((AI8+AJ8)/2)</f>
        <v>1.7363845647893554</v>
      </c>
      <c r="AL8" s="22" t="str">
        <f>IF(ISNUMBER(AK8),IF(AK8&lt;=1,"memenuhi",IF(AK8&lt;=5,"ringan",IF(AK8&lt;=10,"sedang","berat"))),"")</f>
        <v>ringan</v>
      </c>
    </row>
    <row r="9" spans="1:38" ht="17.25" thickBot="1" x14ac:dyDescent="0.35">
      <c r="A9" s="13">
        <v>2</v>
      </c>
      <c r="B9" s="14" t="s">
        <v>22</v>
      </c>
      <c r="C9" s="14"/>
      <c r="D9" s="15">
        <v>41764</v>
      </c>
      <c r="E9" s="16">
        <v>79</v>
      </c>
      <c r="F9" s="17">
        <v>6.55</v>
      </c>
      <c r="G9" s="17">
        <v>5.44</v>
      </c>
      <c r="H9" s="17">
        <v>34.799999999999997</v>
      </c>
      <c r="I9" s="17"/>
      <c r="J9" s="17">
        <v>1100</v>
      </c>
      <c r="K9" s="17"/>
      <c r="L9" s="6">
        <v>50</v>
      </c>
      <c r="M9" s="6">
        <v>4</v>
      </c>
      <c r="N9" s="6">
        <v>3</v>
      </c>
      <c r="O9" s="6">
        <v>25</v>
      </c>
      <c r="P9" s="6">
        <v>0.2</v>
      </c>
      <c r="Q9" s="6">
        <v>1000</v>
      </c>
      <c r="R9" s="6">
        <v>5000</v>
      </c>
      <c r="S9" s="7">
        <f t="shared" si="0"/>
        <v>1.58</v>
      </c>
      <c r="T9" s="7">
        <f t="shared" ref="T9:T37" si="4">((7-F9)/(7-M9))/M9</f>
        <v>3.7500000000000012E-2</v>
      </c>
      <c r="U9" s="7">
        <f t="shared" si="1"/>
        <v>1.8133333333333335</v>
      </c>
      <c r="V9" s="7">
        <f t="shared" si="1"/>
        <v>1.3919999999999999</v>
      </c>
      <c r="W9" s="8">
        <f t="shared" si="1"/>
        <v>0</v>
      </c>
      <c r="X9" s="7">
        <f t="shared" si="1"/>
        <v>1.1000000000000001</v>
      </c>
      <c r="Y9" s="7">
        <f t="shared" si="1"/>
        <v>0</v>
      </c>
      <c r="Z9" s="9">
        <f t="shared" si="2"/>
        <v>1.9932854347721132</v>
      </c>
      <c r="AA9" s="9">
        <f t="shared" si="3"/>
        <v>3.7500000000000012E-2</v>
      </c>
      <c r="AB9" s="9">
        <f t="shared" si="2"/>
        <v>2.2923882248925875</v>
      </c>
      <c r="AC9" s="9">
        <f t="shared" si="2"/>
        <v>1.7181961763727163</v>
      </c>
      <c r="AD9" s="9">
        <f t="shared" si="3"/>
        <v>0</v>
      </c>
      <c r="AE9" s="9">
        <f t="shared" si="3"/>
        <v>1.1000000000000001</v>
      </c>
      <c r="AF9" s="9">
        <f t="shared" si="3"/>
        <v>0</v>
      </c>
      <c r="AG9" s="18">
        <f t="shared" ref="AG9:AG37" si="5">AVERAGE(Z9:AF9)</f>
        <v>1.0201956908624881</v>
      </c>
      <c r="AH9" s="19">
        <f t="shared" ref="AH9:AH37" si="6">MAX(Z9:AG9)</f>
        <v>2.2923882248925875</v>
      </c>
      <c r="AI9" s="20">
        <f t="shared" ref="AI9:AJ37" si="7">POWER(AG9,2)</f>
        <v>1.0407992476543892</v>
      </c>
      <c r="AJ9" s="20">
        <f t="shared" si="7"/>
        <v>5.2550437736261886</v>
      </c>
      <c r="AK9" s="21">
        <f t="shared" ref="AK9:AK37" si="8">SQRT((AI9+AJ9)/2)</f>
        <v>1.7742382902643852</v>
      </c>
      <c r="AL9" s="22" t="str">
        <f>IF(ISNUMBER(AK9),IF(AK9&lt;=1,"memenuhi",IF(AK9&lt;=5,"ringan",IF(AK9&lt;=10,"sedang","berat"))),"")</f>
        <v>ringan</v>
      </c>
    </row>
    <row r="10" spans="1:38" ht="17.25" thickBot="1" x14ac:dyDescent="0.35">
      <c r="A10" s="13">
        <v>3</v>
      </c>
      <c r="B10" s="14" t="s">
        <v>23</v>
      </c>
      <c r="C10" s="14"/>
      <c r="D10" s="15">
        <v>41792</v>
      </c>
      <c r="E10" s="16">
        <v>278</v>
      </c>
      <c r="F10" s="17">
        <v>5.18</v>
      </c>
      <c r="G10" s="17">
        <v>4.93</v>
      </c>
      <c r="H10" s="17">
        <v>33.1</v>
      </c>
      <c r="I10" s="17"/>
      <c r="J10" s="17">
        <v>64</v>
      </c>
      <c r="K10" s="17"/>
      <c r="L10" s="6">
        <v>50</v>
      </c>
      <c r="M10" s="6">
        <v>4</v>
      </c>
      <c r="N10" s="6">
        <v>3</v>
      </c>
      <c r="O10" s="6">
        <v>25</v>
      </c>
      <c r="P10" s="6">
        <v>0.2</v>
      </c>
      <c r="Q10" s="6">
        <v>1000</v>
      </c>
      <c r="R10" s="6">
        <v>5000</v>
      </c>
      <c r="S10" s="7">
        <f t="shared" si="0"/>
        <v>5.56</v>
      </c>
      <c r="T10" s="7">
        <f t="shared" si="4"/>
        <v>0.1516666666666667</v>
      </c>
      <c r="U10" s="7">
        <f t="shared" si="1"/>
        <v>1.6433333333333333</v>
      </c>
      <c r="V10" s="7">
        <f t="shared" si="1"/>
        <v>1.3240000000000001</v>
      </c>
      <c r="W10" s="8">
        <f t="shared" si="1"/>
        <v>0</v>
      </c>
      <c r="X10" s="7">
        <f t="shared" si="1"/>
        <v>6.4000000000000001E-2</v>
      </c>
      <c r="Y10" s="7">
        <f t="shared" si="1"/>
        <v>0</v>
      </c>
      <c r="Z10" s="9">
        <f t="shared" si="2"/>
        <v>4.7253739579102874</v>
      </c>
      <c r="AA10" s="9">
        <f t="shared" si="3"/>
        <v>0.1516666666666667</v>
      </c>
      <c r="AB10" s="9">
        <f t="shared" si="2"/>
        <v>2.0786283227878379</v>
      </c>
      <c r="AC10" s="9">
        <f t="shared" si="2"/>
        <v>1.6094399255184058</v>
      </c>
      <c r="AD10" s="9">
        <f t="shared" si="3"/>
        <v>0</v>
      </c>
      <c r="AE10" s="9">
        <f t="shared" si="3"/>
        <v>6.4000000000000001E-2</v>
      </c>
      <c r="AF10" s="9">
        <f t="shared" si="3"/>
        <v>0</v>
      </c>
      <c r="AG10" s="18">
        <f t="shared" si="5"/>
        <v>1.2327298389833139</v>
      </c>
      <c r="AH10" s="19">
        <f t="shared" si="6"/>
        <v>4.7253739579102874</v>
      </c>
      <c r="AI10" s="20">
        <f t="shared" si="7"/>
        <v>1.519622855919827</v>
      </c>
      <c r="AJ10" s="20">
        <f t="shared" si="7"/>
        <v>22.329159042096734</v>
      </c>
      <c r="AK10" s="21">
        <f t="shared" si="8"/>
        <v>3.4531711438919852</v>
      </c>
      <c r="AL10" s="22" t="str">
        <f>IF(ISNUMBER(AK10),IF(AK10&lt;=1,"memenuhi",IF(AK10&lt;=5,"ringan",IF(AK10&lt;=10,"sedang","berat"))),"")</f>
        <v>ringan</v>
      </c>
    </row>
    <row r="11" spans="1:38" ht="17.25" thickBot="1" x14ac:dyDescent="0.35">
      <c r="A11" s="13">
        <v>4</v>
      </c>
      <c r="B11" s="14" t="s">
        <v>24</v>
      </c>
      <c r="C11" s="14"/>
      <c r="D11" s="15">
        <v>41766</v>
      </c>
      <c r="E11" s="16">
        <v>298</v>
      </c>
      <c r="F11" s="17">
        <v>0.76300000000000001</v>
      </c>
      <c r="G11" s="17">
        <v>33.5</v>
      </c>
      <c r="H11" s="17">
        <v>116</v>
      </c>
      <c r="I11" s="17"/>
      <c r="J11" s="17">
        <v>1100</v>
      </c>
      <c r="K11" s="17"/>
      <c r="L11" s="6">
        <v>50</v>
      </c>
      <c r="M11" s="6">
        <v>4</v>
      </c>
      <c r="N11" s="6">
        <v>3</v>
      </c>
      <c r="O11" s="6">
        <v>25</v>
      </c>
      <c r="P11" s="6">
        <v>0.2</v>
      </c>
      <c r="Q11" s="6">
        <v>1000</v>
      </c>
      <c r="R11" s="6">
        <v>5000</v>
      </c>
      <c r="S11" s="7">
        <f t="shared" si="0"/>
        <v>5.96</v>
      </c>
      <c r="T11" s="7">
        <f t="shared" si="4"/>
        <v>0.51975000000000005</v>
      </c>
      <c r="U11" s="7">
        <f t="shared" si="1"/>
        <v>11.166666666666666</v>
      </c>
      <c r="V11" s="7">
        <f t="shared" si="1"/>
        <v>4.6399999999999997</v>
      </c>
      <c r="W11" s="8">
        <f t="shared" si="1"/>
        <v>0</v>
      </c>
      <c r="X11" s="7">
        <f t="shared" si="1"/>
        <v>1.1000000000000001</v>
      </c>
      <c r="Y11" s="7">
        <f t="shared" si="1"/>
        <v>0</v>
      </c>
      <c r="Z11" s="9">
        <f t="shared" si="2"/>
        <v>4.8762312987011818</v>
      </c>
      <c r="AA11" s="9">
        <f t="shared" si="3"/>
        <v>0.51975000000000005</v>
      </c>
      <c r="AB11" s="9">
        <f t="shared" si="2"/>
        <v>6.2396177615859143</v>
      </c>
      <c r="AC11" s="9">
        <f t="shared" si="2"/>
        <v>4.3325899027744041</v>
      </c>
      <c r="AD11" s="9">
        <f t="shared" si="3"/>
        <v>0</v>
      </c>
      <c r="AE11" s="9">
        <f t="shared" si="3"/>
        <v>1.1000000000000001</v>
      </c>
      <c r="AF11" s="9">
        <f t="shared" si="3"/>
        <v>0</v>
      </c>
      <c r="AG11" s="18">
        <f t="shared" si="5"/>
        <v>2.4383127090087862</v>
      </c>
      <c r="AH11" s="19">
        <f t="shared" si="6"/>
        <v>6.2396177615859143</v>
      </c>
      <c r="AI11" s="20">
        <f t="shared" si="7"/>
        <v>5.9453688669137659</v>
      </c>
      <c r="AJ11" s="20">
        <f t="shared" si="7"/>
        <v>38.932829810698415</v>
      </c>
      <c r="AK11" s="21">
        <f t="shared" si="8"/>
        <v>4.7369926471133654</v>
      </c>
      <c r="AL11" s="22" t="str">
        <f>IF(ISNUMBER(AK11),IF(AK11&lt;=1,"memenuhi",IF(AK11&lt;=5,"ringan",IF(AK11&lt;=10,"sedang","berat"))),"")</f>
        <v>ringan</v>
      </c>
    </row>
    <row r="12" spans="1:38" ht="17.25" thickBot="1" x14ac:dyDescent="0.35">
      <c r="A12" s="13">
        <v>5</v>
      </c>
      <c r="B12" s="14" t="s">
        <v>25</v>
      </c>
      <c r="C12" s="14"/>
      <c r="D12" s="15">
        <v>41767</v>
      </c>
      <c r="E12" s="16">
        <v>884</v>
      </c>
      <c r="F12" s="17">
        <v>4.01</v>
      </c>
      <c r="G12" s="17">
        <v>92.6</v>
      </c>
      <c r="H12" s="17">
        <v>234</v>
      </c>
      <c r="I12" s="17"/>
      <c r="J12" s="17">
        <v>120</v>
      </c>
      <c r="K12" s="17"/>
      <c r="L12" s="6">
        <v>50</v>
      </c>
      <c r="M12" s="6">
        <v>4</v>
      </c>
      <c r="N12" s="6">
        <v>3</v>
      </c>
      <c r="O12" s="6">
        <v>25</v>
      </c>
      <c r="P12" s="6">
        <v>0.2</v>
      </c>
      <c r="Q12" s="6">
        <v>1000</v>
      </c>
      <c r="R12" s="6">
        <v>5000</v>
      </c>
      <c r="S12" s="7">
        <f t="shared" si="0"/>
        <v>17.68</v>
      </c>
      <c r="T12" s="7">
        <f t="shared" si="4"/>
        <v>0.24916666666666668</v>
      </c>
      <c r="U12" s="7">
        <f t="shared" si="1"/>
        <v>30.866666666666664</v>
      </c>
      <c r="V12" s="7">
        <f t="shared" si="1"/>
        <v>9.36</v>
      </c>
      <c r="W12" s="8">
        <f t="shared" si="1"/>
        <v>0</v>
      </c>
      <c r="X12" s="7">
        <f t="shared" si="1"/>
        <v>0.12</v>
      </c>
      <c r="Y12" s="7">
        <f t="shared" si="1"/>
        <v>0</v>
      </c>
      <c r="Z12" s="9">
        <f t="shared" si="2"/>
        <v>7.2374113033852723</v>
      </c>
      <c r="AA12" s="9">
        <f t="shared" si="3"/>
        <v>0.24916666666666668</v>
      </c>
      <c r="AB12" s="9">
        <f t="shared" si="2"/>
        <v>8.447448659811359</v>
      </c>
      <c r="AC12" s="9">
        <f t="shared" si="2"/>
        <v>5.856379243690526</v>
      </c>
      <c r="AD12" s="9">
        <f t="shared" si="3"/>
        <v>0</v>
      </c>
      <c r="AE12" s="9">
        <f t="shared" si="3"/>
        <v>0.12</v>
      </c>
      <c r="AF12" s="9">
        <f t="shared" si="3"/>
        <v>0</v>
      </c>
      <c r="AG12" s="18">
        <f t="shared" si="5"/>
        <v>3.1300579819362606</v>
      </c>
      <c r="AH12" s="19">
        <f t="shared" si="6"/>
        <v>8.447448659811359</v>
      </c>
      <c r="AI12" s="20">
        <f t="shared" si="7"/>
        <v>9.7972629702828957</v>
      </c>
      <c r="AJ12" s="20">
        <f t="shared" si="7"/>
        <v>71.359388860148727</v>
      </c>
      <c r="AK12" s="21">
        <f t="shared" si="8"/>
        <v>6.3701119232879897</v>
      </c>
      <c r="AL12" s="23" t="str">
        <f>IF(ISNUMBER(AK12),IF(AK12&lt;=1,"memenuhi",IF(AK12&lt;=5,"ringan",IF(AK12&lt;=10,"sedang","berat"))),"")</f>
        <v>sedang</v>
      </c>
    </row>
    <row r="13" spans="1:38" ht="17.25" thickBot="1" x14ac:dyDescent="0.35">
      <c r="A13" s="13">
        <v>6</v>
      </c>
      <c r="B13" s="14" t="s">
        <v>26</v>
      </c>
      <c r="C13" s="14"/>
      <c r="D13" s="15">
        <v>41792</v>
      </c>
      <c r="E13" s="16">
        <v>942</v>
      </c>
      <c r="F13" s="17">
        <v>0</v>
      </c>
      <c r="G13" s="17">
        <v>129</v>
      </c>
      <c r="H13" s="17">
        <v>280</v>
      </c>
      <c r="I13" s="17"/>
      <c r="J13" s="17">
        <v>460</v>
      </c>
      <c r="K13" s="17"/>
      <c r="L13" s="6">
        <v>50</v>
      </c>
      <c r="M13" s="6">
        <v>4</v>
      </c>
      <c r="N13" s="6">
        <v>3</v>
      </c>
      <c r="O13" s="6">
        <v>25</v>
      </c>
      <c r="P13" s="6">
        <v>0.2</v>
      </c>
      <c r="Q13" s="6">
        <v>1000</v>
      </c>
      <c r="R13" s="6">
        <v>5000</v>
      </c>
      <c r="S13" s="7">
        <f t="shared" si="0"/>
        <v>18.84</v>
      </c>
      <c r="T13" s="7">
        <f t="shared" si="4"/>
        <v>0.58333333333333337</v>
      </c>
      <c r="U13" s="7">
        <f t="shared" si="1"/>
        <v>43</v>
      </c>
      <c r="V13" s="7">
        <f t="shared" si="1"/>
        <v>11.2</v>
      </c>
      <c r="W13" s="8">
        <f t="shared" si="1"/>
        <v>0</v>
      </c>
      <c r="X13" s="7">
        <f t="shared" si="1"/>
        <v>0.46</v>
      </c>
      <c r="Y13" s="7">
        <f t="shared" si="1"/>
        <v>0</v>
      </c>
      <c r="Z13" s="9">
        <f t="shared" si="2"/>
        <v>7.3754044922842921</v>
      </c>
      <c r="AA13" s="9">
        <f t="shared" si="3"/>
        <v>0.58333333333333337</v>
      </c>
      <c r="AB13" s="9">
        <f t="shared" si="2"/>
        <v>9.1673422778979319</v>
      </c>
      <c r="AC13" s="9">
        <f t="shared" si="2"/>
        <v>6.2460901133509079</v>
      </c>
      <c r="AD13" s="9">
        <f t="shared" si="3"/>
        <v>0</v>
      </c>
      <c r="AE13" s="9">
        <f t="shared" si="3"/>
        <v>0.46</v>
      </c>
      <c r="AF13" s="9">
        <f t="shared" si="3"/>
        <v>0</v>
      </c>
      <c r="AG13" s="18">
        <f t="shared" si="5"/>
        <v>3.4045957452666378</v>
      </c>
      <c r="AH13" s="19">
        <f t="shared" si="6"/>
        <v>9.1673422778979319</v>
      </c>
      <c r="AI13" s="20">
        <f t="shared" si="7"/>
        <v>11.591272188687693</v>
      </c>
      <c r="AJ13" s="20">
        <f t="shared" si="7"/>
        <v>84.040164440134845</v>
      </c>
      <c r="AK13" s="21">
        <f t="shared" si="8"/>
        <v>6.9148910558599024</v>
      </c>
      <c r="AL13" s="23" t="str">
        <f t="shared" ref="AL13:AL37" si="9">IF(ISNUMBER(AK13),IF(AK13&lt;=1,"memenuhi",IF(AK13&lt;=5,"ringan",IF(AK13&lt;=10,"sedang","berat"))),"")</f>
        <v>sedang</v>
      </c>
    </row>
    <row r="14" spans="1:38" ht="17.25" thickBot="1" x14ac:dyDescent="0.35">
      <c r="A14" s="13">
        <v>7</v>
      </c>
      <c r="B14" s="14" t="s">
        <v>27</v>
      </c>
      <c r="C14" s="14"/>
      <c r="D14" s="15">
        <v>41780</v>
      </c>
      <c r="E14" s="16">
        <v>321</v>
      </c>
      <c r="F14" s="17">
        <v>3.56</v>
      </c>
      <c r="G14" s="17">
        <v>8.68</v>
      </c>
      <c r="H14" s="17">
        <v>112</v>
      </c>
      <c r="I14" s="17"/>
      <c r="J14" s="17">
        <v>14</v>
      </c>
      <c r="K14" s="17"/>
      <c r="L14" s="6">
        <v>50</v>
      </c>
      <c r="M14" s="6">
        <v>4</v>
      </c>
      <c r="N14" s="6">
        <v>3</v>
      </c>
      <c r="O14" s="6">
        <v>25</v>
      </c>
      <c r="P14" s="6">
        <v>0.2</v>
      </c>
      <c r="Q14" s="6">
        <v>1000</v>
      </c>
      <c r="R14" s="6">
        <v>5000</v>
      </c>
      <c r="S14" s="7">
        <f t="shared" si="0"/>
        <v>6.42</v>
      </c>
      <c r="T14" s="7">
        <f t="shared" si="4"/>
        <v>0.28666666666666668</v>
      </c>
      <c r="U14" s="7">
        <f t="shared" si="1"/>
        <v>2.8933333333333331</v>
      </c>
      <c r="V14" s="7">
        <f t="shared" si="1"/>
        <v>4.4800000000000004</v>
      </c>
      <c r="W14" s="8">
        <f t="shared" si="1"/>
        <v>0</v>
      </c>
      <c r="X14" s="7">
        <f t="shared" si="1"/>
        <v>1.4E-2</v>
      </c>
      <c r="Y14" s="7">
        <f t="shared" si="1"/>
        <v>0</v>
      </c>
      <c r="Z14" s="9">
        <f t="shared" si="2"/>
        <v>5.0376751403442661</v>
      </c>
      <c r="AA14" s="9">
        <f t="shared" si="3"/>
        <v>0.28666666666666668</v>
      </c>
      <c r="AB14" s="9">
        <f t="shared" si="2"/>
        <v>3.3069923522841469</v>
      </c>
      <c r="AC14" s="9">
        <f t="shared" si="2"/>
        <v>4.2563900699907204</v>
      </c>
      <c r="AD14" s="9">
        <f t="shared" si="3"/>
        <v>0</v>
      </c>
      <c r="AE14" s="9">
        <f t="shared" si="3"/>
        <v>1.4E-2</v>
      </c>
      <c r="AF14" s="9">
        <f t="shared" si="3"/>
        <v>0</v>
      </c>
      <c r="AG14" s="18">
        <f t="shared" si="5"/>
        <v>1.8431034613265427</v>
      </c>
      <c r="AH14" s="19">
        <f t="shared" si="6"/>
        <v>5.0376751403442661</v>
      </c>
      <c r="AI14" s="20">
        <f t="shared" si="7"/>
        <v>3.3970303691538826</v>
      </c>
      <c r="AJ14" s="20">
        <f t="shared" si="7"/>
        <v>25.378170819642623</v>
      </c>
      <c r="AK14" s="21">
        <f t="shared" si="8"/>
        <v>3.7930990752151796</v>
      </c>
      <c r="AL14" s="22" t="str">
        <f t="shared" si="9"/>
        <v>ringan</v>
      </c>
    </row>
    <row r="15" spans="1:38" ht="17.25" thickBot="1" x14ac:dyDescent="0.35">
      <c r="A15" s="13">
        <v>8</v>
      </c>
      <c r="B15" s="14" t="s">
        <v>28</v>
      </c>
      <c r="C15" s="14"/>
      <c r="D15" s="15">
        <v>41768</v>
      </c>
      <c r="E15" s="16">
        <v>329</v>
      </c>
      <c r="F15" s="17">
        <v>4.3899999999999997</v>
      </c>
      <c r="G15" s="17">
        <v>18.899999999999999</v>
      </c>
      <c r="H15" s="17">
        <v>118</v>
      </c>
      <c r="I15" s="17"/>
      <c r="J15" s="17">
        <v>18</v>
      </c>
      <c r="K15" s="17"/>
      <c r="L15" s="6">
        <v>50</v>
      </c>
      <c r="M15" s="6">
        <v>4</v>
      </c>
      <c r="N15" s="6">
        <v>3</v>
      </c>
      <c r="O15" s="6">
        <v>25</v>
      </c>
      <c r="P15" s="6">
        <v>0.2</v>
      </c>
      <c r="Q15" s="6">
        <v>1000</v>
      </c>
      <c r="R15" s="6">
        <v>5000</v>
      </c>
      <c r="S15" s="7">
        <f t="shared" si="0"/>
        <v>6.58</v>
      </c>
      <c r="T15" s="7">
        <f t="shared" si="4"/>
        <v>0.21750000000000003</v>
      </c>
      <c r="U15" s="7">
        <f t="shared" si="1"/>
        <v>6.3</v>
      </c>
      <c r="V15" s="7">
        <f t="shared" si="1"/>
        <v>4.72</v>
      </c>
      <c r="W15" s="8">
        <f t="shared" si="1"/>
        <v>0</v>
      </c>
      <c r="X15" s="7">
        <f t="shared" si="1"/>
        <v>1.7999999999999999E-2</v>
      </c>
      <c r="Y15" s="7">
        <f t="shared" si="1"/>
        <v>0</v>
      </c>
      <c r="Z15" s="9">
        <f t="shared" si="2"/>
        <v>5.0911294680697772</v>
      </c>
      <c r="AA15" s="9">
        <f t="shared" si="3"/>
        <v>0.21750000000000003</v>
      </c>
      <c r="AB15" s="9">
        <f>1+(5*(LOG10(G15/N15)))</f>
        <v>4.9967027472679089</v>
      </c>
      <c r="AC15" s="9">
        <f t="shared" si="2"/>
        <v>4.3697099931704386</v>
      </c>
      <c r="AD15" s="9">
        <f t="shared" si="3"/>
        <v>0</v>
      </c>
      <c r="AE15" s="9">
        <f t="shared" si="3"/>
        <v>1.7999999999999999E-2</v>
      </c>
      <c r="AF15" s="9">
        <f t="shared" si="3"/>
        <v>0</v>
      </c>
      <c r="AG15" s="18">
        <f t="shared" si="5"/>
        <v>2.0990060297868749</v>
      </c>
      <c r="AH15" s="19">
        <f t="shared" si="6"/>
        <v>5.0911294680697772</v>
      </c>
      <c r="AI15" s="20">
        <f t="shared" si="7"/>
        <v>4.4058263130816595</v>
      </c>
      <c r="AJ15" s="20">
        <f t="shared" si="7"/>
        <v>25.919599260648454</v>
      </c>
      <c r="AK15" s="21">
        <f t="shared" si="8"/>
        <v>3.8939328174565437</v>
      </c>
      <c r="AL15" s="22" t="str">
        <f t="shared" si="9"/>
        <v>ringan</v>
      </c>
    </row>
    <row r="16" spans="1:38" ht="17.25" thickBot="1" x14ac:dyDescent="0.35">
      <c r="A16" s="13">
        <v>9</v>
      </c>
      <c r="B16" s="14" t="s">
        <v>29</v>
      </c>
      <c r="C16" s="14"/>
      <c r="D16" s="15">
        <v>41792</v>
      </c>
      <c r="E16" s="24">
        <v>562</v>
      </c>
      <c r="F16" s="17">
        <v>1.34</v>
      </c>
      <c r="G16" s="17">
        <v>23.6</v>
      </c>
      <c r="H16" s="17">
        <v>91.9</v>
      </c>
      <c r="I16" s="17"/>
      <c r="J16" s="17">
        <v>20</v>
      </c>
      <c r="K16" s="17"/>
      <c r="L16" s="6">
        <v>50</v>
      </c>
      <c r="M16" s="6">
        <v>4</v>
      </c>
      <c r="N16" s="6">
        <v>3</v>
      </c>
      <c r="O16" s="6">
        <v>25</v>
      </c>
      <c r="P16" s="6">
        <v>0.2</v>
      </c>
      <c r="Q16" s="6">
        <v>1000</v>
      </c>
      <c r="R16" s="6">
        <v>5000</v>
      </c>
      <c r="S16" s="7">
        <f t="shared" si="0"/>
        <v>11.24</v>
      </c>
      <c r="T16" s="7">
        <f t="shared" si="4"/>
        <v>0.47166666666666668</v>
      </c>
      <c r="U16" s="7">
        <f t="shared" si="1"/>
        <v>7.8666666666666671</v>
      </c>
      <c r="V16" s="7">
        <f t="shared" si="1"/>
        <v>3.6760000000000002</v>
      </c>
      <c r="W16" s="8">
        <f t="shared" si="1"/>
        <v>0</v>
      </c>
      <c r="X16" s="7">
        <f t="shared" si="1"/>
        <v>0.02</v>
      </c>
      <c r="Y16" s="7">
        <f t="shared" si="1"/>
        <v>0</v>
      </c>
      <c r="Z16" s="9">
        <f t="shared" si="2"/>
        <v>6.2538315561652116</v>
      </c>
      <c r="AA16" s="9">
        <f t="shared" si="3"/>
        <v>0.47166666666666668</v>
      </c>
      <c r="AB16" s="9">
        <f t="shared" si="2"/>
        <v>5.4789537412522211</v>
      </c>
      <c r="AC16" s="9">
        <f t="shared" si="2"/>
        <v>3.8268775135703681</v>
      </c>
      <c r="AD16" s="9">
        <f t="shared" si="3"/>
        <v>0</v>
      </c>
      <c r="AE16" s="9">
        <f t="shared" si="3"/>
        <v>0.02</v>
      </c>
      <c r="AF16" s="9">
        <f t="shared" si="3"/>
        <v>0</v>
      </c>
      <c r="AG16" s="18">
        <f t="shared" si="5"/>
        <v>2.2930470682363522</v>
      </c>
      <c r="AH16" s="19">
        <f t="shared" si="6"/>
        <v>6.2538315561652116</v>
      </c>
      <c r="AI16" s="20">
        <f t="shared" si="7"/>
        <v>5.2580648571473301</v>
      </c>
      <c r="AJ16" s="20">
        <f t="shared" si="7"/>
        <v>39.110409132887789</v>
      </c>
      <c r="AK16" s="21">
        <f t="shared" si="8"/>
        <v>4.7100145429730427</v>
      </c>
      <c r="AL16" s="22" t="str">
        <f t="shared" si="9"/>
        <v>ringan</v>
      </c>
    </row>
    <row r="17" spans="1:38" ht="17.25" thickBot="1" x14ac:dyDescent="0.35">
      <c r="A17" s="13">
        <v>10</v>
      </c>
      <c r="B17" s="14" t="s">
        <v>30</v>
      </c>
      <c r="C17" s="14"/>
      <c r="D17" s="15">
        <v>41765</v>
      </c>
      <c r="E17" s="16">
        <v>134</v>
      </c>
      <c r="F17" s="17">
        <v>2.86</v>
      </c>
      <c r="G17" s="17">
        <v>11.6</v>
      </c>
      <c r="H17" s="17">
        <v>80.400000000000006</v>
      </c>
      <c r="I17" s="17"/>
      <c r="J17" s="17">
        <v>28</v>
      </c>
      <c r="K17" s="17"/>
      <c r="L17" s="6">
        <v>50</v>
      </c>
      <c r="M17" s="6">
        <v>4</v>
      </c>
      <c r="N17" s="6">
        <v>3</v>
      </c>
      <c r="O17" s="6">
        <v>25</v>
      </c>
      <c r="P17" s="6">
        <v>0.2</v>
      </c>
      <c r="Q17" s="6">
        <v>1000</v>
      </c>
      <c r="R17" s="6">
        <v>5000</v>
      </c>
      <c r="S17" s="7">
        <f t="shared" si="0"/>
        <v>2.68</v>
      </c>
      <c r="T17" s="7">
        <f t="shared" si="4"/>
        <v>0.34500000000000003</v>
      </c>
      <c r="U17" s="7">
        <f t="shared" si="1"/>
        <v>3.8666666666666667</v>
      </c>
      <c r="V17" s="7">
        <f t="shared" si="1"/>
        <v>3.2160000000000002</v>
      </c>
      <c r="W17" s="8">
        <f t="shared" si="1"/>
        <v>0</v>
      </c>
      <c r="X17" s="7">
        <f t="shared" si="1"/>
        <v>2.8000000000000001E-2</v>
      </c>
      <c r="Y17" s="7">
        <f t="shared" si="1"/>
        <v>0</v>
      </c>
      <c r="Z17" s="9">
        <f t="shared" si="2"/>
        <v>3.1406739701439443</v>
      </c>
      <c r="AA17" s="9">
        <f t="shared" si="3"/>
        <v>0.34500000000000003</v>
      </c>
      <c r="AB17" s="9">
        <f t="shared" si="2"/>
        <v>3.9366836725362804</v>
      </c>
      <c r="AC17" s="9">
        <f t="shared" si="2"/>
        <v>3.5365802003820686</v>
      </c>
      <c r="AD17" s="9">
        <f t="shared" si="3"/>
        <v>0</v>
      </c>
      <c r="AE17" s="9">
        <f t="shared" si="3"/>
        <v>2.8000000000000001E-2</v>
      </c>
      <c r="AF17" s="9">
        <f t="shared" si="3"/>
        <v>0</v>
      </c>
      <c r="AG17" s="18">
        <f t="shared" si="5"/>
        <v>1.5695625490088994</v>
      </c>
      <c r="AH17" s="19">
        <f t="shared" si="6"/>
        <v>3.9366836725362804</v>
      </c>
      <c r="AI17" s="20">
        <f t="shared" si="7"/>
        <v>2.4635265952513135</v>
      </c>
      <c r="AJ17" s="20">
        <f t="shared" si="7"/>
        <v>15.497478337613735</v>
      </c>
      <c r="AK17" s="21">
        <f t="shared" si="8"/>
        <v>2.996748649191741</v>
      </c>
      <c r="AL17" s="22" t="str">
        <f t="shared" si="9"/>
        <v>ringan</v>
      </c>
    </row>
    <row r="18" spans="1:38" ht="17.25" thickBot="1" x14ac:dyDescent="0.35">
      <c r="A18" s="13">
        <v>11</v>
      </c>
      <c r="B18" s="14" t="s">
        <v>31</v>
      </c>
      <c r="C18" s="14"/>
      <c r="D18" s="15">
        <v>41764</v>
      </c>
      <c r="E18" s="16">
        <v>260</v>
      </c>
      <c r="F18" s="17">
        <v>0.85799999999999998</v>
      </c>
      <c r="G18" s="17">
        <v>88.5</v>
      </c>
      <c r="H18" s="17">
        <v>196</v>
      </c>
      <c r="I18" s="17"/>
      <c r="J18" s="17">
        <v>120</v>
      </c>
      <c r="K18" s="17"/>
      <c r="L18" s="6">
        <v>50</v>
      </c>
      <c r="M18" s="6">
        <v>4</v>
      </c>
      <c r="N18" s="6">
        <v>3</v>
      </c>
      <c r="O18" s="6">
        <v>25</v>
      </c>
      <c r="P18" s="6">
        <v>0.2</v>
      </c>
      <c r="Q18" s="6">
        <v>1000</v>
      </c>
      <c r="R18" s="6">
        <v>5000</v>
      </c>
      <c r="S18" s="7">
        <f t="shared" si="0"/>
        <v>5.2</v>
      </c>
      <c r="T18" s="7">
        <f t="shared" si="4"/>
        <v>0.51183333333333336</v>
      </c>
      <c r="U18" s="7">
        <f t="shared" si="1"/>
        <v>29.5</v>
      </c>
      <c r="V18" s="7">
        <f t="shared" si="1"/>
        <v>7.84</v>
      </c>
      <c r="W18" s="8">
        <f t="shared" si="1"/>
        <v>0</v>
      </c>
      <c r="X18" s="7">
        <f t="shared" si="1"/>
        <v>0.12</v>
      </c>
      <c r="Y18" s="7">
        <f t="shared" si="1"/>
        <v>0</v>
      </c>
      <c r="Z18" s="9">
        <f t="shared" si="2"/>
        <v>4.5800167181739964</v>
      </c>
      <c r="AA18" s="9">
        <f t="shared" si="3"/>
        <v>0.51183333333333336</v>
      </c>
      <c r="AB18" s="9">
        <f t="shared" si="2"/>
        <v>8.3491100798908153</v>
      </c>
      <c r="AC18" s="9">
        <f t="shared" si="2"/>
        <v>5.4715803134221925</v>
      </c>
      <c r="AD18" s="9">
        <f t="shared" si="3"/>
        <v>0</v>
      </c>
      <c r="AE18" s="9">
        <f t="shared" si="3"/>
        <v>0.12</v>
      </c>
      <c r="AF18" s="9">
        <f t="shared" si="3"/>
        <v>0</v>
      </c>
      <c r="AG18" s="18">
        <f t="shared" si="5"/>
        <v>2.7189343492600484</v>
      </c>
      <c r="AH18" s="19">
        <f t="shared" si="6"/>
        <v>8.3491100798908153</v>
      </c>
      <c r="AI18" s="20">
        <f t="shared" si="7"/>
        <v>7.3926039955861631</v>
      </c>
      <c r="AJ18" s="20">
        <f t="shared" si="7"/>
        <v>69.70763912613441</v>
      </c>
      <c r="AK18" s="21">
        <f t="shared" si="8"/>
        <v>6.208874419801087</v>
      </c>
      <c r="AL18" s="23" t="str">
        <f t="shared" si="9"/>
        <v>sedang</v>
      </c>
    </row>
    <row r="19" spans="1:38" ht="17.25" thickBot="1" x14ac:dyDescent="0.35">
      <c r="A19" s="13">
        <v>12</v>
      </c>
      <c r="B19" s="14" t="s">
        <v>32</v>
      </c>
      <c r="C19" s="14"/>
      <c r="D19" s="15">
        <v>41792</v>
      </c>
      <c r="E19" s="16">
        <v>542</v>
      </c>
      <c r="F19" s="17">
        <v>0</v>
      </c>
      <c r="G19" s="17">
        <v>47.1</v>
      </c>
      <c r="H19" s="17">
        <v>190</v>
      </c>
      <c r="I19" s="17"/>
      <c r="J19" s="17">
        <v>43</v>
      </c>
      <c r="K19" s="17"/>
      <c r="L19" s="6">
        <v>50</v>
      </c>
      <c r="M19" s="6">
        <v>4</v>
      </c>
      <c r="N19" s="6">
        <v>3</v>
      </c>
      <c r="O19" s="6">
        <v>25</v>
      </c>
      <c r="P19" s="6">
        <v>0.2</v>
      </c>
      <c r="Q19" s="6">
        <v>1000</v>
      </c>
      <c r="R19" s="6">
        <v>5000</v>
      </c>
      <c r="S19" s="7">
        <f t="shared" si="0"/>
        <v>10.84</v>
      </c>
      <c r="T19" s="7">
        <f t="shared" si="4"/>
        <v>0.58333333333333337</v>
      </c>
      <c r="U19" s="7">
        <f t="shared" si="1"/>
        <v>15.700000000000001</v>
      </c>
      <c r="V19" s="7">
        <f t="shared" si="1"/>
        <v>7.6</v>
      </c>
      <c r="W19" s="8">
        <f t="shared" si="1"/>
        <v>0</v>
      </c>
      <c r="X19" s="7">
        <f t="shared" si="1"/>
        <v>4.2999999999999997E-2</v>
      </c>
      <c r="Y19" s="7">
        <f t="shared" si="1"/>
        <v>0</v>
      </c>
      <c r="Z19" s="9">
        <f t="shared" si="2"/>
        <v>6.1751464110118404</v>
      </c>
      <c r="AA19" s="9">
        <f t="shared" si="3"/>
        <v>0.58333333333333337</v>
      </c>
      <c r="AB19" s="9">
        <f t="shared" si="2"/>
        <v>6.9794982620461692</v>
      </c>
      <c r="AC19" s="9">
        <f t="shared" si="2"/>
        <v>5.4040679614039568</v>
      </c>
      <c r="AD19" s="9">
        <f t="shared" si="3"/>
        <v>0</v>
      </c>
      <c r="AE19" s="9">
        <f t="shared" si="3"/>
        <v>4.2999999999999997E-2</v>
      </c>
      <c r="AF19" s="9">
        <f t="shared" si="3"/>
        <v>0</v>
      </c>
      <c r="AG19" s="18">
        <f t="shared" si="5"/>
        <v>2.7407208525421853</v>
      </c>
      <c r="AH19" s="19">
        <f t="shared" si="6"/>
        <v>6.9794982620461692</v>
      </c>
      <c r="AI19" s="20">
        <f t="shared" si="7"/>
        <v>7.5115507915595634</v>
      </c>
      <c r="AJ19" s="20">
        <f t="shared" si="7"/>
        <v>48.713395989905493</v>
      </c>
      <c r="AK19" s="21">
        <f t="shared" si="8"/>
        <v>5.3021197073182469</v>
      </c>
      <c r="AL19" s="23" t="str">
        <f t="shared" si="9"/>
        <v>sedang</v>
      </c>
    </row>
    <row r="20" spans="1:38" ht="17.25" thickBot="1" x14ac:dyDescent="0.35">
      <c r="A20" s="13">
        <v>13</v>
      </c>
      <c r="B20" s="14" t="s">
        <v>33</v>
      </c>
      <c r="C20" s="14"/>
      <c r="D20" s="15">
        <v>41766</v>
      </c>
      <c r="E20" s="16">
        <v>327</v>
      </c>
      <c r="F20" s="17">
        <v>0</v>
      </c>
      <c r="G20" s="17">
        <v>44.8</v>
      </c>
      <c r="H20" s="17">
        <v>340</v>
      </c>
      <c r="I20" s="17"/>
      <c r="J20" s="17">
        <v>1100</v>
      </c>
      <c r="K20" s="17"/>
      <c r="L20" s="6">
        <v>50</v>
      </c>
      <c r="M20" s="6">
        <v>4</v>
      </c>
      <c r="N20" s="6">
        <v>3</v>
      </c>
      <c r="O20" s="6">
        <v>25</v>
      </c>
      <c r="P20" s="6">
        <v>0.2</v>
      </c>
      <c r="Q20" s="6">
        <v>1000</v>
      </c>
      <c r="R20" s="6">
        <v>5000</v>
      </c>
      <c r="S20" s="7">
        <f t="shared" si="0"/>
        <v>6.54</v>
      </c>
      <c r="T20" s="7">
        <f t="shared" si="4"/>
        <v>0.58333333333333337</v>
      </c>
      <c r="U20" s="7">
        <f t="shared" si="1"/>
        <v>14.933333333333332</v>
      </c>
      <c r="V20" s="7">
        <f t="shared" si="1"/>
        <v>13.6</v>
      </c>
      <c r="W20" s="8">
        <f t="shared" si="1"/>
        <v>0</v>
      </c>
      <c r="X20" s="7">
        <f t="shared" si="1"/>
        <v>1.1000000000000001</v>
      </c>
      <c r="Y20" s="7">
        <f t="shared" si="1"/>
        <v>0</v>
      </c>
      <c r="Z20" s="9">
        <f t="shared" si="2"/>
        <v>5.0778887416213365</v>
      </c>
      <c r="AA20" s="9">
        <f t="shared" si="3"/>
        <v>0.58333333333333337</v>
      </c>
      <c r="AB20" s="9">
        <f t="shared" si="2"/>
        <v>6.8707837963924083</v>
      </c>
      <c r="AC20" s="9">
        <f t="shared" si="2"/>
        <v>6.6676945418510876</v>
      </c>
      <c r="AD20" s="9">
        <f t="shared" si="3"/>
        <v>0</v>
      </c>
      <c r="AE20" s="9">
        <f t="shared" si="3"/>
        <v>1.1000000000000001</v>
      </c>
      <c r="AF20" s="9">
        <f t="shared" si="3"/>
        <v>0</v>
      </c>
      <c r="AG20" s="18">
        <f t="shared" si="5"/>
        <v>2.8999572018854525</v>
      </c>
      <c r="AH20" s="19">
        <f t="shared" si="6"/>
        <v>6.8707837963924083</v>
      </c>
      <c r="AI20" s="20">
        <f t="shared" si="7"/>
        <v>8.4097517727673026</v>
      </c>
      <c r="AJ20" s="20">
        <f t="shared" si="7"/>
        <v>47.207669976768479</v>
      </c>
      <c r="AK20" s="21">
        <f t="shared" si="8"/>
        <v>5.2733965216706293</v>
      </c>
      <c r="AL20" s="23" t="str">
        <f t="shared" si="9"/>
        <v>sedang</v>
      </c>
    </row>
    <row r="21" spans="1:38" ht="17.25" thickBot="1" x14ac:dyDescent="0.35">
      <c r="A21" s="13">
        <v>14</v>
      </c>
      <c r="B21" s="14" t="s">
        <v>34</v>
      </c>
      <c r="C21" s="14"/>
      <c r="D21" s="15">
        <v>41767</v>
      </c>
      <c r="E21" s="16">
        <v>596</v>
      </c>
      <c r="F21" s="17">
        <v>2.2200000000000002</v>
      </c>
      <c r="G21" s="17">
        <v>1.87</v>
      </c>
      <c r="H21" s="17">
        <v>395</v>
      </c>
      <c r="I21" s="17"/>
      <c r="J21" s="17">
        <v>20</v>
      </c>
      <c r="K21" s="17"/>
      <c r="L21" s="6">
        <v>50</v>
      </c>
      <c r="M21" s="6">
        <v>4</v>
      </c>
      <c r="N21" s="6">
        <v>3</v>
      </c>
      <c r="O21" s="6">
        <v>25</v>
      </c>
      <c r="P21" s="6">
        <v>0.2</v>
      </c>
      <c r="Q21" s="6">
        <v>1000</v>
      </c>
      <c r="R21" s="6">
        <v>5000</v>
      </c>
      <c r="S21" s="7">
        <f t="shared" si="0"/>
        <v>11.92</v>
      </c>
      <c r="T21" s="7">
        <f t="shared" si="4"/>
        <v>0.39833333333333326</v>
      </c>
      <c r="U21" s="7">
        <f t="shared" si="1"/>
        <v>0.62333333333333341</v>
      </c>
      <c r="V21" s="7">
        <f t="shared" si="1"/>
        <v>15.8</v>
      </c>
      <c r="W21" s="8">
        <f t="shared" si="1"/>
        <v>0</v>
      </c>
      <c r="X21" s="7">
        <f t="shared" si="1"/>
        <v>0.02</v>
      </c>
      <c r="Y21" s="7">
        <f t="shared" si="1"/>
        <v>0</v>
      </c>
      <c r="Z21" s="9">
        <f t="shared" si="2"/>
        <v>6.381381277021088</v>
      </c>
      <c r="AA21" s="9">
        <f t="shared" si="3"/>
        <v>0.39833333333333326</v>
      </c>
      <c r="AB21" s="9">
        <f t="shared" si="3"/>
        <v>0.62333333333333341</v>
      </c>
      <c r="AC21" s="9">
        <f t="shared" si="2"/>
        <v>6.9932854347721136</v>
      </c>
      <c r="AD21" s="9">
        <f t="shared" si="3"/>
        <v>0</v>
      </c>
      <c r="AE21" s="9">
        <f t="shared" si="3"/>
        <v>0.02</v>
      </c>
      <c r="AF21" s="9">
        <f t="shared" si="3"/>
        <v>0</v>
      </c>
      <c r="AG21" s="18">
        <f t="shared" si="5"/>
        <v>2.0594761969228381</v>
      </c>
      <c r="AH21" s="19">
        <f t="shared" si="6"/>
        <v>6.9932854347721136</v>
      </c>
      <c r="AI21" s="20">
        <f t="shared" si="7"/>
        <v>4.2414422056917571</v>
      </c>
      <c r="AJ21" s="20">
        <f t="shared" si="7"/>
        <v>48.906041172195792</v>
      </c>
      <c r="AK21" s="21">
        <f t="shared" si="8"/>
        <v>5.1549725206778527</v>
      </c>
      <c r="AL21" s="23" t="str">
        <f t="shared" si="9"/>
        <v>sedang</v>
      </c>
    </row>
    <row r="22" spans="1:38" ht="17.25" thickBot="1" x14ac:dyDescent="0.35">
      <c r="A22" s="13">
        <v>15</v>
      </c>
      <c r="B22" s="14" t="s">
        <v>35</v>
      </c>
      <c r="C22" s="14"/>
      <c r="D22" s="15">
        <v>41792</v>
      </c>
      <c r="E22" s="16">
        <v>1510</v>
      </c>
      <c r="F22" s="17">
        <v>1.08</v>
      </c>
      <c r="G22" s="17">
        <v>93.6</v>
      </c>
      <c r="H22" s="17">
        <v>290</v>
      </c>
      <c r="I22" s="17"/>
      <c r="J22" s="17">
        <v>210</v>
      </c>
      <c r="K22" s="17"/>
      <c r="L22" s="6">
        <v>50</v>
      </c>
      <c r="M22" s="6">
        <v>4</v>
      </c>
      <c r="N22" s="6">
        <v>3</v>
      </c>
      <c r="O22" s="6">
        <v>25</v>
      </c>
      <c r="P22" s="6">
        <v>0.2</v>
      </c>
      <c r="Q22" s="6">
        <v>1000</v>
      </c>
      <c r="R22" s="6">
        <v>5000</v>
      </c>
      <c r="S22" s="7">
        <f t="shared" si="0"/>
        <v>30.2</v>
      </c>
      <c r="T22" s="7">
        <f>((7-F22)/(7-M22))/M22</f>
        <v>0.49333333333333335</v>
      </c>
      <c r="U22" s="7">
        <f t="shared" si="1"/>
        <v>31.2</v>
      </c>
      <c r="V22" s="7">
        <f t="shared" si="1"/>
        <v>11.6</v>
      </c>
      <c r="W22" s="8">
        <f t="shared" si="1"/>
        <v>0</v>
      </c>
      <c r="X22" s="7">
        <f t="shared" si="1"/>
        <v>0.21</v>
      </c>
      <c r="Y22" s="7">
        <f t="shared" si="1"/>
        <v>0</v>
      </c>
      <c r="Z22" s="9">
        <f t="shared" si="2"/>
        <v>8.4000347147857521</v>
      </c>
      <c r="AA22" s="9">
        <f t="shared" si="3"/>
        <v>0.49333333333333335</v>
      </c>
      <c r="AB22" s="9">
        <f t="shared" si="2"/>
        <v>8.4707729700922147</v>
      </c>
      <c r="AC22" s="9">
        <f t="shared" si="2"/>
        <v>6.3222899461345916</v>
      </c>
      <c r="AD22" s="9">
        <f t="shared" si="3"/>
        <v>0</v>
      </c>
      <c r="AE22" s="9">
        <f t="shared" si="3"/>
        <v>0.21</v>
      </c>
      <c r="AF22" s="9">
        <f t="shared" si="3"/>
        <v>0</v>
      </c>
      <c r="AG22" s="18">
        <f t="shared" si="5"/>
        <v>3.413775852049413</v>
      </c>
      <c r="AH22" s="19">
        <f t="shared" si="6"/>
        <v>8.4707729700922147</v>
      </c>
      <c r="AI22" s="20">
        <f t="shared" si="7"/>
        <v>11.653865568035696</v>
      </c>
      <c r="AJ22" s="20">
        <f t="shared" si="7"/>
        <v>71.753994710844879</v>
      </c>
      <c r="AK22" s="21">
        <f t="shared" si="8"/>
        <v>6.4578580148095766</v>
      </c>
      <c r="AL22" s="23" t="str">
        <f t="shared" si="9"/>
        <v>sedang</v>
      </c>
    </row>
    <row r="23" spans="1:38" ht="17.25" thickBot="1" x14ac:dyDescent="0.35">
      <c r="A23" s="13">
        <v>16</v>
      </c>
      <c r="B23" s="14" t="s">
        <v>21</v>
      </c>
      <c r="C23" s="14"/>
      <c r="D23" s="15">
        <v>42289</v>
      </c>
      <c r="E23" s="16">
        <v>105</v>
      </c>
      <c r="F23" s="17">
        <v>7.82</v>
      </c>
      <c r="G23" s="17">
        <v>2</v>
      </c>
      <c r="H23" s="17">
        <v>18.399999999999999</v>
      </c>
      <c r="I23" s="17"/>
      <c r="J23" s="17">
        <v>18</v>
      </c>
      <c r="K23" s="17">
        <v>75</v>
      </c>
      <c r="L23" s="6">
        <v>50</v>
      </c>
      <c r="M23" s="6">
        <v>4</v>
      </c>
      <c r="N23" s="6">
        <v>3</v>
      </c>
      <c r="O23" s="6">
        <v>25</v>
      </c>
      <c r="P23" s="6">
        <v>0.2</v>
      </c>
      <c r="Q23" s="6">
        <v>1000</v>
      </c>
      <c r="R23" s="6">
        <v>5000</v>
      </c>
      <c r="S23" s="7">
        <f t="shared" si="0"/>
        <v>2.1</v>
      </c>
      <c r="T23" s="7">
        <f t="shared" si="4"/>
        <v>-6.8333333333333357E-2</v>
      </c>
      <c r="U23" s="7">
        <f t="shared" si="1"/>
        <v>0.66666666666666663</v>
      </c>
      <c r="V23" s="7">
        <f t="shared" si="1"/>
        <v>0.73599999999999999</v>
      </c>
      <c r="W23" s="8">
        <f t="shared" si="1"/>
        <v>0</v>
      </c>
      <c r="X23" s="7">
        <f t="shared" si="1"/>
        <v>1.7999999999999999E-2</v>
      </c>
      <c r="Y23" s="7">
        <f t="shared" si="1"/>
        <v>1.4999999999999999E-2</v>
      </c>
      <c r="Z23" s="9">
        <f t="shared" si="2"/>
        <v>2.6110964736695967</v>
      </c>
      <c r="AA23" s="9">
        <f t="shared" si="2"/>
        <v>2.4557338086594283</v>
      </c>
      <c r="AB23" s="9">
        <f t="shared" si="3"/>
        <v>0.66666666666666663</v>
      </c>
      <c r="AC23" s="9">
        <f t="shared" si="3"/>
        <v>0.73599999999999999</v>
      </c>
      <c r="AD23" s="9">
        <f t="shared" si="3"/>
        <v>0</v>
      </c>
      <c r="AE23" s="9">
        <f t="shared" si="3"/>
        <v>1.7999999999999999E-2</v>
      </c>
      <c r="AF23" s="9">
        <f t="shared" si="3"/>
        <v>1.4999999999999999E-2</v>
      </c>
      <c r="AG23" s="18">
        <f t="shared" si="5"/>
        <v>0.92892813557081311</v>
      </c>
      <c r="AH23" s="19">
        <f t="shared" si="6"/>
        <v>2.6110964736695967</v>
      </c>
      <c r="AI23" s="20">
        <f t="shared" si="7"/>
        <v>0.86290748105506698</v>
      </c>
      <c r="AJ23" s="20">
        <f t="shared" si="7"/>
        <v>6.8178247948098027</v>
      </c>
      <c r="AK23" s="21">
        <f t="shared" si="8"/>
        <v>1.9596852139903578</v>
      </c>
      <c r="AL23" s="22" t="str">
        <f t="shared" si="9"/>
        <v>ringan</v>
      </c>
    </row>
    <row r="24" spans="1:38" ht="17.25" thickBot="1" x14ac:dyDescent="0.35">
      <c r="A24" s="13">
        <v>17</v>
      </c>
      <c r="B24" s="14" t="s">
        <v>22</v>
      </c>
      <c r="C24" s="14"/>
      <c r="D24" s="15">
        <v>42289</v>
      </c>
      <c r="E24" s="16">
        <v>181</v>
      </c>
      <c r="F24" s="17">
        <v>2.16</v>
      </c>
      <c r="G24" s="17">
        <v>5.73</v>
      </c>
      <c r="H24" s="17">
        <v>35.6</v>
      </c>
      <c r="I24" s="17"/>
      <c r="J24" s="17">
        <v>28</v>
      </c>
      <c r="K24" s="17">
        <v>150</v>
      </c>
      <c r="L24" s="6">
        <v>50</v>
      </c>
      <c r="M24" s="6">
        <v>4</v>
      </c>
      <c r="N24" s="6">
        <v>3</v>
      </c>
      <c r="O24" s="6">
        <v>25</v>
      </c>
      <c r="P24" s="6">
        <v>0.2</v>
      </c>
      <c r="Q24" s="6">
        <v>1000</v>
      </c>
      <c r="R24" s="6">
        <v>5000</v>
      </c>
      <c r="S24" s="7">
        <f t="shared" si="0"/>
        <v>3.62</v>
      </c>
      <c r="T24" s="7">
        <f t="shared" si="4"/>
        <v>0.40333333333333332</v>
      </c>
      <c r="U24" s="7">
        <f t="shared" ref="U24:Y37" si="10">G24/N24</f>
        <v>1.9100000000000001</v>
      </c>
      <c r="V24" s="7">
        <f t="shared" si="10"/>
        <v>1.4240000000000002</v>
      </c>
      <c r="W24" s="8">
        <f t="shared" si="10"/>
        <v>0</v>
      </c>
      <c r="X24" s="7">
        <f t="shared" si="10"/>
        <v>2.8000000000000001E-2</v>
      </c>
      <c r="Y24" s="7">
        <f t="shared" si="10"/>
        <v>0.03</v>
      </c>
      <c r="Z24" s="9">
        <f t="shared" si="2"/>
        <v>3.7935428526658286</v>
      </c>
      <c r="AA24" s="9">
        <f t="shared" ref="AA24:AA37" si="11">T24</f>
        <v>0.40333333333333332</v>
      </c>
      <c r="AB24" s="9">
        <f t="shared" si="2"/>
        <v>2.4051668362386378</v>
      </c>
      <c r="AC24" s="9">
        <f t="shared" si="2"/>
        <v>1.7675499465041882</v>
      </c>
      <c r="AD24" s="9">
        <f t="shared" ref="AD24:AF37" si="12">W24</f>
        <v>0</v>
      </c>
      <c r="AE24" s="9">
        <f t="shared" si="12"/>
        <v>2.8000000000000001E-2</v>
      </c>
      <c r="AF24" s="9">
        <f t="shared" si="12"/>
        <v>0.03</v>
      </c>
      <c r="AG24" s="18">
        <f t="shared" si="5"/>
        <v>1.203941852677427</v>
      </c>
      <c r="AH24" s="19">
        <f t="shared" si="6"/>
        <v>3.7935428526658286</v>
      </c>
      <c r="AI24" s="20">
        <f t="shared" si="7"/>
        <v>1.4494759846283554</v>
      </c>
      <c r="AJ24" s="20">
        <f t="shared" si="7"/>
        <v>14.390967375011993</v>
      </c>
      <c r="AK24" s="21">
        <f t="shared" si="8"/>
        <v>2.8142888408655167</v>
      </c>
      <c r="AL24" s="22" t="str">
        <f t="shared" si="9"/>
        <v>ringan</v>
      </c>
    </row>
    <row r="25" spans="1:38" ht="17.25" thickBot="1" x14ac:dyDescent="0.35">
      <c r="A25" s="13">
        <v>18</v>
      </c>
      <c r="B25" s="14" t="s">
        <v>23</v>
      </c>
      <c r="C25" s="14"/>
      <c r="D25" s="15">
        <v>42296</v>
      </c>
      <c r="E25" s="16">
        <v>1776</v>
      </c>
      <c r="F25" s="17">
        <v>0</v>
      </c>
      <c r="G25" s="17">
        <v>106</v>
      </c>
      <c r="H25" s="17">
        <v>762</v>
      </c>
      <c r="I25" s="17"/>
      <c r="J25" s="17">
        <v>150</v>
      </c>
      <c r="K25" s="17">
        <v>1100</v>
      </c>
      <c r="L25" s="6">
        <v>50</v>
      </c>
      <c r="M25" s="6">
        <v>4</v>
      </c>
      <c r="N25" s="6">
        <v>3</v>
      </c>
      <c r="O25" s="6">
        <v>25</v>
      </c>
      <c r="P25" s="6">
        <v>0.2</v>
      </c>
      <c r="Q25" s="6">
        <v>1000</v>
      </c>
      <c r="R25" s="6">
        <v>5000</v>
      </c>
      <c r="S25" s="7">
        <f t="shared" si="0"/>
        <v>35.520000000000003</v>
      </c>
      <c r="T25" s="7">
        <f t="shared" si="4"/>
        <v>0.58333333333333337</v>
      </c>
      <c r="U25" s="7">
        <f t="shared" si="10"/>
        <v>35.333333333333336</v>
      </c>
      <c r="V25" s="7">
        <f t="shared" si="10"/>
        <v>30.48</v>
      </c>
      <c r="W25" s="8">
        <f t="shared" si="10"/>
        <v>0</v>
      </c>
      <c r="X25" s="7">
        <f t="shared" si="10"/>
        <v>0.15</v>
      </c>
      <c r="Y25" s="7">
        <f t="shared" si="10"/>
        <v>0.22</v>
      </c>
      <c r="Z25" s="9">
        <f t="shared" si="2"/>
        <v>8.7523647855328175</v>
      </c>
      <c r="AA25" s="9">
        <f t="shared" si="11"/>
        <v>0.58333333333333337</v>
      </c>
      <c r="AB25" s="9">
        <f t="shared" si="2"/>
        <v>8.7409230527255382</v>
      </c>
      <c r="AC25" s="9">
        <f t="shared" si="2"/>
        <v>8.4200748133378145</v>
      </c>
      <c r="AD25" s="9">
        <f t="shared" si="12"/>
        <v>0</v>
      </c>
      <c r="AE25" s="9">
        <f t="shared" si="12"/>
        <v>0.15</v>
      </c>
      <c r="AF25" s="9">
        <f t="shared" si="12"/>
        <v>0.22</v>
      </c>
      <c r="AG25" s="18">
        <f t="shared" si="5"/>
        <v>3.8380994264184998</v>
      </c>
      <c r="AH25" s="19">
        <f t="shared" si="6"/>
        <v>8.7523647855328175</v>
      </c>
      <c r="AI25" s="20">
        <f t="shared" si="7"/>
        <v>14.731007207074017</v>
      </c>
      <c r="AJ25" s="20">
        <f t="shared" si="7"/>
        <v>76.603889339034922</v>
      </c>
      <c r="AK25" s="21">
        <f t="shared" si="8"/>
        <v>6.7577694746901855</v>
      </c>
      <c r="AL25" s="23" t="str">
        <f t="shared" si="9"/>
        <v>sedang</v>
      </c>
    </row>
    <row r="26" spans="1:38" ht="17.25" thickBot="1" x14ac:dyDescent="0.35">
      <c r="A26" s="13">
        <v>19</v>
      </c>
      <c r="B26" s="14" t="s">
        <v>24</v>
      </c>
      <c r="C26" s="14"/>
      <c r="D26" s="15">
        <v>42289</v>
      </c>
      <c r="E26" s="16">
        <v>492</v>
      </c>
      <c r="F26" s="17">
        <v>0</v>
      </c>
      <c r="G26" s="17">
        <v>76.8</v>
      </c>
      <c r="H26" s="17">
        <v>202</v>
      </c>
      <c r="I26" s="17"/>
      <c r="J26" s="17">
        <v>93</v>
      </c>
      <c r="K26" s="17">
        <v>150</v>
      </c>
      <c r="L26" s="6">
        <v>50</v>
      </c>
      <c r="M26" s="6">
        <v>4</v>
      </c>
      <c r="N26" s="6">
        <v>3</v>
      </c>
      <c r="O26" s="6">
        <v>25</v>
      </c>
      <c r="P26" s="6">
        <v>0.2</v>
      </c>
      <c r="Q26" s="6">
        <v>1000</v>
      </c>
      <c r="R26" s="6">
        <v>5000</v>
      </c>
      <c r="S26" s="7">
        <f t="shared" si="0"/>
        <v>9.84</v>
      </c>
      <c r="T26" s="7">
        <f t="shared" si="4"/>
        <v>0.58333333333333337</v>
      </c>
      <c r="U26" s="7">
        <f t="shared" si="10"/>
        <v>25.599999999999998</v>
      </c>
      <c r="V26" s="7">
        <f>H26/O26</f>
        <v>8.08</v>
      </c>
      <c r="W26" s="8">
        <f t="shared" si="10"/>
        <v>0</v>
      </c>
      <c r="X26" s="7">
        <f t="shared" si="10"/>
        <v>9.2999999999999999E-2</v>
      </c>
      <c r="Y26" s="7">
        <f t="shared" si="10"/>
        <v>0.03</v>
      </c>
      <c r="Z26" s="9">
        <f t="shared" si="2"/>
        <v>5.9649754921567073</v>
      </c>
      <c r="AA26" s="9">
        <f t="shared" si="11"/>
        <v>0.58333333333333337</v>
      </c>
      <c r="AB26" s="9">
        <f t="shared" si="2"/>
        <v>8.0411998265592484</v>
      </c>
      <c r="AC26" s="9">
        <f t="shared" si="2"/>
        <v>5.5370568038729306</v>
      </c>
      <c r="AD26" s="9">
        <f t="shared" si="12"/>
        <v>0</v>
      </c>
      <c r="AE26" s="9">
        <f t="shared" si="12"/>
        <v>9.2999999999999999E-2</v>
      </c>
      <c r="AF26" s="9">
        <f t="shared" si="12"/>
        <v>0.03</v>
      </c>
      <c r="AG26" s="18">
        <f t="shared" si="5"/>
        <v>2.8927950651317458</v>
      </c>
      <c r="AH26" s="19">
        <f t="shared" si="6"/>
        <v>8.0411998265592484</v>
      </c>
      <c r="AI26" s="20">
        <f t="shared" si="7"/>
        <v>8.3682632888505815</v>
      </c>
      <c r="AJ26" s="20">
        <f t="shared" si="7"/>
        <v>64.660894650656488</v>
      </c>
      <c r="AK26" s="21">
        <f t="shared" si="8"/>
        <v>6.042729430460505</v>
      </c>
      <c r="AL26" s="23" t="str">
        <f t="shared" si="9"/>
        <v>sedang</v>
      </c>
    </row>
    <row r="27" spans="1:38" ht="17.25" thickBot="1" x14ac:dyDescent="0.35">
      <c r="A27" s="13">
        <v>20</v>
      </c>
      <c r="B27" s="14" t="s">
        <v>25</v>
      </c>
      <c r="C27" s="14"/>
      <c r="D27" s="15">
        <v>42285</v>
      </c>
      <c r="E27" s="16">
        <v>2350</v>
      </c>
      <c r="F27" s="17">
        <v>1.18</v>
      </c>
      <c r="G27" s="17">
        <v>118</v>
      </c>
      <c r="H27" s="17">
        <v>410</v>
      </c>
      <c r="I27" s="17"/>
      <c r="J27" s="17">
        <v>43</v>
      </c>
      <c r="K27" s="17">
        <v>460</v>
      </c>
      <c r="L27" s="6">
        <v>50</v>
      </c>
      <c r="M27" s="6">
        <v>4</v>
      </c>
      <c r="N27" s="6">
        <v>3</v>
      </c>
      <c r="O27" s="6">
        <v>25</v>
      </c>
      <c r="P27" s="6">
        <v>0.2</v>
      </c>
      <c r="Q27" s="6">
        <v>1000</v>
      </c>
      <c r="R27" s="6">
        <v>5000</v>
      </c>
      <c r="S27" s="7">
        <f t="shared" si="0"/>
        <v>47</v>
      </c>
      <c r="T27" s="7">
        <f t="shared" si="4"/>
        <v>0.48500000000000004</v>
      </c>
      <c r="U27" s="7">
        <f t="shared" si="10"/>
        <v>39.333333333333336</v>
      </c>
      <c r="V27" s="7">
        <f>H27/O27</f>
        <v>16.399999999999999</v>
      </c>
      <c r="W27" s="8">
        <f t="shared" si="10"/>
        <v>0</v>
      </c>
      <c r="X27" s="7">
        <f t="shared" si="10"/>
        <v>4.2999999999999997E-2</v>
      </c>
      <c r="Y27" s="7">
        <f t="shared" si="10"/>
        <v>9.1999999999999998E-2</v>
      </c>
      <c r="Z27" s="9">
        <f t="shared" si="2"/>
        <v>9.3604892896785881</v>
      </c>
      <c r="AA27" s="9">
        <f t="shared" si="11"/>
        <v>0.48500000000000004</v>
      </c>
      <c r="AB27" s="9">
        <f t="shared" si="2"/>
        <v>8.9738037629323149</v>
      </c>
      <c r="AC27" s="9">
        <f>1+(5*(LOG10(H27/O27)))</f>
        <v>7.0742192402384889</v>
      </c>
      <c r="AD27" s="9">
        <f t="shared" si="12"/>
        <v>0</v>
      </c>
      <c r="AE27" s="9">
        <f t="shared" si="12"/>
        <v>4.2999999999999997E-2</v>
      </c>
      <c r="AF27" s="9">
        <f t="shared" si="12"/>
        <v>9.1999999999999998E-2</v>
      </c>
      <c r="AG27" s="18">
        <f t="shared" si="5"/>
        <v>3.7183588989784839</v>
      </c>
      <c r="AH27" s="19">
        <f t="shared" si="6"/>
        <v>9.3604892896785881</v>
      </c>
      <c r="AI27" s="20">
        <f t="shared" si="7"/>
        <v>13.826192901612483</v>
      </c>
      <c r="AJ27" s="20">
        <f t="shared" si="7"/>
        <v>87.618759742187564</v>
      </c>
      <c r="AK27" s="21">
        <f t="shared" si="8"/>
        <v>7.121971378902054</v>
      </c>
      <c r="AL27" s="23" t="str">
        <f t="shared" si="9"/>
        <v>sedang</v>
      </c>
    </row>
    <row r="28" spans="1:38" ht="17.25" thickBot="1" x14ac:dyDescent="0.35">
      <c r="A28" s="13">
        <v>21</v>
      </c>
      <c r="B28" s="14" t="s">
        <v>26</v>
      </c>
      <c r="C28" s="14"/>
      <c r="D28" s="15">
        <v>42296</v>
      </c>
      <c r="E28" s="16">
        <v>1680</v>
      </c>
      <c r="F28" s="17">
        <v>0</v>
      </c>
      <c r="G28" s="17">
        <v>282</v>
      </c>
      <c r="H28" s="17">
        <v>763</v>
      </c>
      <c r="I28" s="17"/>
      <c r="J28" s="17">
        <v>20</v>
      </c>
      <c r="K28" s="17">
        <v>210</v>
      </c>
      <c r="L28" s="6">
        <v>50</v>
      </c>
      <c r="M28" s="6">
        <v>4</v>
      </c>
      <c r="N28" s="6">
        <v>3</v>
      </c>
      <c r="O28" s="6">
        <v>25</v>
      </c>
      <c r="P28" s="6">
        <v>0.2</v>
      </c>
      <c r="Q28" s="6">
        <v>1000</v>
      </c>
      <c r="R28" s="6">
        <v>5000</v>
      </c>
      <c r="S28" s="7">
        <f t="shared" si="0"/>
        <v>33.6</v>
      </c>
      <c r="T28" s="7">
        <f t="shared" si="4"/>
        <v>0.58333333333333337</v>
      </c>
      <c r="U28" s="7">
        <f t="shared" si="10"/>
        <v>94</v>
      </c>
      <c r="V28" s="7">
        <f t="shared" si="10"/>
        <v>30.52</v>
      </c>
      <c r="W28" s="8">
        <f t="shared" si="10"/>
        <v>0</v>
      </c>
      <c r="X28" s="7">
        <f t="shared" si="10"/>
        <v>0.02</v>
      </c>
      <c r="Y28" s="7">
        <f t="shared" si="10"/>
        <v>4.2000000000000003E-2</v>
      </c>
      <c r="Z28" s="9">
        <f t="shared" si="2"/>
        <v>8.6316963869492209</v>
      </c>
      <c r="AA28" s="9">
        <f t="shared" si="11"/>
        <v>0.58333333333333337</v>
      </c>
      <c r="AB28" s="9">
        <f t="shared" si="2"/>
        <v>10.865639267998493</v>
      </c>
      <c r="AC28" s="9">
        <f>1+(5*(LOG10(H28/O28)))</f>
        <v>8.4229226464142144</v>
      </c>
      <c r="AD28" s="9">
        <f t="shared" si="12"/>
        <v>0</v>
      </c>
      <c r="AE28" s="9">
        <f t="shared" si="12"/>
        <v>0.02</v>
      </c>
      <c r="AF28" s="9">
        <f t="shared" si="12"/>
        <v>4.2000000000000003E-2</v>
      </c>
      <c r="AG28" s="18">
        <f t="shared" si="5"/>
        <v>4.0807988049564665</v>
      </c>
      <c r="AH28" s="19">
        <f t="shared" si="6"/>
        <v>10.865639267998493</v>
      </c>
      <c r="AI28" s="20">
        <f t="shared" si="7"/>
        <v>16.652918886534124</v>
      </c>
      <c r="AJ28" s="20">
        <f t="shared" si="7"/>
        <v>118.06211670227081</v>
      </c>
      <c r="AK28" s="21">
        <f t="shared" si="8"/>
        <v>8.207162590956905</v>
      </c>
      <c r="AL28" s="23" t="str">
        <f t="shared" si="9"/>
        <v>sedang</v>
      </c>
    </row>
    <row r="29" spans="1:38" ht="17.25" thickBot="1" x14ac:dyDescent="0.35">
      <c r="A29" s="13">
        <v>22</v>
      </c>
      <c r="B29" s="14" t="s">
        <v>27</v>
      </c>
      <c r="C29" s="14"/>
      <c r="D29" s="15">
        <v>42285</v>
      </c>
      <c r="E29" s="16">
        <v>386</v>
      </c>
      <c r="F29" s="17">
        <v>2.98</v>
      </c>
      <c r="G29" s="17">
        <v>23.1</v>
      </c>
      <c r="H29" s="17">
        <v>118</v>
      </c>
      <c r="I29" s="17"/>
      <c r="J29" s="17">
        <v>150</v>
      </c>
      <c r="K29" s="17">
        <v>210</v>
      </c>
      <c r="L29" s="6">
        <v>50</v>
      </c>
      <c r="M29" s="6">
        <v>4</v>
      </c>
      <c r="N29" s="6">
        <v>3</v>
      </c>
      <c r="O29" s="6">
        <v>25</v>
      </c>
      <c r="P29" s="6">
        <v>0.2</v>
      </c>
      <c r="Q29" s="6">
        <v>1000</v>
      </c>
      <c r="R29" s="6">
        <v>5000</v>
      </c>
      <c r="S29" s="7">
        <f t="shared" si="0"/>
        <v>7.72</v>
      </c>
      <c r="T29" s="7">
        <f t="shared" si="4"/>
        <v>0.33499999999999996</v>
      </c>
      <c r="U29" s="7">
        <f t="shared" si="10"/>
        <v>7.7</v>
      </c>
      <c r="V29" s="7">
        <f t="shared" si="10"/>
        <v>4.72</v>
      </c>
      <c r="W29" s="8">
        <f t="shared" si="10"/>
        <v>0</v>
      </c>
      <c r="X29" s="7">
        <f t="shared" si="10"/>
        <v>0.15</v>
      </c>
      <c r="Y29" s="7">
        <f t="shared" si="10"/>
        <v>4.2000000000000003E-2</v>
      </c>
      <c r="Z29" s="9">
        <f t="shared" si="2"/>
        <v>5.438086501678681</v>
      </c>
      <c r="AA29" s="9">
        <f t="shared" si="11"/>
        <v>0.33499999999999996</v>
      </c>
      <c r="AB29" s="9">
        <f t="shared" si="2"/>
        <v>5.4324536258624097</v>
      </c>
      <c r="AC29" s="9">
        <f t="shared" si="2"/>
        <v>4.3697099931704386</v>
      </c>
      <c r="AD29" s="9">
        <f t="shared" si="12"/>
        <v>0</v>
      </c>
      <c r="AE29" s="9">
        <f t="shared" si="12"/>
        <v>0.15</v>
      </c>
      <c r="AF29" s="9">
        <f t="shared" si="12"/>
        <v>4.2000000000000003E-2</v>
      </c>
      <c r="AG29" s="18">
        <f t="shared" si="5"/>
        <v>2.2524643029587899</v>
      </c>
      <c r="AH29" s="19">
        <f t="shared" si="6"/>
        <v>5.438086501678681</v>
      </c>
      <c r="AI29" s="20">
        <f t="shared" si="7"/>
        <v>5.0735954361036271</v>
      </c>
      <c r="AJ29" s="20">
        <f t="shared" si="7"/>
        <v>29.572784799739875</v>
      </c>
      <c r="AK29" s="21">
        <f t="shared" si="8"/>
        <v>4.162113659899469</v>
      </c>
      <c r="AL29" s="22" t="str">
        <f t="shared" si="9"/>
        <v>ringan</v>
      </c>
    </row>
    <row r="30" spans="1:38" ht="17.25" thickBot="1" x14ac:dyDescent="0.35">
      <c r="A30" s="13">
        <v>23</v>
      </c>
      <c r="B30" s="14" t="s">
        <v>28</v>
      </c>
      <c r="C30" s="14"/>
      <c r="D30" s="15">
        <f>D29</f>
        <v>42285</v>
      </c>
      <c r="E30" s="16">
        <v>413</v>
      </c>
      <c r="F30" s="17">
        <v>0.85799999999999998</v>
      </c>
      <c r="G30" s="17">
        <v>25.4</v>
      </c>
      <c r="H30" s="17">
        <v>126</v>
      </c>
      <c r="I30" s="17"/>
      <c r="J30" s="17">
        <v>120</v>
      </c>
      <c r="K30" s="17">
        <v>1100</v>
      </c>
      <c r="L30" s="6">
        <v>50</v>
      </c>
      <c r="M30" s="6">
        <v>4</v>
      </c>
      <c r="N30" s="6">
        <v>3</v>
      </c>
      <c r="O30" s="6">
        <v>25</v>
      </c>
      <c r="P30" s="6">
        <v>0.2</v>
      </c>
      <c r="Q30" s="6">
        <v>1000</v>
      </c>
      <c r="R30" s="6">
        <v>5000</v>
      </c>
      <c r="S30" s="7">
        <f t="shared" si="0"/>
        <v>8.26</v>
      </c>
      <c r="T30" s="7">
        <f t="shared" si="4"/>
        <v>0.51183333333333336</v>
      </c>
      <c r="U30" s="7">
        <f t="shared" si="10"/>
        <v>8.4666666666666668</v>
      </c>
      <c r="V30" s="7">
        <f t="shared" si="10"/>
        <v>5.04</v>
      </c>
      <c r="W30" s="8">
        <f t="shared" si="10"/>
        <v>0</v>
      </c>
      <c r="X30" s="7">
        <f t="shared" si="10"/>
        <v>0.12</v>
      </c>
      <c r="Y30" s="7">
        <f t="shared" si="10"/>
        <v>0.22</v>
      </c>
      <c r="Z30" s="9">
        <f t="shared" si="2"/>
        <v>5.5849002366019107</v>
      </c>
      <c r="AA30" s="9">
        <f t="shared" si="11"/>
        <v>0.51183333333333336</v>
      </c>
      <c r="AB30" s="9">
        <f t="shared" si="2"/>
        <v>5.6385623095013786</v>
      </c>
      <c r="AC30" s="9">
        <f t="shared" si="2"/>
        <v>4.5121526822276268</v>
      </c>
      <c r="AD30" s="9">
        <f t="shared" si="12"/>
        <v>0</v>
      </c>
      <c r="AE30" s="9">
        <f t="shared" si="12"/>
        <v>0.12</v>
      </c>
      <c r="AF30" s="9">
        <f t="shared" si="12"/>
        <v>0.22</v>
      </c>
      <c r="AG30" s="18">
        <f t="shared" si="5"/>
        <v>2.3696355088091785</v>
      </c>
      <c r="AH30" s="19">
        <f t="shared" si="6"/>
        <v>5.6385623095013786</v>
      </c>
      <c r="AI30" s="20">
        <f t="shared" si="7"/>
        <v>5.6151724446093345</v>
      </c>
      <c r="AJ30" s="20">
        <f t="shared" si="7"/>
        <v>31.793384918129519</v>
      </c>
      <c r="AK30" s="21">
        <f t="shared" si="8"/>
        <v>4.3248443534270029</v>
      </c>
      <c r="AL30" s="22" t="str">
        <f t="shared" si="9"/>
        <v>ringan</v>
      </c>
    </row>
    <row r="31" spans="1:38" ht="17.25" thickBot="1" x14ac:dyDescent="0.35">
      <c r="A31" s="13">
        <v>24</v>
      </c>
      <c r="B31" s="14" t="s">
        <v>29</v>
      </c>
      <c r="C31" s="14"/>
      <c r="D31" s="15">
        <v>42296</v>
      </c>
      <c r="E31" s="16">
        <v>620</v>
      </c>
      <c r="F31" s="17">
        <v>0</v>
      </c>
      <c r="G31" s="25">
        <v>62</v>
      </c>
      <c r="H31" s="17">
        <v>270</v>
      </c>
      <c r="I31" s="17"/>
      <c r="J31" s="17">
        <v>210</v>
      </c>
      <c r="K31" s="17">
        <v>1100</v>
      </c>
      <c r="L31" s="6">
        <v>50</v>
      </c>
      <c r="M31" s="6">
        <v>4</v>
      </c>
      <c r="N31" s="6">
        <v>3</v>
      </c>
      <c r="O31" s="6">
        <v>25</v>
      </c>
      <c r="P31" s="6">
        <v>0.2</v>
      </c>
      <c r="Q31" s="6">
        <v>1000</v>
      </c>
      <c r="R31" s="6">
        <v>5000</v>
      </c>
      <c r="S31" s="7">
        <f t="shared" si="0"/>
        <v>12.4</v>
      </c>
      <c r="T31" s="7">
        <f t="shared" si="4"/>
        <v>0.58333333333333337</v>
      </c>
      <c r="U31" s="7">
        <f t="shared" si="10"/>
        <v>20.666666666666668</v>
      </c>
      <c r="V31" s="7">
        <f t="shared" si="10"/>
        <v>10.8</v>
      </c>
      <c r="W31" s="8">
        <f t="shared" si="10"/>
        <v>0</v>
      </c>
      <c r="X31" s="7">
        <f t="shared" si="10"/>
        <v>0.21</v>
      </c>
      <c r="Y31" s="7">
        <f t="shared" si="10"/>
        <v>0.22</v>
      </c>
      <c r="Z31" s="9">
        <f t="shared" si="2"/>
        <v>6.4671084258111762</v>
      </c>
      <c r="AA31" s="9">
        <f t="shared" si="11"/>
        <v>0.58333333333333337</v>
      </c>
      <c r="AB31" s="9">
        <f t="shared" si="2"/>
        <v>7.5763521738929578</v>
      </c>
      <c r="AC31" s="9">
        <f t="shared" si="2"/>
        <v>6.167118777434748</v>
      </c>
      <c r="AD31" s="9">
        <f t="shared" si="12"/>
        <v>0</v>
      </c>
      <c r="AE31" s="9">
        <f t="shared" si="12"/>
        <v>0.21</v>
      </c>
      <c r="AF31" s="9">
        <f t="shared" si="12"/>
        <v>0.22</v>
      </c>
      <c r="AG31" s="18">
        <f t="shared" si="5"/>
        <v>3.0319875300674588</v>
      </c>
      <c r="AH31" s="19">
        <f t="shared" si="6"/>
        <v>7.5763521738929578</v>
      </c>
      <c r="AI31" s="20">
        <f t="shared" si="7"/>
        <v>9.1929483824845697</v>
      </c>
      <c r="AJ31" s="20">
        <f t="shared" si="7"/>
        <v>57.40111226285255</v>
      </c>
      <c r="AK31" s="21">
        <f t="shared" si="8"/>
        <v>5.7703579024761158</v>
      </c>
      <c r="AL31" s="23" t="str">
        <f t="shared" si="9"/>
        <v>sedang</v>
      </c>
    </row>
    <row r="32" spans="1:38" ht="17.25" thickBot="1" x14ac:dyDescent="0.35">
      <c r="A32" s="13">
        <v>25</v>
      </c>
      <c r="B32" s="14" t="s">
        <v>30</v>
      </c>
      <c r="C32" s="14"/>
      <c r="D32" s="15">
        <v>42289</v>
      </c>
      <c r="E32" s="16">
        <v>385</v>
      </c>
      <c r="F32" s="17">
        <v>0</v>
      </c>
      <c r="G32" s="17">
        <v>72.3</v>
      </c>
      <c r="H32" s="17">
        <v>187</v>
      </c>
      <c r="I32" s="17"/>
      <c r="J32" s="17">
        <v>210</v>
      </c>
      <c r="K32" s="17">
        <v>1100</v>
      </c>
      <c r="L32" s="6">
        <v>50</v>
      </c>
      <c r="M32" s="6">
        <v>4</v>
      </c>
      <c r="N32" s="6">
        <v>3</v>
      </c>
      <c r="O32" s="6">
        <v>25</v>
      </c>
      <c r="P32" s="6">
        <v>0.2</v>
      </c>
      <c r="Q32" s="6">
        <v>1000</v>
      </c>
      <c r="R32" s="6">
        <v>5000</v>
      </c>
      <c r="S32" s="7">
        <f t="shared" si="0"/>
        <v>7.7</v>
      </c>
      <c r="T32" s="7">
        <f t="shared" si="4"/>
        <v>0.58333333333333337</v>
      </c>
      <c r="U32" s="7">
        <f t="shared" si="10"/>
        <v>24.099999999999998</v>
      </c>
      <c r="V32" s="7">
        <f t="shared" si="10"/>
        <v>7.48</v>
      </c>
      <c r="W32" s="8">
        <f t="shared" si="10"/>
        <v>0</v>
      </c>
      <c r="X32" s="7">
        <f t="shared" si="10"/>
        <v>0.21</v>
      </c>
      <c r="Y32" s="7">
        <f t="shared" si="10"/>
        <v>0.22</v>
      </c>
      <c r="Z32" s="9">
        <f t="shared" si="2"/>
        <v>5.4324536258624097</v>
      </c>
      <c r="AA32" s="9">
        <f t="shared" si="11"/>
        <v>0.58333333333333337</v>
      </c>
      <c r="AB32" s="9">
        <f t="shared" si="2"/>
        <v>7.9100852128743417</v>
      </c>
      <c r="AC32" s="9">
        <f t="shared" si="2"/>
        <v>5.3695079893223072</v>
      </c>
      <c r="AD32" s="9">
        <f t="shared" si="12"/>
        <v>0</v>
      </c>
      <c r="AE32" s="9">
        <f t="shared" si="12"/>
        <v>0.21</v>
      </c>
      <c r="AF32" s="9">
        <f t="shared" si="12"/>
        <v>0.22</v>
      </c>
      <c r="AG32" s="18">
        <f t="shared" si="5"/>
        <v>2.8179114516274844</v>
      </c>
      <c r="AH32" s="19">
        <f t="shared" si="6"/>
        <v>7.9100852128743417</v>
      </c>
      <c r="AI32" s="20">
        <f t="shared" si="7"/>
        <v>7.9406249492133165</v>
      </c>
      <c r="AJ32" s="20">
        <f t="shared" si="7"/>
        <v>62.56944807493332</v>
      </c>
      <c r="AK32" s="21">
        <f t="shared" si="8"/>
        <v>5.9375951792011987</v>
      </c>
      <c r="AL32" s="23" t="str">
        <f t="shared" si="9"/>
        <v>sedang</v>
      </c>
    </row>
    <row r="33" spans="1:38" ht="17.25" thickBot="1" x14ac:dyDescent="0.35">
      <c r="A33" s="13">
        <v>26</v>
      </c>
      <c r="B33" s="14" t="s">
        <v>31</v>
      </c>
      <c r="C33" s="14"/>
      <c r="D33" s="15">
        <v>42289</v>
      </c>
      <c r="E33" s="16">
        <v>451</v>
      </c>
      <c r="F33" s="17">
        <v>0</v>
      </c>
      <c r="G33" s="17">
        <v>71.900000000000006</v>
      </c>
      <c r="H33" s="17">
        <v>246</v>
      </c>
      <c r="I33" s="17"/>
      <c r="J33" s="17">
        <v>43</v>
      </c>
      <c r="K33" s="17">
        <v>1100</v>
      </c>
      <c r="L33" s="6">
        <v>50</v>
      </c>
      <c r="M33" s="6">
        <v>4</v>
      </c>
      <c r="N33" s="6">
        <v>3</v>
      </c>
      <c r="O33" s="6">
        <v>25</v>
      </c>
      <c r="P33" s="6">
        <v>0.2</v>
      </c>
      <c r="Q33" s="6">
        <v>1000</v>
      </c>
      <c r="R33" s="6">
        <v>5000</v>
      </c>
      <c r="S33" s="7">
        <f t="shared" si="0"/>
        <v>9.02</v>
      </c>
      <c r="T33" s="7">
        <f t="shared" si="4"/>
        <v>0.58333333333333337</v>
      </c>
      <c r="U33" s="7">
        <f t="shared" si="10"/>
        <v>23.966666666666669</v>
      </c>
      <c r="V33" s="7">
        <f t="shared" si="10"/>
        <v>9.84</v>
      </c>
      <c r="W33" s="8">
        <f t="shared" si="10"/>
        <v>0</v>
      </c>
      <c r="X33" s="7">
        <f t="shared" si="10"/>
        <v>4.2999999999999997E-2</v>
      </c>
      <c r="Y33" s="7">
        <f t="shared" si="10"/>
        <v>0.22</v>
      </c>
      <c r="Z33" s="9">
        <f t="shared" si="2"/>
        <v>5.7760326877097086</v>
      </c>
      <c r="AA33" s="9">
        <f t="shared" si="11"/>
        <v>0.58333333333333337</v>
      </c>
      <c r="AB33" s="9">
        <f t="shared" si="2"/>
        <v>7.8980381783161011</v>
      </c>
      <c r="AC33" s="9">
        <f t="shared" si="2"/>
        <v>5.9649754921567073</v>
      </c>
      <c r="AD33" s="9">
        <f t="shared" si="12"/>
        <v>0</v>
      </c>
      <c r="AE33" s="9">
        <f t="shared" si="12"/>
        <v>4.2999999999999997E-2</v>
      </c>
      <c r="AF33" s="9">
        <f t="shared" si="12"/>
        <v>0.22</v>
      </c>
      <c r="AG33" s="18">
        <f t="shared" si="5"/>
        <v>2.9264828130736928</v>
      </c>
      <c r="AH33" s="19">
        <f t="shared" si="6"/>
        <v>7.8980381783161011</v>
      </c>
      <c r="AI33" s="20">
        <f t="shared" si="7"/>
        <v>8.564301655215715</v>
      </c>
      <c r="AJ33" s="20">
        <f t="shared" si="7"/>
        <v>62.379007066138719</v>
      </c>
      <c r="AK33" s="21">
        <f t="shared" si="8"/>
        <v>5.9558084556739415</v>
      </c>
      <c r="AL33" s="23" t="str">
        <f t="shared" si="9"/>
        <v>sedang</v>
      </c>
    </row>
    <row r="34" spans="1:38" ht="17.25" thickBot="1" x14ac:dyDescent="0.35">
      <c r="A34" s="13">
        <v>27</v>
      </c>
      <c r="B34" s="14" t="s">
        <v>32</v>
      </c>
      <c r="C34" s="14"/>
      <c r="D34" s="15">
        <v>42296</v>
      </c>
      <c r="E34" s="16">
        <v>2550</v>
      </c>
      <c r="F34" s="17">
        <v>0</v>
      </c>
      <c r="G34" s="17">
        <v>39.4</v>
      </c>
      <c r="H34" s="17">
        <v>315</v>
      </c>
      <c r="I34" s="17"/>
      <c r="J34" s="17">
        <v>28</v>
      </c>
      <c r="K34" s="17">
        <v>120</v>
      </c>
      <c r="L34" s="6">
        <v>50</v>
      </c>
      <c r="M34" s="6">
        <v>4</v>
      </c>
      <c r="N34" s="6">
        <v>3</v>
      </c>
      <c r="O34" s="6">
        <v>25</v>
      </c>
      <c r="P34" s="6">
        <v>0.2</v>
      </c>
      <c r="Q34" s="6">
        <v>1000</v>
      </c>
      <c r="R34" s="6">
        <v>5000</v>
      </c>
      <c r="S34" s="7">
        <f t="shared" si="0"/>
        <v>51</v>
      </c>
      <c r="T34" s="7">
        <f t="shared" si="4"/>
        <v>0.58333333333333337</v>
      </c>
      <c r="U34" s="7">
        <f t="shared" si="10"/>
        <v>13.133333333333333</v>
      </c>
      <c r="V34" s="7">
        <f t="shared" si="10"/>
        <v>12.6</v>
      </c>
      <c r="W34" s="8">
        <f t="shared" si="10"/>
        <v>0</v>
      </c>
      <c r="X34" s="7">
        <f t="shared" si="10"/>
        <v>2.8000000000000001E-2</v>
      </c>
      <c r="Y34" s="7">
        <f t="shared" si="10"/>
        <v>2.4E-2</v>
      </c>
      <c r="Z34" s="9">
        <f t="shared" si="2"/>
        <v>9.5378508804896818</v>
      </c>
      <c r="AA34" s="9">
        <f t="shared" si="11"/>
        <v>0.58333333333333337</v>
      </c>
      <c r="AB34" s="9">
        <f t="shared" si="2"/>
        <v>6.5918748355295591</v>
      </c>
      <c r="AC34" s="9">
        <f t="shared" si="2"/>
        <v>6.5018527255878151</v>
      </c>
      <c r="AD34" s="9">
        <f t="shared" si="12"/>
        <v>0</v>
      </c>
      <c r="AE34" s="9">
        <f t="shared" si="12"/>
        <v>2.8000000000000001E-2</v>
      </c>
      <c r="AF34" s="9">
        <f t="shared" si="12"/>
        <v>2.4E-2</v>
      </c>
      <c r="AG34" s="18">
        <f t="shared" si="5"/>
        <v>3.3238445392771987</v>
      </c>
      <c r="AH34" s="19">
        <f t="shared" si="6"/>
        <v>9.5378508804896818</v>
      </c>
      <c r="AI34" s="20">
        <f t="shared" si="7"/>
        <v>11.047942521282854</v>
      </c>
      <c r="AJ34" s="20">
        <f t="shared" si="7"/>
        <v>90.970599418457795</v>
      </c>
      <c r="AK34" s="21">
        <f t="shared" si="8"/>
        <v>7.1420774967701322</v>
      </c>
      <c r="AL34" s="23" t="str">
        <f t="shared" si="9"/>
        <v>sedang</v>
      </c>
    </row>
    <row r="35" spans="1:38" ht="17.25" thickBot="1" x14ac:dyDescent="0.35">
      <c r="A35" s="13">
        <v>28</v>
      </c>
      <c r="B35" s="14" t="s">
        <v>33</v>
      </c>
      <c r="C35" s="14"/>
      <c r="D35" s="15">
        <v>42285</v>
      </c>
      <c r="E35" s="16">
        <v>414</v>
      </c>
      <c r="F35" s="17">
        <v>0</v>
      </c>
      <c r="G35" s="17">
        <v>52.7</v>
      </c>
      <c r="H35" s="17">
        <v>176</v>
      </c>
      <c r="I35" s="17"/>
      <c r="J35" s="17">
        <v>460</v>
      </c>
      <c r="K35" s="17">
        <v>1100</v>
      </c>
      <c r="L35" s="6">
        <v>50</v>
      </c>
      <c r="M35" s="6">
        <v>4</v>
      </c>
      <c r="N35" s="6">
        <v>3</v>
      </c>
      <c r="O35" s="6">
        <v>25</v>
      </c>
      <c r="P35" s="6">
        <v>0.2</v>
      </c>
      <c r="Q35" s="6">
        <v>1000</v>
      </c>
      <c r="R35" s="6">
        <v>5000</v>
      </c>
      <c r="S35" s="7">
        <f t="shared" si="0"/>
        <v>8.2799999999999994</v>
      </c>
      <c r="T35" s="7">
        <f t="shared" si="4"/>
        <v>0.58333333333333337</v>
      </c>
      <c r="U35" s="7">
        <f t="shared" si="10"/>
        <v>17.566666666666666</v>
      </c>
      <c r="V35" s="7">
        <f t="shared" si="10"/>
        <v>7.04</v>
      </c>
      <c r="W35" s="8">
        <f t="shared" si="10"/>
        <v>0</v>
      </c>
      <c r="X35" s="7">
        <f t="shared" si="10"/>
        <v>0.46</v>
      </c>
      <c r="Y35" s="7">
        <f t="shared" si="10"/>
        <v>0.22</v>
      </c>
      <c r="Z35" s="9">
        <f t="shared" si="2"/>
        <v>5.5901516839244003</v>
      </c>
      <c r="AA35" s="9">
        <f t="shared" si="11"/>
        <v>0.58333333333333337</v>
      </c>
      <c r="AB35" s="9">
        <f t="shared" si="2"/>
        <v>7.2234468024644212</v>
      </c>
      <c r="AC35" s="9">
        <f t="shared" si="2"/>
        <v>5.2378632957105609</v>
      </c>
      <c r="AD35" s="9">
        <f t="shared" si="12"/>
        <v>0</v>
      </c>
      <c r="AE35" s="9">
        <f t="shared" si="12"/>
        <v>0.46</v>
      </c>
      <c r="AF35" s="9">
        <f t="shared" si="12"/>
        <v>0.22</v>
      </c>
      <c r="AG35" s="18">
        <f t="shared" si="5"/>
        <v>2.7592564450618164</v>
      </c>
      <c r="AH35" s="19">
        <f t="shared" si="6"/>
        <v>7.2234468024644212</v>
      </c>
      <c r="AI35" s="20">
        <f t="shared" si="7"/>
        <v>7.6134961296151733</v>
      </c>
      <c r="AJ35" s="20">
        <f t="shared" si="7"/>
        <v>52.178183708033472</v>
      </c>
      <c r="AK35" s="21">
        <f t="shared" si="8"/>
        <v>5.4677088363248023</v>
      </c>
      <c r="AL35" s="23" t="str">
        <f t="shared" si="9"/>
        <v>sedang</v>
      </c>
    </row>
    <row r="36" spans="1:38" ht="17.25" thickBot="1" x14ac:dyDescent="0.35">
      <c r="A36" s="13">
        <v>29</v>
      </c>
      <c r="B36" s="14" t="s">
        <v>34</v>
      </c>
      <c r="C36" s="14"/>
      <c r="D36" s="15">
        <v>42285</v>
      </c>
      <c r="E36" s="16">
        <v>1010</v>
      </c>
      <c r="F36" s="17">
        <v>0</v>
      </c>
      <c r="G36" s="17">
        <v>315</v>
      </c>
      <c r="H36" s="17">
        <v>778</v>
      </c>
      <c r="I36" s="17"/>
      <c r="J36" s="17">
        <v>75</v>
      </c>
      <c r="K36" s="17">
        <v>150</v>
      </c>
      <c r="L36" s="6">
        <v>50</v>
      </c>
      <c r="M36" s="6">
        <v>4</v>
      </c>
      <c r="N36" s="6">
        <v>3</v>
      </c>
      <c r="O36" s="6">
        <v>25</v>
      </c>
      <c r="P36" s="6">
        <v>0.2</v>
      </c>
      <c r="Q36" s="6">
        <v>1000</v>
      </c>
      <c r="R36" s="6">
        <v>5000</v>
      </c>
      <c r="S36" s="7">
        <f t="shared" si="0"/>
        <v>20.2</v>
      </c>
      <c r="T36" s="7">
        <f t="shared" si="4"/>
        <v>0.58333333333333337</v>
      </c>
      <c r="U36" s="7">
        <f t="shared" si="10"/>
        <v>105</v>
      </c>
      <c r="V36" s="7">
        <f t="shared" si="10"/>
        <v>31.12</v>
      </c>
      <c r="W36" s="8">
        <f t="shared" si="10"/>
        <v>0</v>
      </c>
      <c r="X36" s="7">
        <f t="shared" si="10"/>
        <v>7.4999999999999997E-2</v>
      </c>
      <c r="Y36" s="7">
        <f t="shared" si="10"/>
        <v>0.03</v>
      </c>
      <c r="Z36" s="9">
        <f t="shared" si="2"/>
        <v>7.5267568472331181</v>
      </c>
      <c r="AA36" s="9">
        <f t="shared" si="11"/>
        <v>0.58333333333333337</v>
      </c>
      <c r="AB36" s="9">
        <f t="shared" si="2"/>
        <v>11.105946495349691</v>
      </c>
      <c r="AC36" s="9">
        <f t="shared" si="2"/>
        <v>8.4651979415882561</v>
      </c>
      <c r="AD36" s="9">
        <f t="shared" si="12"/>
        <v>0</v>
      </c>
      <c r="AE36" s="9">
        <f t="shared" si="12"/>
        <v>7.4999999999999997E-2</v>
      </c>
      <c r="AF36" s="9">
        <f t="shared" si="12"/>
        <v>0.03</v>
      </c>
      <c r="AG36" s="18">
        <f t="shared" si="5"/>
        <v>3.9694620882149145</v>
      </c>
      <c r="AH36" s="19">
        <f t="shared" si="6"/>
        <v>11.105946495349691</v>
      </c>
      <c r="AI36" s="20">
        <f t="shared" si="7"/>
        <v>15.756629269775511</v>
      </c>
      <c r="AJ36" s="20">
        <f t="shared" si="7"/>
        <v>123.3420475575701</v>
      </c>
      <c r="AK36" s="21">
        <f t="shared" si="8"/>
        <v>8.3396245966873597</v>
      </c>
      <c r="AL36" s="23" t="str">
        <f t="shared" si="9"/>
        <v>sedang</v>
      </c>
    </row>
    <row r="37" spans="1:38" ht="16.5" x14ac:dyDescent="0.3">
      <c r="A37" s="13">
        <v>30</v>
      </c>
      <c r="B37" s="14" t="s">
        <v>35</v>
      </c>
      <c r="C37" s="14"/>
      <c r="D37" s="15">
        <v>42296</v>
      </c>
      <c r="E37" s="16">
        <v>1752</v>
      </c>
      <c r="F37" s="17">
        <v>0</v>
      </c>
      <c r="G37" s="17">
        <v>63.8</v>
      </c>
      <c r="H37" s="17">
        <v>627</v>
      </c>
      <c r="I37" s="17"/>
      <c r="J37" s="17">
        <v>18</v>
      </c>
      <c r="K37" s="17">
        <v>43</v>
      </c>
      <c r="L37" s="6">
        <v>50</v>
      </c>
      <c r="M37" s="6">
        <v>4</v>
      </c>
      <c r="N37" s="6">
        <v>3</v>
      </c>
      <c r="O37" s="6">
        <v>25</v>
      </c>
      <c r="P37" s="6">
        <v>0.2</v>
      </c>
      <c r="Q37" s="6">
        <v>1000</v>
      </c>
      <c r="R37" s="6">
        <v>5000</v>
      </c>
      <c r="S37" s="7">
        <f t="shared" si="0"/>
        <v>35.04</v>
      </c>
      <c r="T37" s="7">
        <f t="shared" si="4"/>
        <v>0.58333333333333337</v>
      </c>
      <c r="U37" s="7">
        <f t="shared" si="10"/>
        <v>21.266666666666666</v>
      </c>
      <c r="V37" s="7">
        <f t="shared" si="10"/>
        <v>25.08</v>
      </c>
      <c r="W37" s="8">
        <f t="shared" si="10"/>
        <v>0</v>
      </c>
      <c r="X37" s="7">
        <f t="shared" si="10"/>
        <v>1.7999999999999999E-2</v>
      </c>
      <c r="Y37" s="7">
        <f t="shared" si="10"/>
        <v>8.6E-3</v>
      </c>
      <c r="Z37" s="9">
        <f t="shared" si="2"/>
        <v>8.7228204874802149</v>
      </c>
      <c r="AA37" s="9">
        <f t="shared" si="11"/>
        <v>0.58333333333333337</v>
      </c>
      <c r="AB37" s="9">
        <f t="shared" si="2"/>
        <v>7.6384971200074991</v>
      </c>
      <c r="AC37" s="9">
        <f t="shared" si="2"/>
        <v>7.9966376607933949</v>
      </c>
      <c r="AD37" s="9">
        <f t="shared" si="12"/>
        <v>0</v>
      </c>
      <c r="AE37" s="9">
        <f t="shared" si="12"/>
        <v>1.7999999999999999E-2</v>
      </c>
      <c r="AF37" s="9">
        <f t="shared" si="12"/>
        <v>8.6E-3</v>
      </c>
      <c r="AG37" s="18">
        <f t="shared" si="5"/>
        <v>3.5668412288020641</v>
      </c>
      <c r="AH37" s="19">
        <f t="shared" si="6"/>
        <v>8.7228204874802149</v>
      </c>
      <c r="AI37" s="20">
        <f t="shared" si="7"/>
        <v>12.722356351482219</v>
      </c>
      <c r="AJ37" s="20">
        <f t="shared" si="7"/>
        <v>76.087597256804571</v>
      </c>
      <c r="AK37" s="21">
        <f t="shared" si="8"/>
        <v>6.6637059361997206</v>
      </c>
      <c r="AL37" s="23" t="str">
        <f t="shared" si="9"/>
        <v>sedang</v>
      </c>
    </row>
    <row r="39" spans="1:38" x14ac:dyDescent="0.25">
      <c r="A39" s="1" t="s">
        <v>36</v>
      </c>
    </row>
    <row r="40" spans="1:38" x14ac:dyDescent="0.25">
      <c r="A40" s="26" t="s">
        <v>37</v>
      </c>
      <c r="B40" s="1" t="s">
        <v>38</v>
      </c>
    </row>
    <row r="41" spans="1:38" x14ac:dyDescent="0.25">
      <c r="A41" s="26" t="s">
        <v>39</v>
      </c>
      <c r="B41" s="1" t="s">
        <v>40</v>
      </c>
      <c r="AH41" s="461" t="s">
        <v>364</v>
      </c>
    </row>
    <row r="42" spans="1:38" x14ac:dyDescent="0.25">
      <c r="AH42" s="461" t="s">
        <v>365</v>
      </c>
    </row>
    <row r="43" spans="1:38" ht="16.5" x14ac:dyDescent="0.3">
      <c r="A43" s="26" t="s">
        <v>41</v>
      </c>
      <c r="B43" s="27" t="s">
        <v>42</v>
      </c>
      <c r="D43" s="28"/>
    </row>
    <row r="44" spans="1:38" ht="16.5" x14ac:dyDescent="0.3">
      <c r="B44" s="29" t="s">
        <v>43</v>
      </c>
      <c r="C44" s="30" t="s">
        <v>44</v>
      </c>
      <c r="D44" s="30" t="s">
        <v>45</v>
      </c>
      <c r="E44" s="30" t="s">
        <v>46</v>
      </c>
      <c r="F44" s="31" t="s">
        <v>47</v>
      </c>
      <c r="AH44" s="461" t="s">
        <v>366</v>
      </c>
    </row>
    <row r="45" spans="1:38" x14ac:dyDescent="0.25">
      <c r="B45" s="13" t="s">
        <v>48</v>
      </c>
      <c r="C45" s="13">
        <v>0</v>
      </c>
      <c r="D45" s="32">
        <f>C45/C49</f>
        <v>0</v>
      </c>
      <c r="E45" s="13">
        <v>70</v>
      </c>
      <c r="F45" s="33">
        <f>E45*D45</f>
        <v>0</v>
      </c>
      <c r="AH45" s="461" t="s">
        <v>367</v>
      </c>
    </row>
    <row r="46" spans="1:38" x14ac:dyDescent="0.25">
      <c r="B46" s="13" t="s">
        <v>49</v>
      </c>
      <c r="C46" s="13">
        <v>12</v>
      </c>
      <c r="D46" s="32">
        <f>C46/C49</f>
        <v>0.4</v>
      </c>
      <c r="E46" s="13">
        <v>50</v>
      </c>
      <c r="F46" s="33">
        <f>D46*E46</f>
        <v>20</v>
      </c>
    </row>
    <row r="47" spans="1:38" x14ac:dyDescent="0.25">
      <c r="B47" s="13" t="s">
        <v>50</v>
      </c>
      <c r="C47" s="13">
        <v>18</v>
      </c>
      <c r="D47" s="32">
        <f>C47/C49</f>
        <v>0.6</v>
      </c>
      <c r="E47" s="13">
        <v>30</v>
      </c>
      <c r="F47" s="33">
        <f>E47*D47</f>
        <v>18</v>
      </c>
    </row>
    <row r="48" spans="1:38" x14ac:dyDescent="0.25">
      <c r="B48" s="13" t="s">
        <v>51</v>
      </c>
      <c r="C48" s="13">
        <v>0</v>
      </c>
      <c r="D48" s="32">
        <f>C48/C49</f>
        <v>0</v>
      </c>
      <c r="E48" s="13">
        <v>10</v>
      </c>
      <c r="F48" s="33">
        <f>E48*D48</f>
        <v>0</v>
      </c>
    </row>
    <row r="49" spans="2:6" x14ac:dyDescent="0.25">
      <c r="B49" s="13"/>
      <c r="C49" s="13">
        <f>SUM(C45:C48)</f>
        <v>30</v>
      </c>
      <c r="D49" s="34"/>
      <c r="E49" s="13"/>
      <c r="F49" s="35"/>
    </row>
    <row r="50" spans="2:6" x14ac:dyDescent="0.25">
      <c r="B50" s="36" t="s">
        <v>52</v>
      </c>
      <c r="C50" s="37"/>
      <c r="D50" s="37"/>
      <c r="E50" s="37"/>
      <c r="F50" s="38">
        <f>SUM(F45:F49)</f>
        <v>38</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50"/>
  <sheetViews>
    <sheetView view="pageBreakPreview" zoomScale="160" zoomScaleSheetLayoutView="160" workbookViewId="0">
      <selection activeCell="D8" sqref="D8"/>
    </sheetView>
  </sheetViews>
  <sheetFormatPr defaultColWidth="9.140625" defaultRowHeight="15" x14ac:dyDescent="0.25"/>
  <cols>
    <col min="1" max="2" width="9.140625" style="39"/>
    <col min="3" max="3" width="17.28515625" style="39" customWidth="1"/>
    <col min="4" max="4" width="19.42578125" style="39" customWidth="1"/>
    <col min="5" max="5" width="17.28515625" style="39" bestFit="1" customWidth="1"/>
    <col min="6" max="6" width="0" style="39" hidden="1" customWidth="1"/>
    <col min="7" max="8" width="11.140625" style="39" bestFit="1" customWidth="1"/>
    <col min="9" max="9" width="13.140625" style="39" customWidth="1"/>
    <col min="10" max="10" width="11.42578125" style="39" customWidth="1"/>
    <col min="11" max="11" width="11.7109375" style="39" customWidth="1"/>
    <col min="12" max="16384" width="9.140625" style="39"/>
  </cols>
  <sheetData>
    <row r="1" spans="1:12" ht="51" x14ac:dyDescent="0.35">
      <c r="A1" s="506" t="s">
        <v>4</v>
      </c>
      <c r="B1" s="506" t="s">
        <v>90</v>
      </c>
      <c r="C1" s="506" t="s">
        <v>89</v>
      </c>
      <c r="D1" s="507" t="s">
        <v>88</v>
      </c>
      <c r="E1" s="51" t="s">
        <v>87</v>
      </c>
      <c r="F1" s="51" t="s">
        <v>86</v>
      </c>
      <c r="G1" s="51" t="s">
        <v>85</v>
      </c>
      <c r="H1" s="52" t="s">
        <v>84</v>
      </c>
      <c r="I1" s="51" t="s">
        <v>83</v>
      </c>
      <c r="J1" s="51" t="s">
        <v>82</v>
      </c>
      <c r="K1" s="51" t="s">
        <v>81</v>
      </c>
      <c r="L1" s="50" t="s">
        <v>80</v>
      </c>
    </row>
    <row r="2" spans="1:12" ht="39.75" customHeight="1" x14ac:dyDescent="0.3">
      <c r="A2" s="506"/>
      <c r="B2" s="506"/>
      <c r="C2" s="506"/>
      <c r="D2" s="507"/>
      <c r="E2" s="48" t="s">
        <v>79</v>
      </c>
      <c r="F2" s="48" t="s">
        <v>79</v>
      </c>
      <c r="G2" s="48" t="s">
        <v>79</v>
      </c>
      <c r="H2" s="49" t="s">
        <v>79</v>
      </c>
      <c r="I2" s="48" t="s">
        <v>79</v>
      </c>
      <c r="J2" s="48" t="s">
        <v>79</v>
      </c>
      <c r="K2" s="47" t="s">
        <v>78</v>
      </c>
      <c r="L2" s="46" t="s">
        <v>78</v>
      </c>
    </row>
    <row r="3" spans="1:12" ht="16.5" x14ac:dyDescent="0.3">
      <c r="A3" s="508">
        <v>1</v>
      </c>
      <c r="B3" s="509" t="s">
        <v>77</v>
      </c>
      <c r="C3" s="509" t="s">
        <v>76</v>
      </c>
      <c r="D3" s="42" t="s">
        <v>75</v>
      </c>
      <c r="E3" s="41">
        <v>9.86</v>
      </c>
      <c r="F3" s="41"/>
      <c r="G3" s="41">
        <v>8.2100000000000009</v>
      </c>
      <c r="H3" s="41"/>
      <c r="I3" s="45">
        <f>AVERAGE(E3:E10)</f>
        <v>23.831250000000001</v>
      </c>
      <c r="J3" s="45">
        <f>AVERAGE(G3:G10)</f>
        <v>21.643749999999997</v>
      </c>
      <c r="K3" s="44">
        <f>((I3/20)+(J3/40))/2</f>
        <v>0.866328125</v>
      </c>
      <c r="L3" s="43">
        <f>100-(50/0.9*(K3-0.1))</f>
        <v>57.426215277777779</v>
      </c>
    </row>
    <row r="4" spans="1:12" ht="16.5" x14ac:dyDescent="0.3">
      <c r="A4" s="508"/>
      <c r="B4" s="509"/>
      <c r="C4" s="509"/>
      <c r="D4" s="42" t="s">
        <v>74</v>
      </c>
      <c r="E4" s="41">
        <v>95.77</v>
      </c>
      <c r="F4" s="41"/>
      <c r="G4" s="41">
        <v>13.75</v>
      </c>
      <c r="H4" s="41"/>
      <c r="I4" s="505"/>
      <c r="J4" s="505"/>
      <c r="K4" s="505"/>
      <c r="L4" s="505"/>
    </row>
    <row r="5" spans="1:12" ht="16.5" x14ac:dyDescent="0.3">
      <c r="A5" s="508"/>
      <c r="B5" s="509"/>
      <c r="C5" s="509"/>
      <c r="D5" s="42" t="s">
        <v>73</v>
      </c>
      <c r="E5" s="41">
        <v>16.7</v>
      </c>
      <c r="F5" s="41"/>
      <c r="G5" s="41">
        <v>10.14</v>
      </c>
      <c r="H5" s="41"/>
      <c r="I5" s="505"/>
      <c r="J5" s="505"/>
      <c r="K5" s="505"/>
      <c r="L5" s="505"/>
    </row>
    <row r="6" spans="1:12" ht="16.5" x14ac:dyDescent="0.3">
      <c r="A6" s="508"/>
      <c r="B6" s="509"/>
      <c r="C6" s="509"/>
      <c r="D6" s="42" t="s">
        <v>72</v>
      </c>
      <c r="E6" s="41">
        <v>44.24</v>
      </c>
      <c r="F6" s="41"/>
      <c r="G6" s="41">
        <v>10.92</v>
      </c>
      <c r="H6" s="41"/>
      <c r="I6" s="505"/>
      <c r="J6" s="505"/>
      <c r="K6" s="505"/>
      <c r="L6" s="505"/>
    </row>
    <row r="7" spans="1:12" ht="16.5" x14ac:dyDescent="0.3">
      <c r="A7" s="508"/>
      <c r="B7" s="509"/>
      <c r="C7" s="509"/>
      <c r="D7" s="42" t="s">
        <v>71</v>
      </c>
      <c r="E7" s="41">
        <v>2.19</v>
      </c>
      <c r="F7" s="41"/>
      <c r="G7" s="41">
        <v>95.77</v>
      </c>
      <c r="H7" s="41"/>
      <c r="I7" s="505"/>
      <c r="J7" s="505"/>
      <c r="K7" s="505"/>
      <c r="L7" s="505"/>
    </row>
    <row r="8" spans="1:12" ht="16.5" x14ac:dyDescent="0.3">
      <c r="A8" s="508"/>
      <c r="B8" s="509"/>
      <c r="C8" s="509"/>
      <c r="D8" s="42" t="s">
        <v>70</v>
      </c>
      <c r="E8" s="41">
        <v>6.4</v>
      </c>
      <c r="F8" s="41"/>
      <c r="G8" s="41">
        <v>10.039999999999999</v>
      </c>
      <c r="H8" s="41"/>
      <c r="I8" s="505"/>
      <c r="J8" s="505"/>
      <c r="K8" s="505"/>
      <c r="L8" s="505"/>
    </row>
    <row r="9" spans="1:12" ht="33" x14ac:dyDescent="0.3">
      <c r="A9" s="508"/>
      <c r="B9" s="509"/>
      <c r="C9" s="509"/>
      <c r="D9" s="42" t="s">
        <v>69</v>
      </c>
      <c r="E9" s="41">
        <v>5.27</v>
      </c>
      <c r="F9" s="41"/>
      <c r="G9" s="41">
        <v>9.3800000000000008</v>
      </c>
      <c r="H9" s="41"/>
      <c r="I9" s="505"/>
      <c r="J9" s="505"/>
      <c r="K9" s="505"/>
      <c r="L9" s="505"/>
    </row>
    <row r="10" spans="1:12" ht="16.5" x14ac:dyDescent="0.3">
      <c r="A10" s="508"/>
      <c r="B10" s="509"/>
      <c r="C10" s="509"/>
      <c r="D10" s="42" t="s">
        <v>68</v>
      </c>
      <c r="E10" s="41">
        <v>10.220000000000001</v>
      </c>
      <c r="F10" s="41"/>
      <c r="G10" s="41">
        <v>14.94</v>
      </c>
      <c r="H10" s="41"/>
      <c r="I10" s="505"/>
      <c r="J10" s="505"/>
      <c r="K10" s="505"/>
      <c r="L10" s="505"/>
    </row>
    <row r="11" spans="1:12" ht="16.5" x14ac:dyDescent="0.3">
      <c r="A11" s="40"/>
      <c r="B11" s="40"/>
      <c r="C11" s="40"/>
      <c r="D11" s="40"/>
      <c r="E11" s="40"/>
      <c r="F11" s="40"/>
      <c r="G11" s="40"/>
      <c r="H11" s="40"/>
    </row>
    <row r="12" spans="1:12" ht="16.5" x14ac:dyDescent="0.3">
      <c r="A12" s="40"/>
      <c r="B12" s="40"/>
      <c r="C12" s="40"/>
      <c r="D12" s="40"/>
      <c r="E12" s="40"/>
      <c r="F12" s="40"/>
      <c r="G12" s="40"/>
      <c r="H12" s="40"/>
    </row>
    <row r="13" spans="1:12" ht="16.5" x14ac:dyDescent="0.3">
      <c r="A13" s="40"/>
      <c r="B13" s="40"/>
      <c r="C13" s="40"/>
      <c r="D13" s="40"/>
      <c r="E13" s="40"/>
      <c r="F13" s="40"/>
      <c r="G13" s="40"/>
      <c r="H13" s="40"/>
    </row>
    <row r="17" spans="2:5" x14ac:dyDescent="0.25">
      <c r="B17" s="39" t="s">
        <v>67</v>
      </c>
    </row>
    <row r="18" spans="2:5" x14ac:dyDescent="0.25">
      <c r="B18" s="39" t="s">
        <v>64</v>
      </c>
      <c r="C18" s="39" t="s">
        <v>63</v>
      </c>
      <c r="D18" s="39" t="s">
        <v>66</v>
      </c>
      <c r="E18" s="39" t="s">
        <v>20</v>
      </c>
    </row>
    <row r="19" spans="2:5" x14ac:dyDescent="0.25">
      <c r="B19" s="39">
        <v>1</v>
      </c>
      <c r="C19" s="39" t="s">
        <v>21</v>
      </c>
      <c r="D19" s="39">
        <v>-21</v>
      </c>
      <c r="E19" s="39" t="s">
        <v>58</v>
      </c>
    </row>
    <row r="20" spans="2:5" x14ac:dyDescent="0.25">
      <c r="B20" s="39">
        <v>2</v>
      </c>
      <c r="C20" s="39" t="s">
        <v>61</v>
      </c>
      <c r="D20" s="39">
        <v>-21</v>
      </c>
      <c r="E20" s="39" t="s">
        <v>58</v>
      </c>
    </row>
    <row r="21" spans="2:5" x14ac:dyDescent="0.25">
      <c r="B21" s="39">
        <v>3</v>
      </c>
      <c r="C21" s="39" t="s">
        <v>60</v>
      </c>
      <c r="D21" s="39">
        <v>-36</v>
      </c>
      <c r="E21" s="39" t="s">
        <v>53</v>
      </c>
    </row>
    <row r="22" spans="2:5" x14ac:dyDescent="0.25">
      <c r="B22" s="39">
        <v>4</v>
      </c>
      <c r="C22" s="39" t="s">
        <v>30</v>
      </c>
      <c r="D22" s="39">
        <v>-48</v>
      </c>
      <c r="E22" s="39" t="s">
        <v>53</v>
      </c>
    </row>
    <row r="23" spans="2:5" x14ac:dyDescent="0.25">
      <c r="B23" s="39">
        <v>5</v>
      </c>
      <c r="C23" s="39" t="s">
        <v>31</v>
      </c>
      <c r="D23" s="39">
        <v>-48</v>
      </c>
      <c r="E23" s="39" t="s">
        <v>53</v>
      </c>
    </row>
    <row r="24" spans="2:5" x14ac:dyDescent="0.25">
      <c r="B24" s="39">
        <v>6</v>
      </c>
      <c r="C24" s="39" t="s">
        <v>32</v>
      </c>
      <c r="D24" s="39">
        <v>-54</v>
      </c>
      <c r="E24" s="39" t="s">
        <v>53</v>
      </c>
    </row>
    <row r="25" spans="2:5" x14ac:dyDescent="0.25">
      <c r="B25" s="39">
        <v>7</v>
      </c>
      <c r="C25" s="39" t="s">
        <v>24</v>
      </c>
      <c r="D25" s="39">
        <v>-36</v>
      </c>
      <c r="E25" s="39" t="s">
        <v>53</v>
      </c>
    </row>
    <row r="26" spans="2:5" x14ac:dyDescent="0.25">
      <c r="B26" s="39">
        <v>8</v>
      </c>
      <c r="C26" s="39" t="s">
        <v>65</v>
      </c>
      <c r="D26" s="39">
        <v>-51</v>
      </c>
      <c r="E26" s="39" t="s">
        <v>53</v>
      </c>
    </row>
    <row r="27" spans="2:5" x14ac:dyDescent="0.25">
      <c r="B27" s="39">
        <v>9</v>
      </c>
      <c r="C27" s="39" t="s">
        <v>26</v>
      </c>
      <c r="D27" s="39">
        <v>-60</v>
      </c>
      <c r="E27" s="39" t="s">
        <v>53</v>
      </c>
    </row>
    <row r="28" spans="2:5" x14ac:dyDescent="0.25">
      <c r="B28" s="39">
        <v>10</v>
      </c>
      <c r="C28" s="39" t="s">
        <v>33</v>
      </c>
      <c r="E28" s="39" t="s">
        <v>53</v>
      </c>
    </row>
    <row r="29" spans="2:5" x14ac:dyDescent="0.25">
      <c r="B29" s="39">
        <v>11</v>
      </c>
      <c r="C29" s="39" t="s">
        <v>34</v>
      </c>
      <c r="D29" s="39">
        <v>-51</v>
      </c>
      <c r="E29" s="39" t="s">
        <v>53</v>
      </c>
    </row>
    <row r="30" spans="2:5" x14ac:dyDescent="0.25">
      <c r="B30" s="39">
        <v>12</v>
      </c>
      <c r="C30" s="39" t="s">
        <v>54</v>
      </c>
      <c r="D30" s="39">
        <v>-54</v>
      </c>
      <c r="E30" s="39" t="s">
        <v>53</v>
      </c>
    </row>
    <row r="31" spans="2:5" x14ac:dyDescent="0.25">
      <c r="B31" s="39">
        <v>13</v>
      </c>
      <c r="C31" s="39" t="s">
        <v>27</v>
      </c>
      <c r="D31" s="39">
        <v>-51</v>
      </c>
      <c r="E31" s="39" t="s">
        <v>53</v>
      </c>
    </row>
    <row r="32" spans="2:5" x14ac:dyDescent="0.25">
      <c r="B32" s="39">
        <v>14</v>
      </c>
      <c r="C32" s="39" t="s">
        <v>28</v>
      </c>
      <c r="D32" s="39">
        <v>-45</v>
      </c>
      <c r="E32" s="39" t="s">
        <v>53</v>
      </c>
    </row>
    <row r="33" spans="2:5" x14ac:dyDescent="0.25">
      <c r="B33" s="39">
        <v>15</v>
      </c>
      <c r="C33" s="39" t="s">
        <v>29</v>
      </c>
      <c r="D33" s="39">
        <v>-36</v>
      </c>
      <c r="E33" s="39" t="s">
        <v>53</v>
      </c>
    </row>
    <row r="35" spans="2:5" x14ac:dyDescent="0.25">
      <c r="B35" s="39" t="s">
        <v>64</v>
      </c>
      <c r="C35" s="39" t="s">
        <v>63</v>
      </c>
      <c r="D35" s="39" t="s">
        <v>62</v>
      </c>
      <c r="E35" s="39" t="s">
        <v>20</v>
      </c>
    </row>
    <row r="36" spans="2:5" x14ac:dyDescent="0.25">
      <c r="B36" s="39">
        <v>1</v>
      </c>
      <c r="C36" s="39" t="s">
        <v>21</v>
      </c>
      <c r="D36" s="39">
        <v>1.5534067121083071</v>
      </c>
      <c r="E36" s="39" t="s">
        <v>55</v>
      </c>
    </row>
    <row r="37" spans="2:5" x14ac:dyDescent="0.25">
      <c r="B37" s="39">
        <v>2</v>
      </c>
      <c r="C37" s="39" t="s">
        <v>61</v>
      </c>
      <c r="D37" s="39">
        <v>3.193255044621397</v>
      </c>
      <c r="E37" s="39" t="s">
        <v>55</v>
      </c>
    </row>
    <row r="38" spans="2:5" x14ac:dyDescent="0.25">
      <c r="B38" s="39">
        <v>3</v>
      </c>
      <c r="C38" s="39" t="s">
        <v>60</v>
      </c>
      <c r="D38" s="39">
        <v>130.81780551275889</v>
      </c>
      <c r="E38" s="39" t="s">
        <v>53</v>
      </c>
    </row>
    <row r="39" spans="2:5" x14ac:dyDescent="0.25">
      <c r="B39" s="39">
        <v>4</v>
      </c>
      <c r="C39" s="39" t="s">
        <v>30</v>
      </c>
      <c r="D39" s="39">
        <v>13.207565114489205</v>
      </c>
      <c r="E39" s="39" t="s">
        <v>53</v>
      </c>
    </row>
    <row r="40" spans="2:5" x14ac:dyDescent="0.25">
      <c r="B40" s="39">
        <v>5</v>
      </c>
      <c r="C40" s="39" t="s">
        <v>31</v>
      </c>
      <c r="D40" s="39">
        <v>130.64535341165239</v>
      </c>
      <c r="E40" s="39" t="s">
        <v>53</v>
      </c>
    </row>
    <row r="41" spans="2:5" x14ac:dyDescent="0.25">
      <c r="B41" s="39">
        <v>6</v>
      </c>
      <c r="C41" s="39" t="s">
        <v>32</v>
      </c>
      <c r="D41" s="39">
        <v>130.86717160156678</v>
      </c>
      <c r="E41" s="39" t="s">
        <v>53</v>
      </c>
    </row>
    <row r="42" spans="2:5" x14ac:dyDescent="0.25">
      <c r="B42" s="39">
        <v>7</v>
      </c>
      <c r="C42" s="39" t="s">
        <v>59</v>
      </c>
      <c r="D42" s="39">
        <v>5.0009579252518108</v>
      </c>
      <c r="E42" s="39" t="s">
        <v>58</v>
      </c>
    </row>
    <row r="43" spans="2:5" x14ac:dyDescent="0.25">
      <c r="B43" s="39">
        <v>8</v>
      </c>
      <c r="C43" s="39" t="s">
        <v>57</v>
      </c>
      <c r="D43" s="39">
        <v>13.521459066286079</v>
      </c>
      <c r="E43" s="39" t="s">
        <v>53</v>
      </c>
    </row>
    <row r="44" spans="2:5" x14ac:dyDescent="0.25">
      <c r="B44" s="39">
        <v>9</v>
      </c>
      <c r="C44" s="39" t="s">
        <v>56</v>
      </c>
      <c r="D44" s="39">
        <v>280.86230240218975</v>
      </c>
      <c r="E44" s="39" t="s">
        <v>53</v>
      </c>
    </row>
    <row r="45" spans="2:5" x14ac:dyDescent="0.25">
      <c r="B45" s="39">
        <v>10</v>
      </c>
      <c r="C45" s="39" t="s">
        <v>33</v>
      </c>
      <c r="D45" s="39">
        <v>4.9547042979188891</v>
      </c>
      <c r="E45" s="39" t="s">
        <v>55</v>
      </c>
    </row>
    <row r="46" spans="2:5" x14ac:dyDescent="0.25">
      <c r="B46" s="39">
        <v>11</v>
      </c>
      <c r="C46" s="39" t="s">
        <v>34</v>
      </c>
      <c r="D46" s="39">
        <v>281.02586144487987</v>
      </c>
      <c r="E46" s="39" t="s">
        <v>53</v>
      </c>
    </row>
    <row r="47" spans="2:5" x14ac:dyDescent="0.25">
      <c r="B47" s="39">
        <v>12</v>
      </c>
      <c r="C47" s="39" t="s">
        <v>54</v>
      </c>
      <c r="D47" s="39">
        <v>351.36250577374619</v>
      </c>
      <c r="E47" s="39" t="s">
        <v>53</v>
      </c>
    </row>
    <row r="48" spans="2:5" x14ac:dyDescent="0.25">
      <c r="B48" s="39">
        <v>13</v>
      </c>
      <c r="C48" s="39" t="s">
        <v>27</v>
      </c>
      <c r="D48" s="39">
        <v>13.22195314156988</v>
      </c>
      <c r="E48" s="39" t="s">
        <v>53</v>
      </c>
    </row>
    <row r="49" spans="2:5" x14ac:dyDescent="0.25">
      <c r="B49" s="39">
        <v>14</v>
      </c>
      <c r="C49" s="39" t="s">
        <v>28</v>
      </c>
      <c r="D49" s="39">
        <v>22.302861675746211</v>
      </c>
      <c r="E49" s="39" t="s">
        <v>53</v>
      </c>
    </row>
    <row r="50" spans="2:5" x14ac:dyDescent="0.25">
      <c r="B50" s="39">
        <v>15</v>
      </c>
      <c r="C50" s="39" t="s">
        <v>29</v>
      </c>
      <c r="D50" s="39">
        <v>28.141726608196358</v>
      </c>
      <c r="E50" s="39" t="s">
        <v>53</v>
      </c>
    </row>
  </sheetData>
  <mergeCells count="8">
    <mergeCell ref="I4:L10"/>
    <mergeCell ref="A1:A2"/>
    <mergeCell ref="B1:B2"/>
    <mergeCell ref="C1:C2"/>
    <mergeCell ref="D1:D2"/>
    <mergeCell ref="A3:A10"/>
    <mergeCell ref="B3:B10"/>
    <mergeCell ref="C3:C10"/>
  </mergeCells>
  <pageMargins left="0.7" right="0.7" top="0.75" bottom="0.75" header="0.3" footer="0.3"/>
  <pageSetup paperSize="9" scale="5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47"/>
  <sheetViews>
    <sheetView topLeftCell="A21" zoomScale="141" zoomScaleNormal="115" workbookViewId="0">
      <selection activeCell="AH9" sqref="AH9"/>
    </sheetView>
  </sheetViews>
  <sheetFormatPr defaultColWidth="9.140625" defaultRowHeight="15" x14ac:dyDescent="0.25"/>
  <cols>
    <col min="1" max="1" width="4.140625" style="53" bestFit="1" customWidth="1"/>
    <col min="2" max="2" width="14.140625" style="53" customWidth="1"/>
    <col min="3" max="3" width="24.42578125" style="53" bestFit="1" customWidth="1"/>
    <col min="4" max="4" width="13.7109375" style="53" bestFit="1" customWidth="1"/>
    <col min="5" max="11" width="9.140625" style="53"/>
    <col min="12" max="32" width="0" style="53" hidden="1" customWidth="1"/>
    <col min="33" max="37" width="9.140625" style="53"/>
    <col min="38" max="38" width="18" style="53" customWidth="1"/>
    <col min="39" max="16384" width="9.140625" style="53"/>
  </cols>
  <sheetData>
    <row r="1" spans="1:39" x14ac:dyDescent="0.25">
      <c r="B1" s="54" t="s">
        <v>0</v>
      </c>
    </row>
    <row r="3" spans="1:39" x14ac:dyDescent="0.25">
      <c r="B3" s="55" t="s">
        <v>91</v>
      </c>
      <c r="AH3"/>
    </row>
    <row r="4" spans="1:39" x14ac:dyDescent="0.25">
      <c r="B4" s="54" t="s">
        <v>92</v>
      </c>
      <c r="C4" s="54" t="s">
        <v>93</v>
      </c>
    </row>
    <row r="6" spans="1:39" x14ac:dyDescent="0.25">
      <c r="B6" s="54" t="s">
        <v>3</v>
      </c>
    </row>
    <row r="7" spans="1:39" ht="33" x14ac:dyDescent="0.25">
      <c r="A7" s="56" t="s">
        <v>4</v>
      </c>
      <c r="B7" s="57" t="s">
        <v>5</v>
      </c>
      <c r="C7" s="57" t="s">
        <v>6</v>
      </c>
      <c r="D7" s="57" t="s">
        <v>7</v>
      </c>
      <c r="E7" s="58" t="s">
        <v>8</v>
      </c>
      <c r="F7" s="58" t="s">
        <v>9</v>
      </c>
      <c r="G7" s="58" t="s">
        <v>10</v>
      </c>
      <c r="H7" s="58" t="s">
        <v>11</v>
      </c>
      <c r="I7" s="58" t="s">
        <v>12</v>
      </c>
      <c r="J7" s="58" t="s">
        <v>13</v>
      </c>
      <c r="K7" s="58" t="s">
        <v>14</v>
      </c>
      <c r="L7" s="59" t="s">
        <v>8</v>
      </c>
      <c r="M7" s="59" t="s">
        <v>9</v>
      </c>
      <c r="N7" s="59" t="s">
        <v>10</v>
      </c>
      <c r="O7" s="59" t="s">
        <v>11</v>
      </c>
      <c r="P7" s="59" t="s">
        <v>12</v>
      </c>
      <c r="Q7" s="59" t="s">
        <v>13</v>
      </c>
      <c r="R7" s="59"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60" t="s">
        <v>15</v>
      </c>
      <c r="AH7" s="60" t="s">
        <v>16</v>
      </c>
      <c r="AI7" s="60" t="s">
        <v>17</v>
      </c>
      <c r="AJ7" s="60" t="s">
        <v>18</v>
      </c>
      <c r="AK7" s="60" t="s">
        <v>19</v>
      </c>
      <c r="AL7" s="61" t="s">
        <v>20</v>
      </c>
    </row>
    <row r="8" spans="1:39" ht="16.5" x14ac:dyDescent="0.3">
      <c r="A8" s="62">
        <v>1</v>
      </c>
      <c r="B8" s="63" t="s">
        <v>21</v>
      </c>
      <c r="C8" s="64" t="s">
        <v>94</v>
      </c>
      <c r="D8" s="65" t="s">
        <v>95</v>
      </c>
      <c r="E8" s="66">
        <v>183</v>
      </c>
      <c r="F8" s="67">
        <v>5.26</v>
      </c>
      <c r="G8" s="67">
        <v>2.6</v>
      </c>
      <c r="H8" s="67">
        <v>80.099999999999994</v>
      </c>
      <c r="I8" s="67">
        <v>0.01</v>
      </c>
      <c r="J8" s="67">
        <v>20</v>
      </c>
      <c r="K8" s="67">
        <v>28</v>
      </c>
      <c r="L8" s="59">
        <v>50</v>
      </c>
      <c r="M8" s="59">
        <v>4</v>
      </c>
      <c r="N8" s="59">
        <v>3</v>
      </c>
      <c r="O8" s="59">
        <v>25</v>
      </c>
      <c r="P8" s="59">
        <v>0.2</v>
      </c>
      <c r="Q8" s="59">
        <v>1000</v>
      </c>
      <c r="R8" s="59">
        <v>5000</v>
      </c>
      <c r="S8" s="7">
        <f t="shared" ref="S8:S37" si="0">E8/L8</f>
        <v>3.66</v>
      </c>
      <c r="T8" s="7">
        <f t="shared" ref="T8:T37" si="1">((7-F8)/(7-M8))/M8</f>
        <v>0.14500000000000002</v>
      </c>
      <c r="U8" s="7">
        <f t="shared" ref="U8:Y23" si="2">G8/N8</f>
        <v>0.8666666666666667</v>
      </c>
      <c r="V8" s="7">
        <f t="shared" si="2"/>
        <v>3.2039999999999997</v>
      </c>
      <c r="W8" s="8">
        <f t="shared" si="2"/>
        <v>4.9999999999999996E-2</v>
      </c>
      <c r="X8" s="7">
        <f t="shared" si="2"/>
        <v>0.02</v>
      </c>
      <c r="Y8" s="7">
        <f t="shared" si="2"/>
        <v>5.5999999999999999E-3</v>
      </c>
      <c r="Z8" s="9">
        <f t="shared" ref="Z8:AE23" si="3">S8</f>
        <v>3.66</v>
      </c>
      <c r="AA8" s="9">
        <f t="shared" si="3"/>
        <v>0.14500000000000002</v>
      </c>
      <c r="AB8" s="9">
        <f t="shared" si="3"/>
        <v>0.8666666666666667</v>
      </c>
      <c r="AC8" s="9">
        <f t="shared" si="3"/>
        <v>3.2039999999999997</v>
      </c>
      <c r="AD8" s="10">
        <f t="shared" si="3"/>
        <v>4.9999999999999996E-2</v>
      </c>
      <c r="AE8" s="9">
        <f t="shared" si="3"/>
        <v>0.02</v>
      </c>
      <c r="AF8" s="9">
        <f t="shared" ref="AF8:AF37" si="4">1+(5*(LOG10(K8/R8)))</f>
        <v>-10.259059864968998</v>
      </c>
      <c r="AG8" s="68">
        <f t="shared" ref="AG8:AG37" si="5">AVERAGE(Z8:AF8)</f>
        <v>-0.33048474261461891</v>
      </c>
      <c r="AH8" s="69">
        <f t="shared" ref="AH8:AH37" si="6">MAX(Z8:AG8)</f>
        <v>3.66</v>
      </c>
      <c r="AI8" s="70">
        <f t="shared" ref="AI8:AJ37" si="7">POWER(AG8,2)</f>
        <v>0.10922016510105091</v>
      </c>
      <c r="AJ8" s="70">
        <f t="shared" si="7"/>
        <v>13.395600000000002</v>
      </c>
      <c r="AK8" s="71">
        <f t="shared" ref="AK8:AK37" si="8">SQRT((AI8+AJ8)/2)</f>
        <v>2.5985399905621094</v>
      </c>
      <c r="AL8" s="72" t="str">
        <f>IF(ISNUMBER(AK8),IF(AK8&lt;=1,"memenuhi",IF(AK8&lt;=5,"ringan",IF(AK8&lt;=10,"sedang","berat"))),"")</f>
        <v>ringan</v>
      </c>
      <c r="AM8" s="53">
        <v>1</v>
      </c>
    </row>
    <row r="9" spans="1:39" ht="16.5" x14ac:dyDescent="0.3">
      <c r="A9" s="62">
        <v>2</v>
      </c>
      <c r="B9" s="63" t="s">
        <v>61</v>
      </c>
      <c r="C9" s="63" t="s">
        <v>96</v>
      </c>
      <c r="D9" s="65" t="s">
        <v>95</v>
      </c>
      <c r="E9" s="73">
        <v>58.5</v>
      </c>
      <c r="F9" s="74">
        <v>6.11</v>
      </c>
      <c r="G9" s="74">
        <v>5.78</v>
      </c>
      <c r="H9" s="74">
        <v>49.7</v>
      </c>
      <c r="I9" s="74">
        <v>1.7999999999999999E-2</v>
      </c>
      <c r="J9" s="74">
        <v>18</v>
      </c>
      <c r="K9" s="74">
        <v>21</v>
      </c>
      <c r="L9" s="59">
        <v>50</v>
      </c>
      <c r="M9" s="59">
        <v>4</v>
      </c>
      <c r="N9" s="59">
        <v>3</v>
      </c>
      <c r="O9" s="59">
        <v>25</v>
      </c>
      <c r="P9" s="59">
        <v>0.2</v>
      </c>
      <c r="Q9" s="59">
        <v>1000</v>
      </c>
      <c r="R9" s="59">
        <v>5000</v>
      </c>
      <c r="S9" s="7">
        <f t="shared" si="0"/>
        <v>1.17</v>
      </c>
      <c r="T9" s="7">
        <f t="shared" si="1"/>
        <v>7.4166666666666645E-2</v>
      </c>
      <c r="U9" s="7">
        <f t="shared" si="2"/>
        <v>1.9266666666666667</v>
      </c>
      <c r="V9" s="7">
        <f t="shared" si="2"/>
        <v>1.9880000000000002</v>
      </c>
      <c r="W9" s="8">
        <f t="shared" si="2"/>
        <v>8.9999999999999983E-2</v>
      </c>
      <c r="X9" s="7">
        <f t="shared" si="2"/>
        <v>1.7999999999999999E-2</v>
      </c>
      <c r="Y9" s="7">
        <f t="shared" si="2"/>
        <v>4.1999999999999997E-3</v>
      </c>
      <c r="Z9" s="9">
        <f t="shared" si="3"/>
        <v>1.17</v>
      </c>
      <c r="AA9" s="9">
        <f t="shared" si="3"/>
        <v>7.4166666666666645E-2</v>
      </c>
      <c r="AB9" s="9">
        <f t="shared" si="3"/>
        <v>1.9266666666666667</v>
      </c>
      <c r="AC9" s="9">
        <f t="shared" si="3"/>
        <v>1.9880000000000002</v>
      </c>
      <c r="AD9" s="10">
        <f t="shared" si="3"/>
        <v>8.9999999999999983E-2</v>
      </c>
      <c r="AE9" s="9">
        <f t="shared" si="3"/>
        <v>1.7999999999999999E-2</v>
      </c>
      <c r="AF9" s="9">
        <f t="shared" si="4"/>
        <v>-10.883753548010498</v>
      </c>
      <c r="AG9" s="68">
        <f t="shared" si="5"/>
        <v>-0.80241717352530917</v>
      </c>
      <c r="AH9" s="69">
        <f t="shared" si="6"/>
        <v>1.9880000000000002</v>
      </c>
      <c r="AI9" s="70">
        <f t="shared" si="7"/>
        <v>0.6438733203683461</v>
      </c>
      <c r="AJ9" s="70">
        <f t="shared" si="7"/>
        <v>3.952144000000001</v>
      </c>
      <c r="AK9" s="71">
        <f t="shared" si="8"/>
        <v>1.5159184213486467</v>
      </c>
      <c r="AL9" s="72" t="str">
        <f>IF(ISNUMBER(AK9),IF(AK9&lt;=1,"memenuhi",IF(AK9&lt;=5,"ringan",IF(AK9&lt;=10,"sedang","berat"))),"")</f>
        <v>ringan</v>
      </c>
      <c r="AM9" s="53">
        <v>2</v>
      </c>
    </row>
    <row r="10" spans="1:39" ht="16.5" x14ac:dyDescent="0.3">
      <c r="A10" s="62">
        <v>3</v>
      </c>
      <c r="B10" s="63" t="s">
        <v>60</v>
      </c>
      <c r="C10" s="64" t="s">
        <v>97</v>
      </c>
      <c r="D10" s="65" t="s">
        <v>98</v>
      </c>
      <c r="E10" s="73">
        <v>19.3</v>
      </c>
      <c r="F10" s="74">
        <v>5.12</v>
      </c>
      <c r="G10" s="74">
        <v>15.7</v>
      </c>
      <c r="H10" s="74">
        <v>111</v>
      </c>
      <c r="I10" s="74">
        <v>0.246</v>
      </c>
      <c r="J10" s="74">
        <v>75</v>
      </c>
      <c r="K10" s="74">
        <v>75</v>
      </c>
      <c r="L10" s="59">
        <v>50</v>
      </c>
      <c r="M10" s="59">
        <v>4</v>
      </c>
      <c r="N10" s="59">
        <v>3</v>
      </c>
      <c r="O10" s="59">
        <v>25</v>
      </c>
      <c r="P10" s="59">
        <v>0.2</v>
      </c>
      <c r="Q10" s="59">
        <v>1000</v>
      </c>
      <c r="R10" s="59">
        <v>5000</v>
      </c>
      <c r="S10" s="7">
        <f t="shared" si="0"/>
        <v>0.38600000000000001</v>
      </c>
      <c r="T10" s="7">
        <f t="shared" si="1"/>
        <v>0.15666666666666665</v>
      </c>
      <c r="U10" s="7">
        <f t="shared" si="2"/>
        <v>5.2333333333333334</v>
      </c>
      <c r="V10" s="7">
        <f t="shared" si="2"/>
        <v>4.4400000000000004</v>
      </c>
      <c r="W10" s="8">
        <f t="shared" si="2"/>
        <v>1.23</v>
      </c>
      <c r="X10" s="7">
        <f t="shared" si="2"/>
        <v>7.4999999999999997E-2</v>
      </c>
      <c r="Y10" s="7">
        <f t="shared" si="2"/>
        <v>1.4999999999999999E-2</v>
      </c>
      <c r="Z10" s="9">
        <f t="shared" si="3"/>
        <v>0.38600000000000001</v>
      </c>
      <c r="AA10" s="9">
        <f t="shared" si="3"/>
        <v>0.15666666666666665</v>
      </c>
      <c r="AB10" s="9">
        <f t="shared" si="3"/>
        <v>5.2333333333333334</v>
      </c>
      <c r="AC10" s="9">
        <f t="shared" si="3"/>
        <v>4.4400000000000004</v>
      </c>
      <c r="AD10" s="10">
        <f t="shared" si="3"/>
        <v>1.23</v>
      </c>
      <c r="AE10" s="9">
        <f t="shared" si="3"/>
        <v>7.4999999999999997E-2</v>
      </c>
      <c r="AF10" s="9">
        <f t="shared" si="4"/>
        <v>-8.119543704721595</v>
      </c>
      <c r="AG10" s="68">
        <f t="shared" si="5"/>
        <v>0.48592232789691508</v>
      </c>
      <c r="AH10" s="69">
        <f t="shared" si="6"/>
        <v>5.2333333333333334</v>
      </c>
      <c r="AI10" s="70">
        <f t="shared" si="7"/>
        <v>0.23612050874875706</v>
      </c>
      <c r="AJ10" s="70">
        <f t="shared" si="7"/>
        <v>27.387777777777778</v>
      </c>
      <c r="AK10" s="71">
        <f t="shared" si="8"/>
        <v>3.7164430768226855</v>
      </c>
      <c r="AL10" s="72" t="str">
        <f>IF(ISNUMBER(AK10),IF(AK10&lt;=1,"memenuhi",IF(AK10&lt;=5,"ringan",IF(AK10&lt;=10,"sedang","berat"))),"")</f>
        <v>ringan</v>
      </c>
      <c r="AM10" s="53">
        <v>3</v>
      </c>
    </row>
    <row r="11" spans="1:39" ht="16.5" x14ac:dyDescent="0.3">
      <c r="A11" s="62">
        <v>4</v>
      </c>
      <c r="B11" s="63" t="s">
        <v>30</v>
      </c>
      <c r="C11" s="75" t="s">
        <v>99</v>
      </c>
      <c r="D11" s="65" t="s">
        <v>95</v>
      </c>
      <c r="E11" s="76">
        <v>127</v>
      </c>
      <c r="F11" s="74">
        <v>4.26</v>
      </c>
      <c r="G11" s="74">
        <v>11.8</v>
      </c>
      <c r="H11" s="74">
        <v>60.9</v>
      </c>
      <c r="I11" s="74">
        <v>0.01</v>
      </c>
      <c r="J11" s="74">
        <v>240</v>
      </c>
      <c r="K11" s="74">
        <v>460</v>
      </c>
      <c r="L11" s="59">
        <v>50</v>
      </c>
      <c r="M11" s="59">
        <v>4</v>
      </c>
      <c r="N11" s="59">
        <v>3</v>
      </c>
      <c r="O11" s="59">
        <v>25</v>
      </c>
      <c r="P11" s="59">
        <v>0.2</v>
      </c>
      <c r="Q11" s="59">
        <v>1000</v>
      </c>
      <c r="R11" s="59">
        <v>5000</v>
      </c>
      <c r="S11" s="7">
        <f t="shared" si="0"/>
        <v>2.54</v>
      </c>
      <c r="T11" s="7">
        <f t="shared" si="1"/>
        <v>0.22833333333333336</v>
      </c>
      <c r="U11" s="7">
        <f t="shared" si="2"/>
        <v>3.9333333333333336</v>
      </c>
      <c r="V11" s="7">
        <f t="shared" si="2"/>
        <v>2.4359999999999999</v>
      </c>
      <c r="W11" s="8">
        <f t="shared" si="2"/>
        <v>4.9999999999999996E-2</v>
      </c>
      <c r="X11" s="7">
        <f t="shared" si="2"/>
        <v>0.24</v>
      </c>
      <c r="Y11" s="7">
        <f t="shared" si="2"/>
        <v>9.1999999999999998E-2</v>
      </c>
      <c r="Z11" s="9">
        <f t="shared" si="3"/>
        <v>2.54</v>
      </c>
      <c r="AA11" s="9">
        <f t="shared" si="3"/>
        <v>0.22833333333333336</v>
      </c>
      <c r="AB11" s="9">
        <f t="shared" si="3"/>
        <v>3.9333333333333336</v>
      </c>
      <c r="AC11" s="9">
        <f t="shared" si="3"/>
        <v>2.4359999999999999</v>
      </c>
      <c r="AD11" s="10">
        <f t="shared" si="3"/>
        <v>4.9999999999999996E-2</v>
      </c>
      <c r="AE11" s="9">
        <f t="shared" si="3"/>
        <v>0.24</v>
      </c>
      <c r="AF11" s="9">
        <f t="shared" si="4"/>
        <v>-4.181060863272223</v>
      </c>
      <c r="AG11" s="68">
        <f t="shared" si="5"/>
        <v>0.74951511477063515</v>
      </c>
      <c r="AH11" s="69">
        <f t="shared" si="6"/>
        <v>3.9333333333333336</v>
      </c>
      <c r="AI11" s="70">
        <f t="shared" si="7"/>
        <v>0.56177290726963836</v>
      </c>
      <c r="AJ11" s="70">
        <f t="shared" si="7"/>
        <v>15.471111111111114</v>
      </c>
      <c r="AK11" s="71">
        <f t="shared" si="8"/>
        <v>2.8313321968978449</v>
      </c>
      <c r="AL11" s="72" t="str">
        <f>IF(ISNUMBER(AK11),IF(AK11&lt;=1,"memenuhi",IF(AK11&lt;=5,"ringan",IF(AK11&lt;=10,"sedang","berat"))),"")</f>
        <v>ringan</v>
      </c>
      <c r="AM11" s="53">
        <v>4</v>
      </c>
    </row>
    <row r="12" spans="1:39" ht="16.5" x14ac:dyDescent="0.3">
      <c r="A12" s="62">
        <v>5</v>
      </c>
      <c r="B12" s="63" t="s">
        <v>31</v>
      </c>
      <c r="C12" s="64" t="s">
        <v>100</v>
      </c>
      <c r="D12" s="65" t="s">
        <v>95</v>
      </c>
      <c r="E12" s="73">
        <v>92.8</v>
      </c>
      <c r="F12" s="74">
        <v>2.72</v>
      </c>
      <c r="G12" s="74">
        <v>19.8</v>
      </c>
      <c r="H12" s="74">
        <v>71.3</v>
      </c>
      <c r="I12" s="74">
        <v>0.26800000000000002</v>
      </c>
      <c r="J12" s="74">
        <v>240</v>
      </c>
      <c r="K12" s="74">
        <v>460</v>
      </c>
      <c r="L12" s="59">
        <v>50</v>
      </c>
      <c r="M12" s="59">
        <v>4</v>
      </c>
      <c r="N12" s="59">
        <v>3</v>
      </c>
      <c r="O12" s="59">
        <v>25</v>
      </c>
      <c r="P12" s="59">
        <v>0.2</v>
      </c>
      <c r="Q12" s="59">
        <v>1000</v>
      </c>
      <c r="R12" s="59">
        <v>5000</v>
      </c>
      <c r="S12" s="7">
        <f t="shared" si="0"/>
        <v>1.8559999999999999</v>
      </c>
      <c r="T12" s="7">
        <f t="shared" si="1"/>
        <v>0.35666666666666663</v>
      </c>
      <c r="U12" s="7">
        <f t="shared" si="2"/>
        <v>6.6000000000000005</v>
      </c>
      <c r="V12" s="7">
        <f t="shared" si="2"/>
        <v>2.8519999999999999</v>
      </c>
      <c r="W12" s="8">
        <f t="shared" si="2"/>
        <v>1.34</v>
      </c>
      <c r="X12" s="7">
        <f t="shared" si="2"/>
        <v>0.24</v>
      </c>
      <c r="Y12" s="7">
        <f t="shared" si="2"/>
        <v>9.1999999999999998E-2</v>
      </c>
      <c r="Z12" s="9">
        <f t="shared" si="3"/>
        <v>1.8559999999999999</v>
      </c>
      <c r="AA12" s="9">
        <f t="shared" si="3"/>
        <v>0.35666666666666663</v>
      </c>
      <c r="AB12" s="9">
        <f t="shared" si="3"/>
        <v>6.6000000000000005</v>
      </c>
      <c r="AC12" s="9">
        <f t="shared" si="3"/>
        <v>2.8519999999999999</v>
      </c>
      <c r="AD12" s="10">
        <f t="shared" si="3"/>
        <v>1.34</v>
      </c>
      <c r="AE12" s="9">
        <f t="shared" si="3"/>
        <v>0.24</v>
      </c>
      <c r="AF12" s="9">
        <f t="shared" si="4"/>
        <v>-4.181060863272223</v>
      </c>
      <c r="AG12" s="68">
        <f t="shared" si="5"/>
        <v>1.2948008290563493</v>
      </c>
      <c r="AH12" s="69">
        <f t="shared" si="6"/>
        <v>6.6000000000000005</v>
      </c>
      <c r="AI12" s="70">
        <f t="shared" si="7"/>
        <v>1.6765091869250095</v>
      </c>
      <c r="AJ12" s="70">
        <f t="shared" si="7"/>
        <v>43.560000000000009</v>
      </c>
      <c r="AK12" s="71">
        <f t="shared" si="8"/>
        <v>4.7558652833593289</v>
      </c>
      <c r="AL12" s="72" t="str">
        <f>IF(ISNUMBER(AK12),IF(AK12&lt;=1,"memenuhi",IF(AK12&lt;=5,"ringan",IF(AK12&lt;=10,"sedang","berat"))),"")</f>
        <v>ringan</v>
      </c>
      <c r="AM12" s="53">
        <v>5</v>
      </c>
    </row>
    <row r="13" spans="1:39" ht="16.5" x14ac:dyDescent="0.3">
      <c r="A13" s="62">
        <v>6</v>
      </c>
      <c r="B13" s="63" t="s">
        <v>32</v>
      </c>
      <c r="C13" s="64" t="s">
        <v>101</v>
      </c>
      <c r="D13" s="65" t="s">
        <v>98</v>
      </c>
      <c r="E13" s="73">
        <v>19.3</v>
      </c>
      <c r="F13" s="74">
        <v>2</v>
      </c>
      <c r="G13" s="74">
        <v>45.2</v>
      </c>
      <c r="H13" s="74">
        <v>83.9</v>
      </c>
      <c r="I13" s="74">
        <v>3.65</v>
      </c>
      <c r="J13" s="74">
        <v>150</v>
      </c>
      <c r="K13" s="74">
        <v>210</v>
      </c>
      <c r="L13" s="59">
        <v>50</v>
      </c>
      <c r="M13" s="59">
        <v>4</v>
      </c>
      <c r="N13" s="59">
        <v>3</v>
      </c>
      <c r="O13" s="59">
        <v>25</v>
      </c>
      <c r="P13" s="59">
        <v>0.2</v>
      </c>
      <c r="Q13" s="59">
        <v>1000</v>
      </c>
      <c r="R13" s="59">
        <v>5000</v>
      </c>
      <c r="S13" s="7">
        <f t="shared" si="0"/>
        <v>0.38600000000000001</v>
      </c>
      <c r="T13" s="7">
        <f t="shared" si="1"/>
        <v>0.41666666666666669</v>
      </c>
      <c r="U13" s="7">
        <f t="shared" si="2"/>
        <v>15.066666666666668</v>
      </c>
      <c r="V13" s="7">
        <f t="shared" si="2"/>
        <v>3.3560000000000003</v>
      </c>
      <c r="W13" s="8">
        <f t="shared" si="2"/>
        <v>18.25</v>
      </c>
      <c r="X13" s="7">
        <f t="shared" si="2"/>
        <v>0.15</v>
      </c>
      <c r="Y13" s="7">
        <f t="shared" si="2"/>
        <v>4.2000000000000003E-2</v>
      </c>
      <c r="Z13" s="9">
        <f t="shared" si="3"/>
        <v>0.38600000000000001</v>
      </c>
      <c r="AA13" s="9">
        <f t="shared" si="3"/>
        <v>0.41666666666666669</v>
      </c>
      <c r="AB13" s="9">
        <f t="shared" si="3"/>
        <v>15.066666666666668</v>
      </c>
      <c r="AC13" s="9">
        <f t="shared" si="3"/>
        <v>3.3560000000000003</v>
      </c>
      <c r="AD13" s="10">
        <f t="shared" si="3"/>
        <v>18.25</v>
      </c>
      <c r="AE13" s="9">
        <f t="shared" si="3"/>
        <v>0.15</v>
      </c>
      <c r="AF13" s="9">
        <f t="shared" si="4"/>
        <v>-5.883753548010497</v>
      </c>
      <c r="AG13" s="68">
        <f t="shared" si="5"/>
        <v>4.5345113979032634</v>
      </c>
      <c r="AH13" s="69">
        <f t="shared" si="6"/>
        <v>18.25</v>
      </c>
      <c r="AI13" s="70">
        <f t="shared" si="7"/>
        <v>20.561793617714606</v>
      </c>
      <c r="AJ13" s="70">
        <f t="shared" si="7"/>
        <v>333.0625</v>
      </c>
      <c r="AK13" s="71">
        <f t="shared" si="8"/>
        <v>13.297072866193421</v>
      </c>
      <c r="AL13" s="72" t="str">
        <f t="shared" ref="AL13:AL37" si="9">IF(ISNUMBER(AK13),IF(AK13&lt;=1,"memenuhi",IF(AK13&lt;=5,"ringan",IF(AK13&lt;=10,"sedang","berat"))),"")</f>
        <v>berat</v>
      </c>
    </row>
    <row r="14" spans="1:39" ht="16.5" x14ac:dyDescent="0.3">
      <c r="A14" s="62">
        <v>7</v>
      </c>
      <c r="B14" s="63" t="s">
        <v>24</v>
      </c>
      <c r="C14" s="75" t="s">
        <v>102</v>
      </c>
      <c r="D14" s="65" t="s">
        <v>95</v>
      </c>
      <c r="E14" s="76">
        <v>20</v>
      </c>
      <c r="F14" s="74">
        <v>3.4</v>
      </c>
      <c r="G14" s="74">
        <v>21</v>
      </c>
      <c r="H14" s="74">
        <v>68.900000000000006</v>
      </c>
      <c r="I14" s="74">
        <v>0.43</v>
      </c>
      <c r="J14" s="74">
        <v>20</v>
      </c>
      <c r="K14" s="74">
        <v>28</v>
      </c>
      <c r="L14" s="59">
        <v>50</v>
      </c>
      <c r="M14" s="59">
        <v>4</v>
      </c>
      <c r="N14" s="59">
        <v>3</v>
      </c>
      <c r="O14" s="59">
        <v>25</v>
      </c>
      <c r="P14" s="59">
        <v>0.2</v>
      </c>
      <c r="Q14" s="59">
        <v>1000</v>
      </c>
      <c r="R14" s="59">
        <v>5000</v>
      </c>
      <c r="S14" s="7">
        <f t="shared" si="0"/>
        <v>0.4</v>
      </c>
      <c r="T14" s="7">
        <f t="shared" si="1"/>
        <v>0.3</v>
      </c>
      <c r="U14" s="7">
        <f t="shared" si="2"/>
        <v>7</v>
      </c>
      <c r="V14" s="7">
        <f t="shared" si="2"/>
        <v>2.7560000000000002</v>
      </c>
      <c r="W14" s="8">
        <f t="shared" si="2"/>
        <v>2.15</v>
      </c>
      <c r="X14" s="7">
        <f t="shared" si="2"/>
        <v>0.02</v>
      </c>
      <c r="Y14" s="7">
        <f t="shared" si="2"/>
        <v>5.5999999999999999E-3</v>
      </c>
      <c r="Z14" s="9">
        <f t="shared" si="3"/>
        <v>0.4</v>
      </c>
      <c r="AA14" s="9">
        <f t="shared" si="3"/>
        <v>0.3</v>
      </c>
      <c r="AB14" s="9">
        <f t="shared" si="3"/>
        <v>7</v>
      </c>
      <c r="AC14" s="9">
        <f t="shared" si="3"/>
        <v>2.7560000000000002</v>
      </c>
      <c r="AD14" s="10">
        <f t="shared" si="3"/>
        <v>2.15</v>
      </c>
      <c r="AE14" s="9">
        <f t="shared" si="3"/>
        <v>0.02</v>
      </c>
      <c r="AF14" s="9">
        <f t="shared" si="4"/>
        <v>-10.259059864968998</v>
      </c>
      <c r="AG14" s="68">
        <f t="shared" si="5"/>
        <v>0.3381343050044287</v>
      </c>
      <c r="AH14" s="69">
        <f t="shared" si="6"/>
        <v>7</v>
      </c>
      <c r="AI14" s="70">
        <f t="shared" si="7"/>
        <v>0.11433480822082802</v>
      </c>
      <c r="AJ14" s="70">
        <f t="shared" si="7"/>
        <v>49</v>
      </c>
      <c r="AK14" s="71">
        <f t="shared" si="8"/>
        <v>4.9555188834379811</v>
      </c>
      <c r="AL14" s="72" t="str">
        <f t="shared" si="9"/>
        <v>ringan</v>
      </c>
      <c r="AM14" s="53">
        <v>6</v>
      </c>
    </row>
    <row r="15" spans="1:39" ht="16.5" x14ac:dyDescent="0.3">
      <c r="A15" s="62">
        <v>8</v>
      </c>
      <c r="B15" s="63" t="s">
        <v>25</v>
      </c>
      <c r="C15" s="75" t="s">
        <v>103</v>
      </c>
      <c r="D15" s="65" t="s">
        <v>98</v>
      </c>
      <c r="E15" s="73">
        <v>27.6</v>
      </c>
      <c r="F15" s="74">
        <v>4.9000000000000004</v>
      </c>
      <c r="G15" s="74">
        <v>17.899999999999999</v>
      </c>
      <c r="H15" s="74">
        <v>105</v>
      </c>
      <c r="I15" s="74">
        <v>0.33900000000000002</v>
      </c>
      <c r="J15" s="74">
        <v>75</v>
      </c>
      <c r="K15" s="74">
        <v>150</v>
      </c>
      <c r="L15" s="59">
        <v>50</v>
      </c>
      <c r="M15" s="59">
        <v>4</v>
      </c>
      <c r="N15" s="59">
        <v>3</v>
      </c>
      <c r="O15" s="59">
        <v>25</v>
      </c>
      <c r="P15" s="59">
        <v>0.2</v>
      </c>
      <c r="Q15" s="59">
        <v>1000</v>
      </c>
      <c r="R15" s="59">
        <v>5000</v>
      </c>
      <c r="S15" s="7">
        <f t="shared" si="0"/>
        <v>0.55200000000000005</v>
      </c>
      <c r="T15" s="7">
        <f t="shared" si="1"/>
        <v>0.17499999999999996</v>
      </c>
      <c r="U15" s="7">
        <f t="shared" si="2"/>
        <v>5.9666666666666659</v>
      </c>
      <c r="V15" s="7">
        <f t="shared" si="2"/>
        <v>4.2</v>
      </c>
      <c r="W15" s="8">
        <f t="shared" si="2"/>
        <v>1.6950000000000001</v>
      </c>
      <c r="X15" s="7">
        <f t="shared" si="2"/>
        <v>7.4999999999999997E-2</v>
      </c>
      <c r="Y15" s="7">
        <f t="shared" si="2"/>
        <v>0.03</v>
      </c>
      <c r="Z15" s="9">
        <f t="shared" si="3"/>
        <v>0.55200000000000005</v>
      </c>
      <c r="AA15" s="9">
        <f t="shared" si="3"/>
        <v>0.17499999999999996</v>
      </c>
      <c r="AB15" s="9">
        <f t="shared" si="3"/>
        <v>5.9666666666666659</v>
      </c>
      <c r="AC15" s="9">
        <f t="shared" si="3"/>
        <v>4.2</v>
      </c>
      <c r="AD15" s="10">
        <f t="shared" si="3"/>
        <v>1.6950000000000001</v>
      </c>
      <c r="AE15" s="9">
        <f t="shared" si="3"/>
        <v>7.4999999999999997E-2</v>
      </c>
      <c r="AF15" s="9">
        <f t="shared" si="4"/>
        <v>-6.6143937264016879</v>
      </c>
      <c r="AG15" s="68">
        <f t="shared" si="5"/>
        <v>0.8641818486092826</v>
      </c>
      <c r="AH15" s="69">
        <f t="shared" si="6"/>
        <v>5.9666666666666659</v>
      </c>
      <c r="AI15" s="70">
        <f t="shared" si="7"/>
        <v>0.74681026746575707</v>
      </c>
      <c r="AJ15" s="70">
        <f t="shared" si="7"/>
        <v>35.601111111111102</v>
      </c>
      <c r="AK15" s="71">
        <f t="shared" si="8"/>
        <v>4.2630928548752518</v>
      </c>
      <c r="AL15" s="72" t="str">
        <f t="shared" si="9"/>
        <v>ringan</v>
      </c>
      <c r="AM15" s="53">
        <v>7</v>
      </c>
    </row>
    <row r="16" spans="1:39" ht="16.5" x14ac:dyDescent="0.3">
      <c r="A16" s="62">
        <v>9</v>
      </c>
      <c r="B16" s="63" t="s">
        <v>26</v>
      </c>
      <c r="C16" s="64" t="s">
        <v>104</v>
      </c>
      <c r="D16" s="65" t="s">
        <v>98</v>
      </c>
      <c r="E16" s="73">
        <v>28.8</v>
      </c>
      <c r="F16" s="74"/>
      <c r="G16" s="74">
        <v>20.8</v>
      </c>
      <c r="H16" s="74">
        <v>211</v>
      </c>
      <c r="I16" s="74">
        <v>0.45200000000000001</v>
      </c>
      <c r="J16" s="74">
        <v>120</v>
      </c>
      <c r="K16" s="74">
        <v>150</v>
      </c>
      <c r="L16" s="59">
        <v>50</v>
      </c>
      <c r="M16" s="59">
        <v>4</v>
      </c>
      <c r="N16" s="59">
        <v>3</v>
      </c>
      <c r="O16" s="59">
        <v>25</v>
      </c>
      <c r="P16" s="59">
        <v>0.2</v>
      </c>
      <c r="Q16" s="59">
        <v>1000</v>
      </c>
      <c r="R16" s="59">
        <v>5000</v>
      </c>
      <c r="S16" s="7">
        <f t="shared" si="0"/>
        <v>0.57600000000000007</v>
      </c>
      <c r="T16" s="7">
        <f t="shared" si="1"/>
        <v>0.58333333333333337</v>
      </c>
      <c r="U16" s="7">
        <f t="shared" si="2"/>
        <v>6.9333333333333336</v>
      </c>
      <c r="V16" s="7">
        <f t="shared" si="2"/>
        <v>8.44</v>
      </c>
      <c r="W16" s="8">
        <f t="shared" si="2"/>
        <v>2.2599999999999998</v>
      </c>
      <c r="X16" s="7">
        <f t="shared" si="2"/>
        <v>0.12</v>
      </c>
      <c r="Y16" s="7">
        <f t="shared" si="2"/>
        <v>0.03</v>
      </c>
      <c r="Z16" s="9">
        <f t="shared" si="3"/>
        <v>0.57600000000000007</v>
      </c>
      <c r="AA16" s="9">
        <f t="shared" si="3"/>
        <v>0.58333333333333337</v>
      </c>
      <c r="AB16" s="9">
        <f t="shared" si="3"/>
        <v>6.9333333333333336</v>
      </c>
      <c r="AC16" s="9">
        <f t="shared" si="3"/>
        <v>8.44</v>
      </c>
      <c r="AD16" s="10">
        <f t="shared" si="3"/>
        <v>2.2599999999999998</v>
      </c>
      <c r="AE16" s="9">
        <f t="shared" si="3"/>
        <v>0.12</v>
      </c>
      <c r="AF16" s="9">
        <f t="shared" si="4"/>
        <v>-6.6143937264016879</v>
      </c>
      <c r="AG16" s="68">
        <f t="shared" si="5"/>
        <v>1.7568961343235681</v>
      </c>
      <c r="AH16" s="69">
        <f t="shared" si="6"/>
        <v>8.44</v>
      </c>
      <c r="AI16" s="70">
        <f t="shared" si="7"/>
        <v>3.0866840268010969</v>
      </c>
      <c r="AJ16" s="70">
        <f t="shared" si="7"/>
        <v>71.233599999999996</v>
      </c>
      <c r="AK16" s="71">
        <f t="shared" si="8"/>
        <v>6.0959119099114734</v>
      </c>
      <c r="AL16" s="72" t="str">
        <f t="shared" si="9"/>
        <v>sedang</v>
      </c>
    </row>
    <row r="17" spans="1:39" ht="16.5" x14ac:dyDescent="0.3">
      <c r="A17" s="62">
        <v>10</v>
      </c>
      <c r="B17" s="63" t="s">
        <v>33</v>
      </c>
      <c r="C17" s="75" t="s">
        <v>105</v>
      </c>
      <c r="D17" s="65" t="s">
        <v>98</v>
      </c>
      <c r="E17" s="73">
        <v>77.5</v>
      </c>
      <c r="F17" s="74">
        <v>3.27</v>
      </c>
      <c r="G17" s="74">
        <v>9.86</v>
      </c>
      <c r="H17" s="74">
        <v>52.7</v>
      </c>
      <c r="I17" s="74">
        <v>0.03</v>
      </c>
      <c r="J17" s="74">
        <v>20</v>
      </c>
      <c r="K17" s="74">
        <v>75</v>
      </c>
      <c r="L17" s="59">
        <v>50</v>
      </c>
      <c r="M17" s="59">
        <v>4</v>
      </c>
      <c r="N17" s="59">
        <v>3</v>
      </c>
      <c r="O17" s="59">
        <v>25</v>
      </c>
      <c r="P17" s="59">
        <v>0.2</v>
      </c>
      <c r="Q17" s="59">
        <v>1000</v>
      </c>
      <c r="R17" s="59">
        <v>5000</v>
      </c>
      <c r="S17" s="7">
        <f t="shared" si="0"/>
        <v>1.55</v>
      </c>
      <c r="T17" s="7">
        <f t="shared" si="1"/>
        <v>0.31083333333333335</v>
      </c>
      <c r="U17" s="7">
        <f t="shared" si="2"/>
        <v>3.2866666666666666</v>
      </c>
      <c r="V17" s="7">
        <f t="shared" si="2"/>
        <v>2.1080000000000001</v>
      </c>
      <c r="W17" s="8">
        <f t="shared" si="2"/>
        <v>0.15</v>
      </c>
      <c r="X17" s="7">
        <f t="shared" si="2"/>
        <v>0.02</v>
      </c>
      <c r="Y17" s="7">
        <f t="shared" si="2"/>
        <v>1.4999999999999999E-2</v>
      </c>
      <c r="Z17" s="9">
        <f t="shared" si="3"/>
        <v>1.55</v>
      </c>
      <c r="AA17" s="9">
        <f t="shared" si="3"/>
        <v>0.31083333333333335</v>
      </c>
      <c r="AB17" s="9">
        <f t="shared" si="3"/>
        <v>3.2866666666666666</v>
      </c>
      <c r="AC17" s="9">
        <f t="shared" si="3"/>
        <v>2.1080000000000001</v>
      </c>
      <c r="AD17" s="10">
        <f t="shared" si="3"/>
        <v>0.15</v>
      </c>
      <c r="AE17" s="9">
        <f t="shared" si="3"/>
        <v>0.02</v>
      </c>
      <c r="AF17" s="9">
        <f t="shared" si="4"/>
        <v>-8.119543704721595</v>
      </c>
      <c r="AG17" s="68">
        <f t="shared" si="5"/>
        <v>-9.9149100674513643E-2</v>
      </c>
      <c r="AH17" s="69">
        <f t="shared" si="6"/>
        <v>3.2866666666666666</v>
      </c>
      <c r="AI17" s="70">
        <f t="shared" si="7"/>
        <v>9.830544164564841E-3</v>
      </c>
      <c r="AJ17" s="70">
        <f t="shared" si="7"/>
        <v>10.802177777777777</v>
      </c>
      <c r="AK17" s="71">
        <f t="shared" si="8"/>
        <v>2.3250815385640071</v>
      </c>
      <c r="AL17" s="72" t="str">
        <f t="shared" si="9"/>
        <v>ringan</v>
      </c>
      <c r="AM17" s="53">
        <v>8</v>
      </c>
    </row>
    <row r="18" spans="1:39" ht="16.5" x14ac:dyDescent="0.3">
      <c r="A18" s="62">
        <v>11</v>
      </c>
      <c r="B18" s="63" t="s">
        <v>34</v>
      </c>
      <c r="C18" s="75" t="s">
        <v>106</v>
      </c>
      <c r="D18" s="65" t="s">
        <v>98</v>
      </c>
      <c r="E18" s="73">
        <v>31.3</v>
      </c>
      <c r="F18" s="74">
        <v>5.2</v>
      </c>
      <c r="G18" s="74">
        <v>8.34</v>
      </c>
      <c r="H18" s="74">
        <v>162</v>
      </c>
      <c r="I18" s="74">
        <v>4.2999999999999997E-2</v>
      </c>
      <c r="J18" s="74">
        <v>18</v>
      </c>
      <c r="K18" s="74">
        <v>18</v>
      </c>
      <c r="L18" s="59">
        <v>50</v>
      </c>
      <c r="M18" s="59">
        <v>4</v>
      </c>
      <c r="N18" s="59">
        <v>3</v>
      </c>
      <c r="O18" s="59">
        <v>25</v>
      </c>
      <c r="P18" s="59">
        <v>0.2</v>
      </c>
      <c r="Q18" s="59">
        <v>1000</v>
      </c>
      <c r="R18" s="59">
        <v>5000</v>
      </c>
      <c r="S18" s="7">
        <f t="shared" si="0"/>
        <v>0.626</v>
      </c>
      <c r="T18" s="7">
        <f t="shared" si="1"/>
        <v>0.15</v>
      </c>
      <c r="U18" s="7">
        <f t="shared" si="2"/>
        <v>2.78</v>
      </c>
      <c r="V18" s="7">
        <f t="shared" si="2"/>
        <v>6.48</v>
      </c>
      <c r="W18" s="8">
        <f t="shared" si="2"/>
        <v>0.21499999999999997</v>
      </c>
      <c r="X18" s="7">
        <f t="shared" si="2"/>
        <v>1.7999999999999999E-2</v>
      </c>
      <c r="Y18" s="7">
        <f t="shared" si="2"/>
        <v>3.5999999999999999E-3</v>
      </c>
      <c r="Z18" s="9">
        <f t="shared" si="3"/>
        <v>0.626</v>
      </c>
      <c r="AA18" s="9">
        <f t="shared" si="3"/>
        <v>0.15</v>
      </c>
      <c r="AB18" s="9">
        <f t="shared" si="3"/>
        <v>2.78</v>
      </c>
      <c r="AC18" s="9">
        <f t="shared" si="3"/>
        <v>6.48</v>
      </c>
      <c r="AD18" s="10">
        <f t="shared" si="3"/>
        <v>0.21499999999999997</v>
      </c>
      <c r="AE18" s="9">
        <f t="shared" si="3"/>
        <v>1.7999999999999999E-2</v>
      </c>
      <c r="AF18" s="9">
        <f t="shared" si="4"/>
        <v>-11.218487496163563</v>
      </c>
      <c r="AG18" s="68">
        <f t="shared" si="5"/>
        <v>-0.13564107088050875</v>
      </c>
      <c r="AH18" s="69">
        <f t="shared" si="6"/>
        <v>6.48</v>
      </c>
      <c r="AI18" s="70">
        <f t="shared" si="7"/>
        <v>1.83985001096112E-2</v>
      </c>
      <c r="AJ18" s="70">
        <f t="shared" si="7"/>
        <v>41.990400000000008</v>
      </c>
      <c r="AK18" s="71">
        <f t="shared" si="8"/>
        <v>4.5830556673528209</v>
      </c>
      <c r="AL18" s="72" t="str">
        <f t="shared" si="9"/>
        <v>ringan</v>
      </c>
      <c r="AM18" s="53">
        <v>9</v>
      </c>
    </row>
    <row r="19" spans="1:39" ht="16.5" x14ac:dyDescent="0.3">
      <c r="A19" s="62">
        <v>12</v>
      </c>
      <c r="B19" s="63" t="s">
        <v>54</v>
      </c>
      <c r="C19" s="64" t="s">
        <v>107</v>
      </c>
      <c r="D19" s="65" t="s">
        <v>98</v>
      </c>
      <c r="E19" s="73">
        <v>19.3</v>
      </c>
      <c r="F19" s="74">
        <v>5.12</v>
      </c>
      <c r="G19" s="74">
        <v>15.7</v>
      </c>
      <c r="H19" s="74">
        <v>117</v>
      </c>
      <c r="I19" s="74">
        <v>0.28000000000000003</v>
      </c>
      <c r="J19" s="74">
        <v>75</v>
      </c>
      <c r="K19" s="74">
        <v>75</v>
      </c>
      <c r="L19" s="59">
        <v>50</v>
      </c>
      <c r="M19" s="59">
        <v>4</v>
      </c>
      <c r="N19" s="59">
        <v>3</v>
      </c>
      <c r="O19" s="59">
        <v>25</v>
      </c>
      <c r="P19" s="59">
        <v>0.2</v>
      </c>
      <c r="Q19" s="59">
        <v>1000</v>
      </c>
      <c r="R19" s="59">
        <v>5000</v>
      </c>
      <c r="S19" s="7">
        <f t="shared" si="0"/>
        <v>0.38600000000000001</v>
      </c>
      <c r="T19" s="7">
        <f t="shared" si="1"/>
        <v>0.15666666666666665</v>
      </c>
      <c r="U19" s="7">
        <f t="shared" si="2"/>
        <v>5.2333333333333334</v>
      </c>
      <c r="V19" s="7">
        <f t="shared" si="2"/>
        <v>4.68</v>
      </c>
      <c r="W19" s="8">
        <f t="shared" si="2"/>
        <v>1.4000000000000001</v>
      </c>
      <c r="X19" s="7">
        <f t="shared" si="2"/>
        <v>7.4999999999999997E-2</v>
      </c>
      <c r="Y19" s="7">
        <f t="shared" si="2"/>
        <v>1.4999999999999999E-2</v>
      </c>
      <c r="Z19" s="9">
        <f t="shared" si="3"/>
        <v>0.38600000000000001</v>
      </c>
      <c r="AA19" s="9">
        <f t="shared" si="3"/>
        <v>0.15666666666666665</v>
      </c>
      <c r="AB19" s="9">
        <f t="shared" si="3"/>
        <v>5.2333333333333334</v>
      </c>
      <c r="AC19" s="9">
        <f t="shared" si="3"/>
        <v>4.68</v>
      </c>
      <c r="AD19" s="10">
        <f t="shared" si="3"/>
        <v>1.4000000000000001</v>
      </c>
      <c r="AE19" s="9">
        <f t="shared" si="3"/>
        <v>7.4999999999999997E-2</v>
      </c>
      <c r="AF19" s="9">
        <f t="shared" si="4"/>
        <v>-8.119543704721595</v>
      </c>
      <c r="AG19" s="68">
        <f t="shared" si="5"/>
        <v>0.54449375646834342</v>
      </c>
      <c r="AH19" s="69">
        <f t="shared" si="6"/>
        <v>5.2333333333333334</v>
      </c>
      <c r="AI19" s="70">
        <f t="shared" si="7"/>
        <v>0.29647345083300769</v>
      </c>
      <c r="AJ19" s="70">
        <f t="shared" si="7"/>
        <v>27.387777777777778</v>
      </c>
      <c r="AK19" s="71">
        <f t="shared" si="8"/>
        <v>3.720500720911823</v>
      </c>
      <c r="AL19" s="72" t="str">
        <f t="shared" si="9"/>
        <v>ringan</v>
      </c>
      <c r="AM19" s="53">
        <v>10</v>
      </c>
    </row>
    <row r="20" spans="1:39" ht="16.5" x14ac:dyDescent="0.3">
      <c r="A20" s="62">
        <v>13</v>
      </c>
      <c r="B20" s="63" t="s">
        <v>27</v>
      </c>
      <c r="C20" s="64" t="s">
        <v>108</v>
      </c>
      <c r="D20" s="65" t="s">
        <v>98</v>
      </c>
      <c r="E20" s="76">
        <v>33</v>
      </c>
      <c r="F20" s="74">
        <v>4.9000000000000004</v>
      </c>
      <c r="G20" s="74">
        <v>10</v>
      </c>
      <c r="H20" s="74">
        <v>64</v>
      </c>
      <c r="I20" s="74">
        <v>0.153</v>
      </c>
      <c r="J20" s="74">
        <v>210</v>
      </c>
      <c r="K20" s="74">
        <v>1100</v>
      </c>
      <c r="L20" s="59">
        <v>50</v>
      </c>
      <c r="M20" s="59">
        <v>4</v>
      </c>
      <c r="N20" s="59">
        <v>3</v>
      </c>
      <c r="O20" s="59">
        <v>25</v>
      </c>
      <c r="P20" s="59">
        <v>0.2</v>
      </c>
      <c r="Q20" s="59">
        <v>1000</v>
      </c>
      <c r="R20" s="59">
        <v>5000</v>
      </c>
      <c r="S20" s="7">
        <f t="shared" si="0"/>
        <v>0.66</v>
      </c>
      <c r="T20" s="7">
        <f t="shared" si="1"/>
        <v>0.17499999999999996</v>
      </c>
      <c r="U20" s="7">
        <f t="shared" si="2"/>
        <v>3.3333333333333335</v>
      </c>
      <c r="V20" s="7">
        <f t="shared" si="2"/>
        <v>2.56</v>
      </c>
      <c r="W20" s="8">
        <f t="shared" si="2"/>
        <v>0.7649999999999999</v>
      </c>
      <c r="X20" s="7">
        <f t="shared" si="2"/>
        <v>0.21</v>
      </c>
      <c r="Y20" s="7">
        <f t="shared" si="2"/>
        <v>0.22</v>
      </c>
      <c r="Z20" s="9">
        <f t="shared" si="3"/>
        <v>0.66</v>
      </c>
      <c r="AA20" s="9">
        <f t="shared" si="3"/>
        <v>0.17499999999999996</v>
      </c>
      <c r="AB20" s="9">
        <f t="shared" si="3"/>
        <v>3.3333333333333335</v>
      </c>
      <c r="AC20" s="9">
        <f t="shared" si="3"/>
        <v>2.56</v>
      </c>
      <c r="AD20" s="10">
        <f t="shared" si="3"/>
        <v>0.7649999999999999</v>
      </c>
      <c r="AE20" s="9">
        <f t="shared" si="3"/>
        <v>0.21</v>
      </c>
      <c r="AF20" s="9">
        <f t="shared" si="4"/>
        <v>-2.2878865958889687</v>
      </c>
      <c r="AG20" s="68">
        <f t="shared" si="5"/>
        <v>0.77363524820633778</v>
      </c>
      <c r="AH20" s="69">
        <f t="shared" si="6"/>
        <v>3.3333333333333335</v>
      </c>
      <c r="AI20" s="70">
        <f t="shared" si="7"/>
        <v>0.59851149726728181</v>
      </c>
      <c r="AJ20" s="70">
        <f t="shared" si="7"/>
        <v>11.111111111111112</v>
      </c>
      <c r="AK20" s="71">
        <f t="shared" si="8"/>
        <v>2.4196717347998256</v>
      </c>
      <c r="AL20" s="72" t="str">
        <f t="shared" si="9"/>
        <v>ringan</v>
      </c>
      <c r="AM20" s="53">
        <v>11</v>
      </c>
    </row>
    <row r="21" spans="1:39" ht="17.25" customHeight="1" x14ac:dyDescent="0.3">
      <c r="A21" s="62">
        <v>14</v>
      </c>
      <c r="B21" s="63" t="s">
        <v>28</v>
      </c>
      <c r="C21" s="75" t="s">
        <v>109</v>
      </c>
      <c r="D21" s="65" t="s">
        <v>98</v>
      </c>
      <c r="E21" s="73">
        <v>59.8</v>
      </c>
      <c r="F21" s="74">
        <v>3.85</v>
      </c>
      <c r="G21" s="74">
        <v>18.2</v>
      </c>
      <c r="H21" s="74">
        <v>64.7</v>
      </c>
      <c r="I21" s="74">
        <v>0.19800000000000001</v>
      </c>
      <c r="J21" s="74">
        <v>75</v>
      </c>
      <c r="K21" s="74">
        <v>150</v>
      </c>
      <c r="L21" s="59">
        <v>50</v>
      </c>
      <c r="M21" s="59">
        <v>4</v>
      </c>
      <c r="N21" s="59">
        <v>3</v>
      </c>
      <c r="O21" s="59">
        <v>25</v>
      </c>
      <c r="P21" s="59">
        <v>0.2</v>
      </c>
      <c r="Q21" s="59">
        <v>1000</v>
      </c>
      <c r="R21" s="59">
        <v>5000</v>
      </c>
      <c r="S21" s="7">
        <f t="shared" si="0"/>
        <v>1.196</v>
      </c>
      <c r="T21" s="7">
        <f t="shared" si="1"/>
        <v>0.26250000000000001</v>
      </c>
      <c r="U21" s="7">
        <f t="shared" si="2"/>
        <v>6.0666666666666664</v>
      </c>
      <c r="V21" s="7">
        <f t="shared" si="2"/>
        <v>2.5880000000000001</v>
      </c>
      <c r="W21" s="8">
        <f t="shared" si="2"/>
        <v>0.99</v>
      </c>
      <c r="X21" s="7">
        <f t="shared" si="2"/>
        <v>7.4999999999999997E-2</v>
      </c>
      <c r="Y21" s="7">
        <f t="shared" si="2"/>
        <v>0.03</v>
      </c>
      <c r="Z21" s="9">
        <f t="shared" si="3"/>
        <v>1.196</v>
      </c>
      <c r="AA21" s="9">
        <f t="shared" si="3"/>
        <v>0.26250000000000001</v>
      </c>
      <c r="AB21" s="9">
        <f t="shared" si="3"/>
        <v>6.0666666666666664</v>
      </c>
      <c r="AC21" s="9">
        <f t="shared" si="3"/>
        <v>2.5880000000000001</v>
      </c>
      <c r="AD21" s="10">
        <f t="shared" si="3"/>
        <v>0.99</v>
      </c>
      <c r="AE21" s="9">
        <f t="shared" si="3"/>
        <v>7.4999999999999997E-2</v>
      </c>
      <c r="AF21" s="9">
        <f t="shared" si="4"/>
        <v>-6.6143937264016879</v>
      </c>
      <c r="AG21" s="68">
        <f t="shared" si="5"/>
        <v>0.65196756289499691</v>
      </c>
      <c r="AH21" s="69">
        <f t="shared" si="6"/>
        <v>6.0666666666666664</v>
      </c>
      <c r="AI21" s="70">
        <f t="shared" si="7"/>
        <v>0.42506170306724173</v>
      </c>
      <c r="AJ21" s="70">
        <f t="shared" si="7"/>
        <v>36.804444444444442</v>
      </c>
      <c r="AK21" s="71">
        <f t="shared" si="8"/>
        <v>4.314481785076377</v>
      </c>
      <c r="AL21" s="72" t="str">
        <f t="shared" si="9"/>
        <v>ringan</v>
      </c>
      <c r="AM21" s="53">
        <v>12</v>
      </c>
    </row>
    <row r="22" spans="1:39" ht="16.5" x14ac:dyDescent="0.3">
      <c r="A22" s="62">
        <v>15</v>
      </c>
      <c r="B22" s="63" t="s">
        <v>29</v>
      </c>
      <c r="C22" s="75" t="s">
        <v>110</v>
      </c>
      <c r="D22" s="65" t="s">
        <v>98</v>
      </c>
      <c r="E22" s="73">
        <v>59.3</v>
      </c>
      <c r="F22" s="74">
        <v>4.42</v>
      </c>
      <c r="G22" s="74">
        <v>4.6500000000000004</v>
      </c>
      <c r="H22" s="74">
        <v>39.6</v>
      </c>
      <c r="I22" s="74">
        <v>0.154</v>
      </c>
      <c r="J22" s="74">
        <v>93</v>
      </c>
      <c r="K22" s="74">
        <v>150</v>
      </c>
      <c r="L22" s="59">
        <v>50</v>
      </c>
      <c r="M22" s="59">
        <v>4</v>
      </c>
      <c r="N22" s="59">
        <v>3</v>
      </c>
      <c r="O22" s="59">
        <v>25</v>
      </c>
      <c r="P22" s="59">
        <v>0.2</v>
      </c>
      <c r="Q22" s="59">
        <v>1000</v>
      </c>
      <c r="R22" s="59">
        <v>5000</v>
      </c>
      <c r="S22" s="7">
        <f t="shared" si="0"/>
        <v>1.1859999999999999</v>
      </c>
      <c r="T22" s="7">
        <f t="shared" si="1"/>
        <v>0.215</v>
      </c>
      <c r="U22" s="7">
        <f t="shared" si="2"/>
        <v>1.55</v>
      </c>
      <c r="V22" s="7">
        <f t="shared" si="2"/>
        <v>1.5840000000000001</v>
      </c>
      <c r="W22" s="8">
        <f t="shared" si="2"/>
        <v>0.76999999999999991</v>
      </c>
      <c r="X22" s="7">
        <f t="shared" si="2"/>
        <v>9.2999999999999999E-2</v>
      </c>
      <c r="Y22" s="7">
        <f t="shared" si="2"/>
        <v>0.03</v>
      </c>
      <c r="Z22" s="9">
        <f t="shared" si="3"/>
        <v>1.1859999999999999</v>
      </c>
      <c r="AA22" s="9">
        <f t="shared" si="3"/>
        <v>0.215</v>
      </c>
      <c r="AB22" s="9">
        <f t="shared" si="3"/>
        <v>1.55</v>
      </c>
      <c r="AC22" s="9">
        <f t="shared" si="3"/>
        <v>1.5840000000000001</v>
      </c>
      <c r="AD22" s="10">
        <f t="shared" si="3"/>
        <v>0.76999999999999991</v>
      </c>
      <c r="AE22" s="9">
        <f t="shared" si="3"/>
        <v>9.2999999999999999E-2</v>
      </c>
      <c r="AF22" s="9">
        <f t="shared" si="4"/>
        <v>-6.6143937264016879</v>
      </c>
      <c r="AG22" s="68">
        <f t="shared" si="5"/>
        <v>-0.17377053234309831</v>
      </c>
      <c r="AH22" s="69">
        <f t="shared" si="6"/>
        <v>1.5840000000000001</v>
      </c>
      <c r="AI22" s="70">
        <f t="shared" si="7"/>
        <v>3.0196197910803774E-2</v>
      </c>
      <c r="AJ22" s="70">
        <f t="shared" si="7"/>
        <v>2.5090560000000002</v>
      </c>
      <c r="AK22" s="71">
        <f t="shared" si="8"/>
        <v>1.1267768629837063</v>
      </c>
      <c r="AL22" s="72" t="str">
        <f t="shared" si="9"/>
        <v>ringan</v>
      </c>
      <c r="AM22" s="53">
        <v>13</v>
      </c>
    </row>
    <row r="23" spans="1:39" ht="16.5" x14ac:dyDescent="0.3">
      <c r="A23" s="62">
        <v>16</v>
      </c>
      <c r="B23" s="63" t="s">
        <v>21</v>
      </c>
      <c r="C23" s="64" t="s">
        <v>94</v>
      </c>
      <c r="D23" s="65" t="s">
        <v>111</v>
      </c>
      <c r="E23" s="76">
        <v>24</v>
      </c>
      <c r="F23" s="74">
        <v>2</v>
      </c>
      <c r="G23" s="74">
        <v>2.4</v>
      </c>
      <c r="H23" s="74">
        <v>31</v>
      </c>
      <c r="I23" s="74"/>
      <c r="J23" s="74">
        <v>75</v>
      </c>
      <c r="K23" s="74">
        <v>1100</v>
      </c>
      <c r="L23" s="59">
        <v>50</v>
      </c>
      <c r="M23" s="59">
        <v>4</v>
      </c>
      <c r="N23" s="59">
        <v>3</v>
      </c>
      <c r="O23" s="59">
        <v>25</v>
      </c>
      <c r="P23" s="59">
        <v>0.2</v>
      </c>
      <c r="Q23" s="59">
        <v>1000</v>
      </c>
      <c r="R23" s="59">
        <v>5000</v>
      </c>
      <c r="S23" s="7">
        <f t="shared" si="0"/>
        <v>0.48</v>
      </c>
      <c r="T23" s="7">
        <f t="shared" si="1"/>
        <v>0.41666666666666669</v>
      </c>
      <c r="U23" s="7">
        <f t="shared" si="2"/>
        <v>0.79999999999999993</v>
      </c>
      <c r="V23" s="7">
        <f t="shared" si="2"/>
        <v>1.24</v>
      </c>
      <c r="W23" s="8">
        <f t="shared" si="2"/>
        <v>0</v>
      </c>
      <c r="X23" s="7">
        <f t="shared" si="2"/>
        <v>7.4999999999999997E-2</v>
      </c>
      <c r="Y23" s="7">
        <f t="shared" si="2"/>
        <v>0.22</v>
      </c>
      <c r="Z23" s="9">
        <f t="shared" si="3"/>
        <v>0.48</v>
      </c>
      <c r="AA23" s="9">
        <f t="shared" si="3"/>
        <v>0.41666666666666669</v>
      </c>
      <c r="AB23" s="9">
        <f t="shared" si="3"/>
        <v>0.79999999999999993</v>
      </c>
      <c r="AC23" s="9">
        <f t="shared" si="3"/>
        <v>1.24</v>
      </c>
      <c r="AD23" s="10">
        <f t="shared" si="3"/>
        <v>0</v>
      </c>
      <c r="AE23" s="9">
        <f t="shared" si="3"/>
        <v>7.4999999999999997E-2</v>
      </c>
      <c r="AF23" s="9">
        <f t="shared" si="4"/>
        <v>-2.2878865958889687</v>
      </c>
      <c r="AG23" s="68">
        <f t="shared" si="5"/>
        <v>0.10339715296824258</v>
      </c>
      <c r="AH23" s="69">
        <f t="shared" si="6"/>
        <v>1.24</v>
      </c>
      <c r="AI23" s="70">
        <f t="shared" si="7"/>
        <v>1.0690971241938154E-2</v>
      </c>
      <c r="AJ23" s="70">
        <f t="shared" si="7"/>
        <v>1.5376000000000001</v>
      </c>
      <c r="AK23" s="71">
        <f t="shared" si="8"/>
        <v>0.87985537767349531</v>
      </c>
      <c r="AL23" s="72" t="str">
        <f t="shared" si="9"/>
        <v>memenuhi</v>
      </c>
    </row>
    <row r="24" spans="1:39" ht="16.5" x14ac:dyDescent="0.3">
      <c r="A24" s="62">
        <v>17</v>
      </c>
      <c r="B24" s="63" t="s">
        <v>61</v>
      </c>
      <c r="C24" s="64" t="s">
        <v>112</v>
      </c>
      <c r="D24" s="65" t="s">
        <v>111</v>
      </c>
      <c r="E24" s="76">
        <v>76</v>
      </c>
      <c r="F24" s="74">
        <v>7</v>
      </c>
      <c r="G24" s="74">
        <v>12.8</v>
      </c>
      <c r="H24" s="74">
        <v>26</v>
      </c>
      <c r="I24" s="74"/>
      <c r="J24" s="74">
        <v>75</v>
      </c>
      <c r="K24" s="74">
        <v>1100</v>
      </c>
      <c r="L24" s="59">
        <v>50</v>
      </c>
      <c r="M24" s="59">
        <v>4</v>
      </c>
      <c r="N24" s="59">
        <v>3</v>
      </c>
      <c r="O24" s="59">
        <v>25</v>
      </c>
      <c r="P24" s="59">
        <v>0.2</v>
      </c>
      <c r="Q24" s="59">
        <v>1000</v>
      </c>
      <c r="R24" s="59">
        <v>5000</v>
      </c>
      <c r="S24" s="7">
        <f t="shared" si="0"/>
        <v>1.52</v>
      </c>
      <c r="T24" s="7">
        <f t="shared" si="1"/>
        <v>0</v>
      </c>
      <c r="U24" s="7">
        <f t="shared" ref="U24:Y37" si="10">G24/N24</f>
        <v>4.2666666666666666</v>
      </c>
      <c r="V24" s="7">
        <f t="shared" si="10"/>
        <v>1.04</v>
      </c>
      <c r="W24" s="8">
        <f t="shared" si="10"/>
        <v>0</v>
      </c>
      <c r="X24" s="7">
        <f t="shared" si="10"/>
        <v>7.4999999999999997E-2</v>
      </c>
      <c r="Y24" s="7">
        <f t="shared" si="10"/>
        <v>0.22</v>
      </c>
      <c r="Z24" s="9">
        <f t="shared" ref="Z24:AE37" si="11">S24</f>
        <v>1.52</v>
      </c>
      <c r="AA24" s="9">
        <f t="shared" si="11"/>
        <v>0</v>
      </c>
      <c r="AB24" s="9">
        <f t="shared" si="11"/>
        <v>4.2666666666666666</v>
      </c>
      <c r="AC24" s="9">
        <f t="shared" si="11"/>
        <v>1.04</v>
      </c>
      <c r="AD24" s="10">
        <f t="shared" si="11"/>
        <v>0</v>
      </c>
      <c r="AE24" s="9">
        <f t="shared" si="11"/>
        <v>7.4999999999999997E-2</v>
      </c>
      <c r="AF24" s="9">
        <f t="shared" si="4"/>
        <v>-2.2878865958889687</v>
      </c>
      <c r="AG24" s="68">
        <f t="shared" si="5"/>
        <v>0.65911143868252842</v>
      </c>
      <c r="AH24" s="69">
        <f t="shared" si="6"/>
        <v>4.2666666666666666</v>
      </c>
      <c r="AI24" s="70">
        <f t="shared" si="7"/>
        <v>0.43442788860215242</v>
      </c>
      <c r="AJ24" s="70">
        <f t="shared" si="7"/>
        <v>18.204444444444444</v>
      </c>
      <c r="AK24" s="71">
        <f t="shared" si="8"/>
        <v>3.0527751582000429</v>
      </c>
      <c r="AL24" s="72" t="str">
        <f t="shared" si="9"/>
        <v>ringan</v>
      </c>
      <c r="AM24" s="53">
        <v>14</v>
      </c>
    </row>
    <row r="25" spans="1:39" ht="16.5" x14ac:dyDescent="0.3">
      <c r="A25" s="62">
        <v>18</v>
      </c>
      <c r="B25" s="63" t="s">
        <v>60</v>
      </c>
      <c r="C25" s="64" t="s">
        <v>97</v>
      </c>
      <c r="D25" s="65" t="s">
        <v>111</v>
      </c>
      <c r="E25" s="76">
        <v>102</v>
      </c>
      <c r="F25" s="74">
        <v>5</v>
      </c>
      <c r="G25" s="74">
        <v>11</v>
      </c>
      <c r="H25" s="74">
        <v>30</v>
      </c>
      <c r="I25" s="74"/>
      <c r="J25" s="74">
        <v>460</v>
      </c>
      <c r="K25" s="74">
        <v>1100</v>
      </c>
      <c r="L25" s="59">
        <v>50</v>
      </c>
      <c r="M25" s="59">
        <v>4</v>
      </c>
      <c r="N25" s="59">
        <v>3</v>
      </c>
      <c r="O25" s="59">
        <v>25</v>
      </c>
      <c r="P25" s="59">
        <v>0.2</v>
      </c>
      <c r="Q25" s="59">
        <v>1000</v>
      </c>
      <c r="R25" s="59">
        <v>5000</v>
      </c>
      <c r="S25" s="7">
        <f t="shared" si="0"/>
        <v>2.04</v>
      </c>
      <c r="T25" s="7">
        <f t="shared" si="1"/>
        <v>0.16666666666666666</v>
      </c>
      <c r="U25" s="7">
        <f t="shared" si="10"/>
        <v>3.6666666666666665</v>
      </c>
      <c r="V25" s="7">
        <f t="shared" si="10"/>
        <v>1.2</v>
      </c>
      <c r="W25" s="8">
        <f t="shared" si="10"/>
        <v>0</v>
      </c>
      <c r="X25" s="7">
        <f t="shared" si="10"/>
        <v>0.46</v>
      </c>
      <c r="Y25" s="7">
        <f t="shared" si="10"/>
        <v>0.22</v>
      </c>
      <c r="Z25" s="9">
        <f t="shared" si="11"/>
        <v>2.04</v>
      </c>
      <c r="AA25" s="9">
        <f t="shared" si="11"/>
        <v>0.16666666666666666</v>
      </c>
      <c r="AB25" s="9">
        <f t="shared" si="11"/>
        <v>3.6666666666666665</v>
      </c>
      <c r="AC25" s="9">
        <f t="shared" si="11"/>
        <v>1.2</v>
      </c>
      <c r="AD25" s="10">
        <f t="shared" si="11"/>
        <v>0</v>
      </c>
      <c r="AE25" s="9">
        <f t="shared" si="11"/>
        <v>0.46</v>
      </c>
      <c r="AF25" s="9">
        <f t="shared" si="4"/>
        <v>-2.2878865958889687</v>
      </c>
      <c r="AG25" s="68">
        <f t="shared" si="5"/>
        <v>0.74934953392062353</v>
      </c>
      <c r="AH25" s="69">
        <f t="shared" si="6"/>
        <v>3.6666666666666665</v>
      </c>
      <c r="AI25" s="70">
        <f t="shared" si="7"/>
        <v>0.56152472398705577</v>
      </c>
      <c r="AJ25" s="70">
        <f t="shared" si="7"/>
        <v>13.444444444444443</v>
      </c>
      <c r="AK25" s="71">
        <f t="shared" si="8"/>
        <v>2.6463152843559192</v>
      </c>
      <c r="AL25" s="72" t="str">
        <f t="shared" si="9"/>
        <v>ringan</v>
      </c>
      <c r="AM25" s="53">
        <v>15</v>
      </c>
    </row>
    <row r="26" spans="1:39" ht="16.5" x14ac:dyDescent="0.3">
      <c r="A26" s="62">
        <v>19</v>
      </c>
      <c r="B26" s="63" t="s">
        <v>30</v>
      </c>
      <c r="C26" s="75" t="s">
        <v>99</v>
      </c>
      <c r="D26" s="65" t="s">
        <v>111</v>
      </c>
      <c r="E26" s="76">
        <v>36</v>
      </c>
      <c r="F26" s="74">
        <v>4.4000000000000004</v>
      </c>
      <c r="G26" s="74">
        <v>9</v>
      </c>
      <c r="H26" s="74">
        <v>50.3</v>
      </c>
      <c r="I26" s="74"/>
      <c r="J26" s="74">
        <v>1100</v>
      </c>
      <c r="K26" s="74">
        <v>1100</v>
      </c>
      <c r="L26" s="59">
        <v>50</v>
      </c>
      <c r="M26" s="59">
        <v>4</v>
      </c>
      <c r="N26" s="59">
        <v>3</v>
      </c>
      <c r="O26" s="59">
        <v>25</v>
      </c>
      <c r="P26" s="59">
        <v>0.2</v>
      </c>
      <c r="Q26" s="59">
        <v>1000</v>
      </c>
      <c r="R26" s="59">
        <v>5000</v>
      </c>
      <c r="S26" s="7">
        <f t="shared" si="0"/>
        <v>0.72</v>
      </c>
      <c r="T26" s="7">
        <f t="shared" si="1"/>
        <v>0.21666666666666665</v>
      </c>
      <c r="U26" s="7">
        <f t="shared" si="10"/>
        <v>3</v>
      </c>
      <c r="V26" s="7">
        <f t="shared" si="10"/>
        <v>2.012</v>
      </c>
      <c r="W26" s="8">
        <f t="shared" si="10"/>
        <v>0</v>
      </c>
      <c r="X26" s="7">
        <f t="shared" si="10"/>
        <v>1.1000000000000001</v>
      </c>
      <c r="Y26" s="7">
        <f t="shared" si="10"/>
        <v>0.22</v>
      </c>
      <c r="Z26" s="9">
        <f t="shared" si="11"/>
        <v>0.72</v>
      </c>
      <c r="AA26" s="9">
        <f t="shared" si="11"/>
        <v>0.21666666666666665</v>
      </c>
      <c r="AB26" s="9">
        <f t="shared" si="11"/>
        <v>3</v>
      </c>
      <c r="AC26" s="9">
        <f t="shared" si="11"/>
        <v>2.012</v>
      </c>
      <c r="AD26" s="10">
        <f t="shared" si="11"/>
        <v>0</v>
      </c>
      <c r="AE26" s="9">
        <f t="shared" si="11"/>
        <v>1.1000000000000001</v>
      </c>
      <c r="AF26" s="9">
        <f t="shared" si="4"/>
        <v>-2.2878865958889687</v>
      </c>
      <c r="AG26" s="68">
        <f t="shared" si="5"/>
        <v>0.6801114386825281</v>
      </c>
      <c r="AH26" s="69">
        <f t="shared" si="6"/>
        <v>3</v>
      </c>
      <c r="AI26" s="70">
        <f t="shared" si="7"/>
        <v>0.46255156902681821</v>
      </c>
      <c r="AJ26" s="70">
        <f t="shared" si="7"/>
        <v>9</v>
      </c>
      <c r="AK26" s="71">
        <f t="shared" si="8"/>
        <v>2.1751496004903683</v>
      </c>
      <c r="AL26" s="72" t="str">
        <f t="shared" si="9"/>
        <v>ringan</v>
      </c>
      <c r="AM26" s="53">
        <v>16</v>
      </c>
    </row>
    <row r="27" spans="1:39" ht="16.5" x14ac:dyDescent="0.3">
      <c r="A27" s="62">
        <v>20</v>
      </c>
      <c r="B27" s="63" t="s">
        <v>31</v>
      </c>
      <c r="C27" s="64" t="s">
        <v>100</v>
      </c>
      <c r="D27" s="65" t="s">
        <v>111</v>
      </c>
      <c r="E27" s="76">
        <v>82</v>
      </c>
      <c r="F27" s="74">
        <v>3.4</v>
      </c>
      <c r="G27" s="74">
        <v>18</v>
      </c>
      <c r="H27" s="74">
        <v>74</v>
      </c>
      <c r="I27" s="74"/>
      <c r="J27" s="74">
        <v>210</v>
      </c>
      <c r="K27" s="74">
        <v>1100</v>
      </c>
      <c r="L27" s="59">
        <v>50</v>
      </c>
      <c r="M27" s="59">
        <v>4</v>
      </c>
      <c r="N27" s="59">
        <v>3</v>
      </c>
      <c r="O27" s="59">
        <v>25</v>
      </c>
      <c r="P27" s="59">
        <v>0.2</v>
      </c>
      <c r="Q27" s="59">
        <v>1000</v>
      </c>
      <c r="R27" s="59">
        <v>5000</v>
      </c>
      <c r="S27" s="7">
        <f t="shared" si="0"/>
        <v>1.64</v>
      </c>
      <c r="T27" s="7">
        <f t="shared" si="1"/>
        <v>0.3</v>
      </c>
      <c r="U27" s="7">
        <f t="shared" si="10"/>
        <v>6</v>
      </c>
      <c r="V27" s="7">
        <f t="shared" si="10"/>
        <v>2.96</v>
      </c>
      <c r="W27" s="8">
        <f t="shared" si="10"/>
        <v>0</v>
      </c>
      <c r="X27" s="7">
        <f t="shared" si="10"/>
        <v>0.21</v>
      </c>
      <c r="Y27" s="7">
        <f t="shared" si="10"/>
        <v>0.22</v>
      </c>
      <c r="Z27" s="9">
        <f t="shared" si="11"/>
        <v>1.64</v>
      </c>
      <c r="AA27" s="9">
        <f t="shared" si="11"/>
        <v>0.3</v>
      </c>
      <c r="AB27" s="9">
        <f t="shared" si="11"/>
        <v>6</v>
      </c>
      <c r="AC27" s="9">
        <f t="shared" si="11"/>
        <v>2.96</v>
      </c>
      <c r="AD27" s="10">
        <f t="shared" si="11"/>
        <v>0</v>
      </c>
      <c r="AE27" s="9">
        <f t="shared" si="11"/>
        <v>0.21</v>
      </c>
      <c r="AF27" s="9">
        <f t="shared" si="4"/>
        <v>-2.2878865958889687</v>
      </c>
      <c r="AG27" s="68">
        <f t="shared" si="5"/>
        <v>1.2603019148730044</v>
      </c>
      <c r="AH27" s="69">
        <f t="shared" si="6"/>
        <v>6</v>
      </c>
      <c r="AI27" s="70">
        <f t="shared" si="7"/>
        <v>1.5883609166325616</v>
      </c>
      <c r="AJ27" s="70">
        <f t="shared" si="7"/>
        <v>36</v>
      </c>
      <c r="AK27" s="71">
        <f t="shared" si="8"/>
        <v>4.3352255371913788</v>
      </c>
      <c r="AL27" s="72" t="str">
        <f t="shared" si="9"/>
        <v>ringan</v>
      </c>
      <c r="AM27" s="53">
        <v>17</v>
      </c>
    </row>
    <row r="28" spans="1:39" ht="16.5" x14ac:dyDescent="0.3">
      <c r="A28" s="62">
        <v>21</v>
      </c>
      <c r="B28" s="63" t="s">
        <v>32</v>
      </c>
      <c r="C28" s="64" t="s">
        <v>101</v>
      </c>
      <c r="D28" s="65" t="s">
        <v>111</v>
      </c>
      <c r="E28" s="76">
        <v>17</v>
      </c>
      <c r="F28" s="74">
        <v>0.2</v>
      </c>
      <c r="G28" s="74">
        <v>28</v>
      </c>
      <c r="H28" s="74">
        <v>96</v>
      </c>
      <c r="I28" s="74"/>
      <c r="J28" s="74">
        <v>1100</v>
      </c>
      <c r="K28" s="74">
        <v>1100</v>
      </c>
      <c r="L28" s="59">
        <v>50</v>
      </c>
      <c r="M28" s="59">
        <v>4</v>
      </c>
      <c r="N28" s="59">
        <v>3</v>
      </c>
      <c r="O28" s="59">
        <v>25</v>
      </c>
      <c r="P28" s="59">
        <v>0.2</v>
      </c>
      <c r="Q28" s="59">
        <v>1000</v>
      </c>
      <c r="R28" s="59">
        <v>5000</v>
      </c>
      <c r="S28" s="7">
        <f t="shared" si="0"/>
        <v>0.34</v>
      </c>
      <c r="T28" s="7">
        <f t="shared" si="1"/>
        <v>0.56666666666666665</v>
      </c>
      <c r="U28" s="7">
        <f t="shared" si="10"/>
        <v>9.3333333333333339</v>
      </c>
      <c r="V28" s="7">
        <f t="shared" si="10"/>
        <v>3.84</v>
      </c>
      <c r="W28" s="8">
        <f t="shared" si="10"/>
        <v>0</v>
      </c>
      <c r="X28" s="7">
        <f t="shared" si="10"/>
        <v>1.1000000000000001</v>
      </c>
      <c r="Y28" s="7">
        <f t="shared" si="10"/>
        <v>0.22</v>
      </c>
      <c r="Z28" s="9">
        <f t="shared" si="11"/>
        <v>0.34</v>
      </c>
      <c r="AA28" s="9">
        <f t="shared" si="11"/>
        <v>0.56666666666666665</v>
      </c>
      <c r="AB28" s="9">
        <f t="shared" si="11"/>
        <v>9.3333333333333339</v>
      </c>
      <c r="AC28" s="9">
        <f t="shared" si="11"/>
        <v>3.84</v>
      </c>
      <c r="AD28" s="10">
        <f t="shared" si="11"/>
        <v>0</v>
      </c>
      <c r="AE28" s="9">
        <f t="shared" si="11"/>
        <v>1.1000000000000001</v>
      </c>
      <c r="AF28" s="9">
        <f t="shared" si="4"/>
        <v>-2.2878865958889687</v>
      </c>
      <c r="AG28" s="68">
        <f t="shared" si="5"/>
        <v>1.8417304863015758</v>
      </c>
      <c r="AH28" s="69">
        <f t="shared" si="6"/>
        <v>9.3333333333333339</v>
      </c>
      <c r="AI28" s="70">
        <f t="shared" si="7"/>
        <v>3.3919711841726388</v>
      </c>
      <c r="AJ28" s="70">
        <f t="shared" si="7"/>
        <v>87.111111111111128</v>
      </c>
      <c r="AK28" s="71">
        <f t="shared" si="8"/>
        <v>6.7269265751635698</v>
      </c>
      <c r="AL28" s="72" t="str">
        <f t="shared" si="9"/>
        <v>sedang</v>
      </c>
    </row>
    <row r="29" spans="1:39" ht="16.5" x14ac:dyDescent="0.3">
      <c r="A29" s="62">
        <v>22</v>
      </c>
      <c r="B29" s="63" t="s">
        <v>24</v>
      </c>
      <c r="C29" s="75" t="s">
        <v>102</v>
      </c>
      <c r="D29" s="65" t="s">
        <v>111</v>
      </c>
      <c r="E29" s="76">
        <v>21</v>
      </c>
      <c r="F29" s="74">
        <v>7</v>
      </c>
      <c r="G29" s="74">
        <v>17</v>
      </c>
      <c r="H29" s="74">
        <v>66</v>
      </c>
      <c r="I29" s="74"/>
      <c r="J29" s="74">
        <v>1100</v>
      </c>
      <c r="K29" s="74">
        <v>1100</v>
      </c>
      <c r="L29" s="59">
        <v>50</v>
      </c>
      <c r="M29" s="59">
        <v>4</v>
      </c>
      <c r="N29" s="59">
        <v>3</v>
      </c>
      <c r="O29" s="59">
        <v>25</v>
      </c>
      <c r="P29" s="59">
        <v>0.2</v>
      </c>
      <c r="Q29" s="59">
        <v>1000</v>
      </c>
      <c r="R29" s="59">
        <v>5000</v>
      </c>
      <c r="S29" s="7">
        <f t="shared" si="0"/>
        <v>0.42</v>
      </c>
      <c r="T29" s="7">
        <f t="shared" si="1"/>
        <v>0</v>
      </c>
      <c r="U29" s="7">
        <f t="shared" si="10"/>
        <v>5.666666666666667</v>
      </c>
      <c r="V29" s="7">
        <f t="shared" si="10"/>
        <v>2.64</v>
      </c>
      <c r="W29" s="8">
        <f t="shared" si="10"/>
        <v>0</v>
      </c>
      <c r="X29" s="7">
        <f t="shared" si="10"/>
        <v>1.1000000000000001</v>
      </c>
      <c r="Y29" s="7">
        <f t="shared" si="10"/>
        <v>0.22</v>
      </c>
      <c r="Z29" s="9">
        <f t="shared" si="11"/>
        <v>0.42</v>
      </c>
      <c r="AA29" s="9">
        <f t="shared" si="11"/>
        <v>0</v>
      </c>
      <c r="AB29" s="9">
        <f t="shared" si="11"/>
        <v>5.666666666666667</v>
      </c>
      <c r="AC29" s="9">
        <f t="shared" si="11"/>
        <v>2.64</v>
      </c>
      <c r="AD29" s="10">
        <f t="shared" si="11"/>
        <v>0</v>
      </c>
      <c r="AE29" s="9">
        <f t="shared" si="11"/>
        <v>1.1000000000000001</v>
      </c>
      <c r="AF29" s="9">
        <f t="shared" si="4"/>
        <v>-2.2878865958889687</v>
      </c>
      <c r="AG29" s="68">
        <f t="shared" si="5"/>
        <v>1.076968581539671</v>
      </c>
      <c r="AH29" s="69">
        <f t="shared" si="6"/>
        <v>5.666666666666667</v>
      </c>
      <c r="AI29" s="70">
        <f t="shared" si="7"/>
        <v>1.159861325623571</v>
      </c>
      <c r="AJ29" s="70">
        <f t="shared" si="7"/>
        <v>32.111111111111114</v>
      </c>
      <c r="AK29" s="71">
        <f t="shared" si="8"/>
        <v>4.0786623074688766</v>
      </c>
      <c r="AL29" s="72" t="str">
        <f t="shared" si="9"/>
        <v>ringan</v>
      </c>
      <c r="AM29" s="53">
        <v>18</v>
      </c>
    </row>
    <row r="30" spans="1:39" ht="16.5" x14ac:dyDescent="0.3">
      <c r="A30" s="62">
        <v>23</v>
      </c>
      <c r="B30" s="63" t="s">
        <v>25</v>
      </c>
      <c r="C30" s="75" t="s">
        <v>103</v>
      </c>
      <c r="D30" s="65" t="s">
        <v>111</v>
      </c>
      <c r="E30" s="76">
        <v>122</v>
      </c>
      <c r="F30" s="74">
        <v>1</v>
      </c>
      <c r="G30" s="74">
        <v>148</v>
      </c>
      <c r="H30" s="74">
        <v>362</v>
      </c>
      <c r="I30" s="74"/>
      <c r="J30" s="74">
        <v>120</v>
      </c>
      <c r="K30" s="74">
        <v>1100</v>
      </c>
      <c r="L30" s="59">
        <v>50</v>
      </c>
      <c r="M30" s="59">
        <v>4</v>
      </c>
      <c r="N30" s="59">
        <v>3</v>
      </c>
      <c r="O30" s="59">
        <v>25</v>
      </c>
      <c r="P30" s="59">
        <v>0.2</v>
      </c>
      <c r="Q30" s="59">
        <v>1000</v>
      </c>
      <c r="R30" s="59">
        <v>5000</v>
      </c>
      <c r="S30" s="7">
        <f t="shared" si="0"/>
        <v>2.44</v>
      </c>
      <c r="T30" s="7">
        <f t="shared" si="1"/>
        <v>0.5</v>
      </c>
      <c r="U30" s="7">
        <f t="shared" si="10"/>
        <v>49.333333333333336</v>
      </c>
      <c r="V30" s="7">
        <f t="shared" si="10"/>
        <v>14.48</v>
      </c>
      <c r="W30" s="8">
        <f t="shared" si="10"/>
        <v>0</v>
      </c>
      <c r="X30" s="7">
        <f t="shared" si="10"/>
        <v>0.12</v>
      </c>
      <c r="Y30" s="7">
        <f t="shared" si="10"/>
        <v>0.22</v>
      </c>
      <c r="Z30" s="9">
        <f t="shared" si="11"/>
        <v>2.44</v>
      </c>
      <c r="AA30" s="9">
        <f t="shared" si="11"/>
        <v>0.5</v>
      </c>
      <c r="AB30" s="9">
        <f t="shared" si="11"/>
        <v>49.333333333333336</v>
      </c>
      <c r="AC30" s="9">
        <f t="shared" si="11"/>
        <v>14.48</v>
      </c>
      <c r="AD30" s="10">
        <f t="shared" si="11"/>
        <v>0</v>
      </c>
      <c r="AE30" s="9">
        <f t="shared" si="11"/>
        <v>0.12</v>
      </c>
      <c r="AF30" s="9">
        <f t="shared" si="4"/>
        <v>-2.2878865958889687</v>
      </c>
      <c r="AG30" s="68">
        <f t="shared" si="5"/>
        <v>9.2264923910634824</v>
      </c>
      <c r="AH30" s="69">
        <f t="shared" si="6"/>
        <v>49.333333333333336</v>
      </c>
      <c r="AI30" s="70">
        <f t="shared" si="7"/>
        <v>85.128161842352341</v>
      </c>
      <c r="AJ30" s="70">
        <f t="shared" si="7"/>
        <v>2433.7777777777778</v>
      </c>
      <c r="AK30" s="71">
        <f t="shared" si="8"/>
        <v>35.488772447213009</v>
      </c>
      <c r="AL30" s="72" t="str">
        <f t="shared" si="9"/>
        <v>berat</v>
      </c>
    </row>
    <row r="31" spans="1:39" ht="16.5" x14ac:dyDescent="0.3">
      <c r="A31" s="62">
        <v>24</v>
      </c>
      <c r="B31" s="63" t="s">
        <v>26</v>
      </c>
      <c r="C31" s="64" t="s">
        <v>104</v>
      </c>
      <c r="D31" s="65" t="s">
        <v>111</v>
      </c>
      <c r="E31" s="76">
        <v>49</v>
      </c>
      <c r="F31" s="74"/>
      <c r="G31" s="74">
        <v>109</v>
      </c>
      <c r="H31" s="74">
        <v>385</v>
      </c>
      <c r="I31" s="74"/>
      <c r="J31" s="74">
        <v>1100</v>
      </c>
      <c r="K31" s="74">
        <v>1100</v>
      </c>
      <c r="L31" s="59">
        <v>50</v>
      </c>
      <c r="M31" s="59">
        <v>4</v>
      </c>
      <c r="N31" s="59">
        <v>3</v>
      </c>
      <c r="O31" s="59">
        <v>25</v>
      </c>
      <c r="P31" s="59">
        <v>0.2</v>
      </c>
      <c r="Q31" s="59">
        <v>1000</v>
      </c>
      <c r="R31" s="59">
        <v>5000</v>
      </c>
      <c r="S31" s="7">
        <f t="shared" si="0"/>
        <v>0.98</v>
      </c>
      <c r="T31" s="7">
        <f t="shared" si="1"/>
        <v>0.58333333333333337</v>
      </c>
      <c r="U31" s="7">
        <f t="shared" si="10"/>
        <v>36.333333333333336</v>
      </c>
      <c r="V31" s="7">
        <f t="shared" si="10"/>
        <v>15.4</v>
      </c>
      <c r="W31" s="8">
        <f t="shared" si="10"/>
        <v>0</v>
      </c>
      <c r="X31" s="7">
        <f t="shared" si="10"/>
        <v>1.1000000000000001</v>
      </c>
      <c r="Y31" s="7">
        <f t="shared" si="10"/>
        <v>0.22</v>
      </c>
      <c r="Z31" s="9">
        <f t="shared" si="11"/>
        <v>0.98</v>
      </c>
      <c r="AA31" s="9">
        <f t="shared" si="11"/>
        <v>0.58333333333333337</v>
      </c>
      <c r="AB31" s="9">
        <f t="shared" si="11"/>
        <v>36.333333333333336</v>
      </c>
      <c r="AC31" s="9">
        <f t="shared" si="11"/>
        <v>15.4</v>
      </c>
      <c r="AD31" s="10">
        <f t="shared" si="11"/>
        <v>0</v>
      </c>
      <c r="AE31" s="9">
        <f t="shared" si="11"/>
        <v>1.1000000000000001</v>
      </c>
      <c r="AF31" s="9">
        <f t="shared" si="4"/>
        <v>-2.2878865958889687</v>
      </c>
      <c r="AG31" s="68">
        <f t="shared" si="5"/>
        <v>7.444111438682528</v>
      </c>
      <c r="AH31" s="69">
        <f t="shared" si="6"/>
        <v>36.333333333333336</v>
      </c>
      <c r="AI31" s="70">
        <f t="shared" si="7"/>
        <v>55.414795111524057</v>
      </c>
      <c r="AJ31" s="70">
        <f t="shared" si="7"/>
        <v>1320.1111111111113</v>
      </c>
      <c r="AK31" s="71">
        <f t="shared" si="8"/>
        <v>26.225235043967054</v>
      </c>
      <c r="AL31" s="72" t="str">
        <f t="shared" si="9"/>
        <v>berat</v>
      </c>
    </row>
    <row r="32" spans="1:39" ht="16.5" x14ac:dyDescent="0.3">
      <c r="A32" s="62">
        <v>25</v>
      </c>
      <c r="B32" s="63" t="s">
        <v>33</v>
      </c>
      <c r="C32" s="75" t="s">
        <v>105</v>
      </c>
      <c r="D32" s="65" t="s">
        <v>111</v>
      </c>
      <c r="E32" s="76">
        <v>31</v>
      </c>
      <c r="F32" s="74">
        <v>5</v>
      </c>
      <c r="G32" s="74">
        <v>8</v>
      </c>
      <c r="H32" s="74">
        <v>31</v>
      </c>
      <c r="I32" s="74"/>
      <c r="J32" s="74">
        <v>460</v>
      </c>
      <c r="K32" s="74">
        <v>1100</v>
      </c>
      <c r="L32" s="59">
        <v>50</v>
      </c>
      <c r="M32" s="59">
        <v>4</v>
      </c>
      <c r="N32" s="59">
        <v>3</v>
      </c>
      <c r="O32" s="59">
        <v>25</v>
      </c>
      <c r="P32" s="59">
        <v>0.2</v>
      </c>
      <c r="Q32" s="59">
        <v>1000</v>
      </c>
      <c r="R32" s="59">
        <v>5000</v>
      </c>
      <c r="S32" s="7">
        <f t="shared" si="0"/>
        <v>0.62</v>
      </c>
      <c r="T32" s="7">
        <f t="shared" si="1"/>
        <v>0.16666666666666666</v>
      </c>
      <c r="U32" s="7">
        <f t="shared" si="10"/>
        <v>2.6666666666666665</v>
      </c>
      <c r="V32" s="7">
        <f t="shared" si="10"/>
        <v>1.24</v>
      </c>
      <c r="W32" s="8">
        <f t="shared" si="10"/>
        <v>0</v>
      </c>
      <c r="X32" s="7">
        <f t="shared" si="10"/>
        <v>0.46</v>
      </c>
      <c r="Y32" s="7">
        <f t="shared" si="10"/>
        <v>0.22</v>
      </c>
      <c r="Z32" s="9">
        <f t="shared" si="11"/>
        <v>0.62</v>
      </c>
      <c r="AA32" s="9">
        <f t="shared" si="11"/>
        <v>0.16666666666666666</v>
      </c>
      <c r="AB32" s="9">
        <f t="shared" si="11"/>
        <v>2.6666666666666665</v>
      </c>
      <c r="AC32" s="9">
        <f t="shared" si="11"/>
        <v>1.24</v>
      </c>
      <c r="AD32" s="10">
        <f t="shared" si="11"/>
        <v>0</v>
      </c>
      <c r="AE32" s="9">
        <f t="shared" si="11"/>
        <v>0.46</v>
      </c>
      <c r="AF32" s="9">
        <f t="shared" si="4"/>
        <v>-2.2878865958889687</v>
      </c>
      <c r="AG32" s="68">
        <f t="shared" si="5"/>
        <v>0.40934953392062351</v>
      </c>
      <c r="AH32" s="69">
        <f t="shared" si="6"/>
        <v>2.6666666666666665</v>
      </c>
      <c r="AI32" s="70">
        <f t="shared" si="7"/>
        <v>0.1675670409210317</v>
      </c>
      <c r="AJ32" s="70">
        <f t="shared" si="7"/>
        <v>7.1111111111111107</v>
      </c>
      <c r="AK32" s="71">
        <f t="shared" si="8"/>
        <v>1.9077051858230274</v>
      </c>
      <c r="AL32" s="72" t="str">
        <f t="shared" si="9"/>
        <v>ringan</v>
      </c>
      <c r="AM32" s="53">
        <v>19</v>
      </c>
    </row>
    <row r="33" spans="1:39" ht="16.5" x14ac:dyDescent="0.3">
      <c r="A33" s="62">
        <v>26</v>
      </c>
      <c r="B33" s="63" t="s">
        <v>34</v>
      </c>
      <c r="C33" s="75" t="s">
        <v>106</v>
      </c>
      <c r="D33" s="65" t="s">
        <v>111</v>
      </c>
      <c r="E33" s="76">
        <v>49</v>
      </c>
      <c r="F33" s="74">
        <v>2.4</v>
      </c>
      <c r="G33" s="74">
        <v>76</v>
      </c>
      <c r="H33" s="74">
        <v>196</v>
      </c>
      <c r="I33" s="74"/>
      <c r="J33" s="74">
        <v>1100</v>
      </c>
      <c r="K33" s="74">
        <v>1100</v>
      </c>
      <c r="L33" s="59">
        <v>50</v>
      </c>
      <c r="M33" s="59">
        <v>4</v>
      </c>
      <c r="N33" s="59">
        <v>3</v>
      </c>
      <c r="O33" s="59">
        <v>25</v>
      </c>
      <c r="P33" s="59">
        <v>0.2</v>
      </c>
      <c r="Q33" s="59">
        <v>1000</v>
      </c>
      <c r="R33" s="59">
        <v>5000</v>
      </c>
      <c r="S33" s="7">
        <f t="shared" si="0"/>
        <v>0.98</v>
      </c>
      <c r="T33" s="7">
        <f t="shared" si="1"/>
        <v>0.3833333333333333</v>
      </c>
      <c r="U33" s="7">
        <f t="shared" si="10"/>
        <v>25.333333333333332</v>
      </c>
      <c r="V33" s="7">
        <f t="shared" si="10"/>
        <v>7.84</v>
      </c>
      <c r="W33" s="8">
        <f t="shared" si="10"/>
        <v>0</v>
      </c>
      <c r="X33" s="7">
        <f t="shared" si="10"/>
        <v>1.1000000000000001</v>
      </c>
      <c r="Y33" s="7">
        <f t="shared" si="10"/>
        <v>0.22</v>
      </c>
      <c r="Z33" s="9">
        <f t="shared" si="11"/>
        <v>0.98</v>
      </c>
      <c r="AA33" s="9">
        <f t="shared" si="11"/>
        <v>0.3833333333333333</v>
      </c>
      <c r="AB33" s="9">
        <f t="shared" si="11"/>
        <v>25.333333333333332</v>
      </c>
      <c r="AC33" s="9">
        <f t="shared" si="11"/>
        <v>7.84</v>
      </c>
      <c r="AD33" s="10">
        <f t="shared" si="11"/>
        <v>0</v>
      </c>
      <c r="AE33" s="9">
        <f t="shared" si="11"/>
        <v>1.1000000000000001</v>
      </c>
      <c r="AF33" s="9">
        <f t="shared" si="4"/>
        <v>-2.2878865958889687</v>
      </c>
      <c r="AG33" s="68">
        <f t="shared" si="5"/>
        <v>4.7641114386825274</v>
      </c>
      <c r="AH33" s="69">
        <f t="shared" si="6"/>
        <v>25.333333333333332</v>
      </c>
      <c r="AI33" s="70">
        <f t="shared" si="7"/>
        <v>22.696757800185701</v>
      </c>
      <c r="AJ33" s="70">
        <f t="shared" si="7"/>
        <v>641.77777777777771</v>
      </c>
      <c r="AK33" s="71">
        <f t="shared" si="8"/>
        <v>18.227376876253523</v>
      </c>
      <c r="AL33" s="72" t="str">
        <f t="shared" si="9"/>
        <v>berat</v>
      </c>
    </row>
    <row r="34" spans="1:39" ht="16.5" x14ac:dyDescent="0.3">
      <c r="A34" s="62">
        <v>27</v>
      </c>
      <c r="B34" s="63" t="s">
        <v>54</v>
      </c>
      <c r="C34" s="64" t="s">
        <v>107</v>
      </c>
      <c r="D34" s="65" t="s">
        <v>111</v>
      </c>
      <c r="E34" s="76">
        <v>39</v>
      </c>
      <c r="F34" s="74">
        <v>0.3</v>
      </c>
      <c r="G34" s="74">
        <v>76</v>
      </c>
      <c r="H34" s="74">
        <v>270</v>
      </c>
      <c r="I34" s="74"/>
      <c r="J34" s="74">
        <v>210</v>
      </c>
      <c r="K34" s="74">
        <v>1100</v>
      </c>
      <c r="L34" s="59">
        <v>50</v>
      </c>
      <c r="M34" s="59">
        <v>4</v>
      </c>
      <c r="N34" s="59">
        <v>3</v>
      </c>
      <c r="O34" s="59">
        <v>25</v>
      </c>
      <c r="P34" s="59">
        <v>0.2</v>
      </c>
      <c r="Q34" s="59">
        <v>1000</v>
      </c>
      <c r="R34" s="59">
        <v>5000</v>
      </c>
      <c r="S34" s="7">
        <f t="shared" si="0"/>
        <v>0.78</v>
      </c>
      <c r="T34" s="7">
        <f t="shared" si="1"/>
        <v>0.55833333333333335</v>
      </c>
      <c r="U34" s="7">
        <f t="shared" si="10"/>
        <v>25.333333333333332</v>
      </c>
      <c r="V34" s="7">
        <f t="shared" si="10"/>
        <v>10.8</v>
      </c>
      <c r="W34" s="8">
        <f t="shared" si="10"/>
        <v>0</v>
      </c>
      <c r="X34" s="7">
        <f t="shared" si="10"/>
        <v>0.21</v>
      </c>
      <c r="Y34" s="7">
        <f t="shared" si="10"/>
        <v>0.22</v>
      </c>
      <c r="Z34" s="9">
        <f t="shared" si="11"/>
        <v>0.78</v>
      </c>
      <c r="AA34" s="9">
        <f t="shared" si="11"/>
        <v>0.55833333333333335</v>
      </c>
      <c r="AB34" s="9">
        <f t="shared" si="11"/>
        <v>25.333333333333332</v>
      </c>
      <c r="AC34" s="9">
        <f t="shared" si="11"/>
        <v>10.8</v>
      </c>
      <c r="AD34" s="10">
        <f t="shared" si="11"/>
        <v>0</v>
      </c>
      <c r="AE34" s="9">
        <f t="shared" si="11"/>
        <v>0.21</v>
      </c>
      <c r="AF34" s="9">
        <f t="shared" si="4"/>
        <v>-2.2878865958889687</v>
      </c>
      <c r="AG34" s="68">
        <f t="shared" si="5"/>
        <v>5.0562542958253847</v>
      </c>
      <c r="AH34" s="69">
        <f t="shared" si="6"/>
        <v>25.333333333333332</v>
      </c>
      <c r="AI34" s="70">
        <f t="shared" si="7"/>
        <v>25.565707504052657</v>
      </c>
      <c r="AJ34" s="70">
        <f t="shared" si="7"/>
        <v>641.77777777777771</v>
      </c>
      <c r="AK34" s="71">
        <f t="shared" si="8"/>
        <v>18.266683953058234</v>
      </c>
      <c r="AL34" s="72" t="str">
        <f t="shared" si="9"/>
        <v>berat</v>
      </c>
    </row>
    <row r="35" spans="1:39" ht="16.5" x14ac:dyDescent="0.3">
      <c r="A35" s="62">
        <v>28</v>
      </c>
      <c r="B35" s="63" t="s">
        <v>27</v>
      </c>
      <c r="C35" s="64" t="s">
        <v>108</v>
      </c>
      <c r="D35" s="65" t="s">
        <v>111</v>
      </c>
      <c r="E35" s="76">
        <v>33</v>
      </c>
      <c r="F35" s="74">
        <v>4.9000000000000004</v>
      </c>
      <c r="G35" s="74">
        <v>10</v>
      </c>
      <c r="H35" s="74">
        <v>64</v>
      </c>
      <c r="I35" s="74"/>
      <c r="J35" s="74">
        <v>210</v>
      </c>
      <c r="K35" s="74">
        <v>1100</v>
      </c>
      <c r="L35" s="59">
        <v>50</v>
      </c>
      <c r="M35" s="59">
        <v>4</v>
      </c>
      <c r="N35" s="59">
        <v>3</v>
      </c>
      <c r="O35" s="59">
        <v>25</v>
      </c>
      <c r="P35" s="59">
        <v>0.2</v>
      </c>
      <c r="Q35" s="59">
        <v>1000</v>
      </c>
      <c r="R35" s="59">
        <v>5000</v>
      </c>
      <c r="S35" s="7">
        <f t="shared" si="0"/>
        <v>0.66</v>
      </c>
      <c r="T35" s="7">
        <f t="shared" si="1"/>
        <v>0.17499999999999996</v>
      </c>
      <c r="U35" s="7">
        <f t="shared" si="10"/>
        <v>3.3333333333333335</v>
      </c>
      <c r="V35" s="7">
        <f t="shared" si="10"/>
        <v>2.56</v>
      </c>
      <c r="W35" s="8">
        <f t="shared" si="10"/>
        <v>0</v>
      </c>
      <c r="X35" s="7">
        <f t="shared" si="10"/>
        <v>0.21</v>
      </c>
      <c r="Y35" s="7">
        <f t="shared" si="10"/>
        <v>0.22</v>
      </c>
      <c r="Z35" s="9">
        <f t="shared" si="11"/>
        <v>0.66</v>
      </c>
      <c r="AA35" s="9">
        <f t="shared" si="11"/>
        <v>0.17499999999999996</v>
      </c>
      <c r="AB35" s="9">
        <f t="shared" si="11"/>
        <v>3.3333333333333335</v>
      </c>
      <c r="AC35" s="9">
        <f t="shared" si="11"/>
        <v>2.56</v>
      </c>
      <c r="AD35" s="10">
        <f t="shared" si="11"/>
        <v>0</v>
      </c>
      <c r="AE35" s="9">
        <f t="shared" si="11"/>
        <v>0.21</v>
      </c>
      <c r="AF35" s="9">
        <f t="shared" si="4"/>
        <v>-2.2878865958889687</v>
      </c>
      <c r="AG35" s="68">
        <f t="shared" si="5"/>
        <v>0.66434953392062357</v>
      </c>
      <c r="AH35" s="69">
        <f t="shared" si="6"/>
        <v>3.3333333333333335</v>
      </c>
      <c r="AI35" s="70">
        <f t="shared" si="7"/>
        <v>0.44136030322054975</v>
      </c>
      <c r="AJ35" s="70">
        <f t="shared" si="7"/>
        <v>11.111111111111112</v>
      </c>
      <c r="AK35" s="71">
        <f t="shared" si="8"/>
        <v>2.4033800588266998</v>
      </c>
      <c r="AL35" s="72" t="str">
        <f t="shared" si="9"/>
        <v>ringan</v>
      </c>
      <c r="AM35" s="53">
        <v>20</v>
      </c>
    </row>
    <row r="36" spans="1:39" ht="16.5" x14ac:dyDescent="0.3">
      <c r="A36" s="62">
        <v>29</v>
      </c>
      <c r="B36" s="63" t="s">
        <v>28</v>
      </c>
      <c r="C36" s="75" t="s">
        <v>109</v>
      </c>
      <c r="D36" s="65" t="s">
        <v>111</v>
      </c>
      <c r="E36" s="76">
        <v>72</v>
      </c>
      <c r="F36" s="74">
        <v>5</v>
      </c>
      <c r="G36" s="74">
        <v>11</v>
      </c>
      <c r="H36" s="74">
        <v>45</v>
      </c>
      <c r="I36" s="74"/>
      <c r="J36" s="74">
        <v>1100</v>
      </c>
      <c r="K36" s="74">
        <v>1100</v>
      </c>
      <c r="L36" s="59">
        <v>50</v>
      </c>
      <c r="M36" s="59">
        <v>4</v>
      </c>
      <c r="N36" s="59">
        <v>3</v>
      </c>
      <c r="O36" s="59">
        <v>25</v>
      </c>
      <c r="P36" s="59">
        <v>0.2</v>
      </c>
      <c r="Q36" s="59">
        <v>1000</v>
      </c>
      <c r="R36" s="59">
        <v>5000</v>
      </c>
      <c r="S36" s="7">
        <f t="shared" si="0"/>
        <v>1.44</v>
      </c>
      <c r="T36" s="7">
        <f t="shared" si="1"/>
        <v>0.16666666666666666</v>
      </c>
      <c r="U36" s="7">
        <f t="shared" si="10"/>
        <v>3.6666666666666665</v>
      </c>
      <c r="V36" s="7">
        <f t="shared" si="10"/>
        <v>1.8</v>
      </c>
      <c r="W36" s="8">
        <f t="shared" si="10"/>
        <v>0</v>
      </c>
      <c r="X36" s="7">
        <f t="shared" si="10"/>
        <v>1.1000000000000001</v>
      </c>
      <c r="Y36" s="7">
        <f t="shared" si="10"/>
        <v>0.22</v>
      </c>
      <c r="Z36" s="9">
        <f t="shared" si="11"/>
        <v>1.44</v>
      </c>
      <c r="AA36" s="9">
        <f t="shared" si="11"/>
        <v>0.16666666666666666</v>
      </c>
      <c r="AB36" s="9">
        <f t="shared" si="11"/>
        <v>3.6666666666666665</v>
      </c>
      <c r="AC36" s="9">
        <f t="shared" si="11"/>
        <v>1.8</v>
      </c>
      <c r="AD36" s="10">
        <f t="shared" si="11"/>
        <v>0</v>
      </c>
      <c r="AE36" s="9">
        <f t="shared" si="11"/>
        <v>1.1000000000000001</v>
      </c>
      <c r="AF36" s="9">
        <f t="shared" si="4"/>
        <v>-2.2878865958889687</v>
      </c>
      <c r="AG36" s="68">
        <f t="shared" si="5"/>
        <v>0.84077810534919506</v>
      </c>
      <c r="AH36" s="69">
        <f t="shared" si="6"/>
        <v>3.6666666666666665</v>
      </c>
      <c r="AI36" s="70">
        <f t="shared" si="7"/>
        <v>0.70690782243458217</v>
      </c>
      <c r="AJ36" s="70">
        <f t="shared" si="7"/>
        <v>13.444444444444443</v>
      </c>
      <c r="AK36" s="71">
        <f t="shared" si="8"/>
        <v>2.6600143107584051</v>
      </c>
      <c r="AL36" s="72" t="str">
        <f t="shared" si="9"/>
        <v>ringan</v>
      </c>
      <c r="AM36" s="53">
        <v>21</v>
      </c>
    </row>
    <row r="37" spans="1:39" ht="16.5" x14ac:dyDescent="0.3">
      <c r="A37" s="62">
        <v>30</v>
      </c>
      <c r="B37" s="63" t="s">
        <v>29</v>
      </c>
      <c r="C37" s="75" t="s">
        <v>113</v>
      </c>
      <c r="D37" s="65" t="s">
        <v>111</v>
      </c>
      <c r="E37" s="76">
        <v>17</v>
      </c>
      <c r="F37" s="74">
        <v>3.5</v>
      </c>
      <c r="G37" s="74">
        <v>20</v>
      </c>
      <c r="H37" s="74">
        <v>61</v>
      </c>
      <c r="I37" s="74"/>
      <c r="J37" s="74">
        <v>460</v>
      </c>
      <c r="K37" s="74">
        <v>1100</v>
      </c>
      <c r="L37" s="59">
        <v>50</v>
      </c>
      <c r="M37" s="59">
        <v>4</v>
      </c>
      <c r="N37" s="59">
        <v>3</v>
      </c>
      <c r="O37" s="59">
        <v>25</v>
      </c>
      <c r="P37" s="59">
        <v>0.2</v>
      </c>
      <c r="Q37" s="59">
        <v>1000</v>
      </c>
      <c r="R37" s="59">
        <v>5000</v>
      </c>
      <c r="S37" s="7">
        <f t="shared" si="0"/>
        <v>0.34</v>
      </c>
      <c r="T37" s="7">
        <f t="shared" si="1"/>
        <v>0.29166666666666669</v>
      </c>
      <c r="U37" s="7">
        <f t="shared" si="10"/>
        <v>6.666666666666667</v>
      </c>
      <c r="V37" s="7">
        <f t="shared" si="10"/>
        <v>2.44</v>
      </c>
      <c r="W37" s="8">
        <f t="shared" si="10"/>
        <v>0</v>
      </c>
      <c r="X37" s="7">
        <f t="shared" si="10"/>
        <v>0.46</v>
      </c>
      <c r="Y37" s="7">
        <f t="shared" si="10"/>
        <v>0.22</v>
      </c>
      <c r="Z37" s="9">
        <f t="shared" si="11"/>
        <v>0.34</v>
      </c>
      <c r="AA37" s="9">
        <f t="shared" si="11"/>
        <v>0.29166666666666669</v>
      </c>
      <c r="AB37" s="9">
        <f t="shared" si="11"/>
        <v>6.666666666666667</v>
      </c>
      <c r="AC37" s="9">
        <f t="shared" si="11"/>
        <v>2.44</v>
      </c>
      <c r="AD37" s="10">
        <f t="shared" si="11"/>
        <v>0</v>
      </c>
      <c r="AE37" s="9">
        <f t="shared" si="11"/>
        <v>0.46</v>
      </c>
      <c r="AF37" s="9">
        <f t="shared" si="4"/>
        <v>-2.2878865958889687</v>
      </c>
      <c r="AG37" s="68">
        <f t="shared" si="5"/>
        <v>1.1300638196349093</v>
      </c>
      <c r="AH37" s="69">
        <f t="shared" si="6"/>
        <v>6.666666666666667</v>
      </c>
      <c r="AI37" s="70">
        <f t="shared" si="7"/>
        <v>1.2770442364478409</v>
      </c>
      <c r="AJ37" s="70">
        <f t="shared" si="7"/>
        <v>44.44444444444445</v>
      </c>
      <c r="AK37" s="71">
        <f t="shared" si="8"/>
        <v>4.7812910746414659</v>
      </c>
      <c r="AL37" s="72" t="str">
        <f t="shared" si="9"/>
        <v>ringan</v>
      </c>
      <c r="AM37" s="53">
        <v>22</v>
      </c>
    </row>
    <row r="40" spans="1:39" ht="16.5" x14ac:dyDescent="0.3">
      <c r="A40" s="77" t="s">
        <v>41</v>
      </c>
      <c r="B40" s="78" t="s">
        <v>42</v>
      </c>
      <c r="D40" s="79"/>
    </row>
    <row r="41" spans="1:39" ht="16.5" x14ac:dyDescent="0.3">
      <c r="B41" s="80" t="s">
        <v>43</v>
      </c>
      <c r="C41" s="81" t="s">
        <v>44</v>
      </c>
      <c r="D41" s="81" t="s">
        <v>45</v>
      </c>
      <c r="E41" s="81" t="s">
        <v>46</v>
      </c>
      <c r="F41" s="81" t="s">
        <v>47</v>
      </c>
    </row>
    <row r="42" spans="1:39" x14ac:dyDescent="0.25">
      <c r="B42" s="62" t="s">
        <v>48</v>
      </c>
      <c r="C42" s="62">
        <v>1</v>
      </c>
      <c r="D42" s="32">
        <f>C42/C46</f>
        <v>3.3333333333333333E-2</v>
      </c>
      <c r="E42" s="62">
        <v>70</v>
      </c>
      <c r="F42" s="62">
        <f>E42*D42</f>
        <v>2.3333333333333335</v>
      </c>
    </row>
    <row r="43" spans="1:39" x14ac:dyDescent="0.25">
      <c r="B43" s="62" t="s">
        <v>49</v>
      </c>
      <c r="C43" s="62">
        <v>22</v>
      </c>
      <c r="D43" s="32">
        <f>C43/C46</f>
        <v>0.73333333333333328</v>
      </c>
      <c r="E43" s="62">
        <v>50</v>
      </c>
      <c r="F43" s="62">
        <f>D43*E43</f>
        <v>36.666666666666664</v>
      </c>
    </row>
    <row r="44" spans="1:39" x14ac:dyDescent="0.25">
      <c r="B44" s="62" t="s">
        <v>50</v>
      </c>
      <c r="C44" s="62">
        <v>2</v>
      </c>
      <c r="D44" s="32">
        <f>C44/C46</f>
        <v>6.6666666666666666E-2</v>
      </c>
      <c r="E44" s="62">
        <v>30</v>
      </c>
      <c r="F44" s="62">
        <f>E44*D44</f>
        <v>2</v>
      </c>
    </row>
    <row r="45" spans="1:39" x14ac:dyDescent="0.25">
      <c r="B45" s="62" t="s">
        <v>51</v>
      </c>
      <c r="C45" s="62">
        <v>5</v>
      </c>
      <c r="D45" s="32">
        <f>C45/C46</f>
        <v>0.16666666666666666</v>
      </c>
      <c r="E45" s="62">
        <v>10</v>
      </c>
      <c r="F45" s="62">
        <f>E45*D45</f>
        <v>1.6666666666666665</v>
      </c>
    </row>
    <row r="46" spans="1:39" x14ac:dyDescent="0.25">
      <c r="B46" s="62"/>
      <c r="C46" s="62">
        <f>SUM(C42:C45)</f>
        <v>30</v>
      </c>
      <c r="D46" s="82"/>
      <c r="E46" s="62"/>
      <c r="F46" s="83"/>
    </row>
    <row r="47" spans="1:39" x14ac:dyDescent="0.25">
      <c r="B47" s="84" t="s">
        <v>52</v>
      </c>
      <c r="C47" s="85"/>
      <c r="D47" s="85"/>
      <c r="E47" s="85"/>
      <c r="F47" s="86">
        <f>SUM(F42:F46)</f>
        <v>42.666666666666664</v>
      </c>
    </row>
  </sheetData>
  <pageMargins left="0.7" right="0.7" top="0.75" bottom="0.75" header="0.3" footer="0.3"/>
  <pageSetup paperSize="9" orientation="portrait" horizontalDpi="4294967292"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13"/>
  <sheetViews>
    <sheetView zoomScale="145" zoomScaleNormal="145" workbookViewId="0">
      <selection activeCell="G3" sqref="G3:G9"/>
    </sheetView>
  </sheetViews>
  <sheetFormatPr defaultColWidth="9.140625" defaultRowHeight="15" x14ac:dyDescent="0.25"/>
  <cols>
    <col min="1" max="2" width="9.140625" style="39"/>
    <col min="3" max="3" width="17.28515625" style="39" customWidth="1"/>
    <col min="4" max="4" width="19.42578125" style="39" customWidth="1"/>
    <col min="5" max="16384" width="9.140625" style="39"/>
  </cols>
  <sheetData>
    <row r="1" spans="1:12" ht="51" x14ac:dyDescent="0.35">
      <c r="A1" s="506" t="s">
        <v>4</v>
      </c>
      <c r="B1" s="506" t="s">
        <v>90</v>
      </c>
      <c r="C1" s="506" t="s">
        <v>89</v>
      </c>
      <c r="D1" s="507" t="s">
        <v>88</v>
      </c>
      <c r="E1" s="51" t="s">
        <v>87</v>
      </c>
      <c r="F1" s="51" t="s">
        <v>86</v>
      </c>
      <c r="G1" s="51" t="s">
        <v>85</v>
      </c>
      <c r="H1" s="52" t="s">
        <v>84</v>
      </c>
      <c r="I1" s="51" t="s">
        <v>83</v>
      </c>
      <c r="J1" s="51" t="s">
        <v>82</v>
      </c>
      <c r="K1" s="51" t="s">
        <v>81</v>
      </c>
      <c r="L1" s="50" t="s">
        <v>80</v>
      </c>
    </row>
    <row r="2" spans="1:12" ht="18" x14ac:dyDescent="0.3">
      <c r="A2" s="506"/>
      <c r="B2" s="506"/>
      <c r="C2" s="506"/>
      <c r="D2" s="507"/>
      <c r="E2" s="48" t="s">
        <v>79</v>
      </c>
      <c r="F2" s="48" t="s">
        <v>79</v>
      </c>
      <c r="G2" s="48" t="s">
        <v>79</v>
      </c>
      <c r="H2" s="49" t="s">
        <v>79</v>
      </c>
      <c r="I2" s="48" t="s">
        <v>79</v>
      </c>
      <c r="J2" s="48" t="s">
        <v>79</v>
      </c>
      <c r="K2" s="47" t="s">
        <v>78</v>
      </c>
      <c r="L2" s="46" t="s">
        <v>78</v>
      </c>
    </row>
    <row r="3" spans="1:12" ht="16.5" x14ac:dyDescent="0.3">
      <c r="A3" s="508">
        <v>1</v>
      </c>
      <c r="B3" s="509" t="s">
        <v>77</v>
      </c>
      <c r="C3" s="509" t="s">
        <v>76</v>
      </c>
      <c r="D3" s="42" t="s">
        <v>75</v>
      </c>
      <c r="E3" s="41">
        <v>18.399999999999999</v>
      </c>
      <c r="F3" s="41">
        <v>20.8</v>
      </c>
      <c r="G3" s="41">
        <v>103.7</v>
      </c>
      <c r="H3" s="41">
        <v>112.5</v>
      </c>
      <c r="I3" s="45">
        <f>AVERAGE(E3:F10)</f>
        <v>15.047083333333335</v>
      </c>
      <c r="J3" s="45">
        <f>AVERAGE(G3:H10)</f>
        <v>66.029166666666669</v>
      </c>
      <c r="K3" s="44">
        <f>((I3/20)+(J3/40))/2</f>
        <v>1.2015416666666667</v>
      </c>
      <c r="L3" s="43">
        <f>100-(50/0.9*(K3-0.1))</f>
        <v>38.80324074074074</v>
      </c>
    </row>
    <row r="4" spans="1:12" ht="16.5" x14ac:dyDescent="0.3">
      <c r="A4" s="508"/>
      <c r="B4" s="509"/>
      <c r="C4" s="509"/>
      <c r="D4" s="42" t="s">
        <v>74</v>
      </c>
      <c r="E4" s="41">
        <f>(12.8+17.1+10.2)/3</f>
        <v>13.366666666666667</v>
      </c>
      <c r="F4" s="41">
        <v>9.8000000000000007</v>
      </c>
      <c r="G4" s="41">
        <f>(86.6+104.7+57.1)/3</f>
        <v>82.8</v>
      </c>
      <c r="H4" s="41">
        <v>73.2</v>
      </c>
      <c r="I4" s="108"/>
      <c r="J4" s="109"/>
      <c r="K4" s="109"/>
      <c r="L4" s="110"/>
    </row>
    <row r="5" spans="1:12" ht="16.5" x14ac:dyDescent="0.3">
      <c r="A5" s="508"/>
      <c r="B5" s="509"/>
      <c r="C5" s="509"/>
      <c r="D5" s="42" t="s">
        <v>73</v>
      </c>
      <c r="E5" s="41">
        <v>10.7</v>
      </c>
      <c r="F5" s="41">
        <v>10</v>
      </c>
      <c r="G5" s="41">
        <v>59.3</v>
      </c>
      <c r="H5" s="41">
        <v>51.2</v>
      </c>
      <c r="I5" s="111"/>
      <c r="J5" s="112"/>
      <c r="K5" s="112"/>
      <c r="L5" s="113"/>
    </row>
    <row r="6" spans="1:12" ht="16.5" x14ac:dyDescent="0.3">
      <c r="A6" s="508"/>
      <c r="B6" s="509"/>
      <c r="C6" s="509"/>
      <c r="D6" s="42" t="s">
        <v>72</v>
      </c>
      <c r="E6" s="41">
        <v>11.2</v>
      </c>
      <c r="F6" s="41">
        <v>20.8</v>
      </c>
      <c r="G6" s="41">
        <v>72.900000000000006</v>
      </c>
      <c r="H6" s="41">
        <v>57.2</v>
      </c>
      <c r="I6" s="111"/>
      <c r="J6" s="112"/>
      <c r="K6" s="112"/>
      <c r="L6" s="113"/>
    </row>
    <row r="7" spans="1:12" ht="16.5" x14ac:dyDescent="0.3">
      <c r="A7" s="508"/>
      <c r="B7" s="509"/>
      <c r="C7" s="509"/>
      <c r="D7" s="42" t="s">
        <v>71</v>
      </c>
      <c r="E7" s="41">
        <f>(10.4+13.4+10)/3</f>
        <v>11.266666666666666</v>
      </c>
      <c r="F7" s="41">
        <v>11.78</v>
      </c>
      <c r="G7" s="41">
        <f>(56.1+83.7+28.1)/3</f>
        <v>55.966666666666669</v>
      </c>
      <c r="H7" s="41">
        <v>59.65</v>
      </c>
      <c r="I7" s="111"/>
      <c r="J7" s="112"/>
      <c r="K7" s="112"/>
      <c r="L7" s="113"/>
    </row>
    <row r="8" spans="1:12" ht="16.5" x14ac:dyDescent="0.3">
      <c r="A8" s="508"/>
      <c r="B8" s="509"/>
      <c r="C8" s="509"/>
      <c r="D8" s="42" t="s">
        <v>70</v>
      </c>
      <c r="E8" s="41">
        <v>31.5</v>
      </c>
      <c r="F8" s="41">
        <v>29.2</v>
      </c>
      <c r="G8" s="41">
        <v>68.3</v>
      </c>
      <c r="H8" s="41">
        <v>63.7</v>
      </c>
      <c r="I8" s="111"/>
      <c r="J8" s="112"/>
      <c r="K8" s="112"/>
      <c r="L8" s="113"/>
    </row>
    <row r="9" spans="1:12" ht="33" x14ac:dyDescent="0.3">
      <c r="A9" s="508"/>
      <c r="B9" s="509"/>
      <c r="C9" s="509"/>
      <c r="D9" s="42" t="s">
        <v>69</v>
      </c>
      <c r="E9" s="41">
        <v>14.8</v>
      </c>
      <c r="F9" s="41">
        <v>12.5</v>
      </c>
      <c r="G9" s="41">
        <v>58.1</v>
      </c>
      <c r="H9" s="41">
        <v>60.3</v>
      </c>
      <c r="I9" s="111"/>
      <c r="J9" s="112"/>
      <c r="K9" s="112"/>
      <c r="L9" s="113"/>
    </row>
    <row r="10" spans="1:12" ht="16.5" x14ac:dyDescent="0.3">
      <c r="A10" s="508"/>
      <c r="B10" s="509"/>
      <c r="C10" s="509"/>
      <c r="D10" s="42" t="s">
        <v>68</v>
      </c>
      <c r="E10" s="41">
        <v>2.84</v>
      </c>
      <c r="F10" s="41">
        <v>11.8</v>
      </c>
      <c r="G10" s="41">
        <v>14.25</v>
      </c>
      <c r="H10" s="41">
        <v>63.4</v>
      </c>
      <c r="I10" s="114"/>
      <c r="J10" s="115"/>
      <c r="K10" s="115"/>
      <c r="L10" s="116"/>
    </row>
    <row r="11" spans="1:12" ht="16.5" x14ac:dyDescent="0.3">
      <c r="A11" s="40"/>
      <c r="B11" s="40"/>
      <c r="C11" s="40"/>
      <c r="D11" s="40"/>
      <c r="E11" s="40"/>
      <c r="F11" s="40"/>
      <c r="G11" s="40"/>
      <c r="H11" s="40"/>
    </row>
    <row r="12" spans="1:12" ht="16.5" x14ac:dyDescent="0.3">
      <c r="A12" s="40"/>
      <c r="B12" s="40"/>
      <c r="C12" s="40"/>
      <c r="D12" s="40"/>
      <c r="E12" s="40"/>
      <c r="F12" s="40"/>
      <c r="G12" s="40"/>
      <c r="H12" s="40"/>
    </row>
    <row r="13" spans="1:12" ht="16.5" x14ac:dyDescent="0.3">
      <c r="A13" s="40"/>
      <c r="B13" s="40"/>
      <c r="C13" s="40"/>
      <c r="D13" s="40"/>
      <c r="E13" s="40"/>
      <c r="F13" s="40"/>
      <c r="G13" s="40"/>
      <c r="H13" s="40"/>
    </row>
  </sheetData>
  <mergeCells count="7">
    <mergeCell ref="A1:A2"/>
    <mergeCell ref="B1:B2"/>
    <mergeCell ref="C1:C2"/>
    <mergeCell ref="D1:D2"/>
    <mergeCell ref="A3:A10"/>
    <mergeCell ref="B3:B10"/>
    <mergeCell ref="C3: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L52"/>
  <sheetViews>
    <sheetView tabSelected="1" topLeftCell="O1" zoomScale="85" zoomScaleNormal="85" workbookViewId="0">
      <selection activeCell="AG7" sqref="AG7"/>
    </sheetView>
  </sheetViews>
  <sheetFormatPr defaultColWidth="9.140625" defaultRowHeight="15" x14ac:dyDescent="0.25"/>
  <cols>
    <col min="1" max="1" width="4.140625" style="53" bestFit="1" customWidth="1"/>
    <col min="2" max="2" width="38.28515625" style="53" customWidth="1"/>
    <col min="3" max="3" width="21.28515625" style="53" customWidth="1"/>
    <col min="4" max="4" width="14.140625" style="53" customWidth="1"/>
    <col min="5" max="5" width="9.140625" style="53"/>
    <col min="6" max="6" width="10.140625" style="53" customWidth="1"/>
    <col min="7" max="10" width="9.140625" style="53"/>
    <col min="11" max="11" width="10" style="53" bestFit="1" customWidth="1"/>
    <col min="12" max="12" width="4.42578125" style="53" bestFit="1" customWidth="1"/>
    <col min="13" max="13" width="3.7109375" style="53" bestFit="1" customWidth="1"/>
    <col min="14" max="14" width="4.7109375" style="53" bestFit="1" customWidth="1"/>
    <col min="15" max="15" width="5" style="53" bestFit="1" customWidth="1"/>
    <col min="16" max="16" width="5.7109375" style="53" bestFit="1" customWidth="1"/>
    <col min="17" max="17" width="9.140625" style="53" bestFit="1" customWidth="1"/>
    <col min="18" max="18" width="7.7109375" style="53" bestFit="1" customWidth="1"/>
    <col min="19" max="19" width="6.28515625" style="53" bestFit="1" customWidth="1"/>
    <col min="20" max="20" width="5.28515625" style="53" bestFit="1" customWidth="1"/>
    <col min="21" max="22" width="6.28515625" style="53" bestFit="1" customWidth="1"/>
    <col min="23" max="23" width="8.28515625" style="53" bestFit="1" customWidth="1"/>
    <col min="24" max="24" width="8.7109375" style="53" bestFit="1" customWidth="1"/>
    <col min="25" max="25" width="9.7109375" style="53" bestFit="1" customWidth="1"/>
    <col min="26" max="26" width="6.28515625" style="53" bestFit="1" customWidth="1"/>
    <col min="27" max="27" width="6" style="53" bestFit="1" customWidth="1"/>
    <col min="28" max="28" width="6.28515625" style="53" bestFit="1" customWidth="1"/>
    <col min="29" max="29" width="5.42578125" style="53" bestFit="1" customWidth="1"/>
    <col min="30" max="30" width="6.28515625" style="53" bestFit="1" customWidth="1"/>
    <col min="31" max="31" width="8.7109375" style="53" bestFit="1" customWidth="1"/>
    <col min="32" max="32" width="7.7109375" style="53" bestFit="1" customWidth="1"/>
    <col min="33" max="35" width="9.140625" style="53"/>
    <col min="36" max="36" width="10.42578125" style="53" bestFit="1" customWidth="1"/>
    <col min="37" max="37" width="9.140625" style="53"/>
    <col min="38" max="38" width="10.7109375" style="53" bestFit="1" customWidth="1"/>
    <col min="39" max="16384" width="9.140625" style="53"/>
  </cols>
  <sheetData>
    <row r="1" spans="1:38" x14ac:dyDescent="0.25">
      <c r="B1" s="54" t="s">
        <v>0</v>
      </c>
    </row>
    <row r="3" spans="1:38" x14ac:dyDescent="0.25">
      <c r="B3" s="54" t="s">
        <v>1</v>
      </c>
      <c r="Y3" s="499">
        <f>1+(5*LOG10(F8/M8))</f>
        <v>1.8804562952784063</v>
      </c>
    </row>
    <row r="4" spans="1:38" x14ac:dyDescent="0.25">
      <c r="B4" s="54" t="s">
        <v>2</v>
      </c>
    </row>
    <row r="6" spans="1:38" x14ac:dyDescent="0.25">
      <c r="B6" s="54" t="s">
        <v>3</v>
      </c>
      <c r="L6" s="510"/>
      <c r="M6" s="510"/>
      <c r="N6" s="510"/>
      <c r="O6" s="510"/>
      <c r="P6" s="510"/>
      <c r="Q6" s="510"/>
      <c r="R6" s="510"/>
      <c r="S6" s="500" t="s">
        <v>381</v>
      </c>
      <c r="T6" s="500" t="s">
        <v>382</v>
      </c>
      <c r="U6" s="500" t="s">
        <v>383</v>
      </c>
      <c r="V6" s="500" t="s">
        <v>384</v>
      </c>
      <c r="W6" s="500" t="s">
        <v>385</v>
      </c>
      <c r="X6" s="500" t="s">
        <v>386</v>
      </c>
      <c r="Y6" s="500" t="s">
        <v>387</v>
      </c>
      <c r="Z6" s="500" t="s">
        <v>374</v>
      </c>
      <c r="AA6" s="500" t="s">
        <v>375</v>
      </c>
      <c r="AB6" s="500" t="s">
        <v>376</v>
      </c>
      <c r="AC6" s="500" t="s">
        <v>377</v>
      </c>
      <c r="AD6" s="500" t="s">
        <v>378</v>
      </c>
      <c r="AE6" s="500" t="s">
        <v>379</v>
      </c>
      <c r="AF6" s="500" t="s">
        <v>380</v>
      </c>
      <c r="AG6" s="500" t="s">
        <v>388</v>
      </c>
      <c r="AH6" s="500" t="s">
        <v>389</v>
      </c>
      <c r="AI6" s="500" t="s">
        <v>390</v>
      </c>
      <c r="AJ6" s="500" t="s">
        <v>391</v>
      </c>
    </row>
    <row r="7" spans="1:38" ht="33.75" thickBot="1" x14ac:dyDescent="0.3">
      <c r="A7" s="56" t="s">
        <v>4</v>
      </c>
      <c r="B7" s="57" t="s">
        <v>5</v>
      </c>
      <c r="C7" s="57" t="s">
        <v>6</v>
      </c>
      <c r="D7" s="57" t="s">
        <v>7</v>
      </c>
      <c r="E7" s="58" t="s">
        <v>8</v>
      </c>
      <c r="F7" s="58" t="s">
        <v>9</v>
      </c>
      <c r="G7" s="58" t="s">
        <v>10</v>
      </c>
      <c r="H7" s="58" t="s">
        <v>11</v>
      </c>
      <c r="I7" s="58" t="s">
        <v>12</v>
      </c>
      <c r="J7" s="58" t="s">
        <v>13</v>
      </c>
      <c r="K7" s="58" t="s">
        <v>14</v>
      </c>
      <c r="L7" s="59" t="s">
        <v>8</v>
      </c>
      <c r="M7" s="59" t="s">
        <v>9</v>
      </c>
      <c r="N7" s="59" t="s">
        <v>10</v>
      </c>
      <c r="O7" s="59" t="s">
        <v>11</v>
      </c>
      <c r="P7" s="59" t="s">
        <v>12</v>
      </c>
      <c r="Q7" s="59" t="s">
        <v>13</v>
      </c>
      <c r="R7" s="59"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60" t="s">
        <v>15</v>
      </c>
      <c r="AH7" s="60" t="s">
        <v>16</v>
      </c>
      <c r="AI7" s="60" t="s">
        <v>17</v>
      </c>
      <c r="AJ7" s="60" t="s">
        <v>18</v>
      </c>
      <c r="AK7" s="60" t="s">
        <v>19</v>
      </c>
      <c r="AL7" s="61" t="s">
        <v>20</v>
      </c>
    </row>
    <row r="8" spans="1:38" ht="17.25" thickBot="1" x14ac:dyDescent="0.35">
      <c r="A8" s="487">
        <v>1</v>
      </c>
      <c r="B8" s="488" t="s">
        <v>21</v>
      </c>
      <c r="C8" s="488"/>
      <c r="D8" s="489">
        <v>42991</v>
      </c>
      <c r="E8" s="490">
        <v>30</v>
      </c>
      <c r="F8" s="491">
        <v>6</v>
      </c>
      <c r="G8" s="491">
        <v>4</v>
      </c>
      <c r="H8" s="491">
        <v>17</v>
      </c>
      <c r="I8" s="491">
        <v>0.1</v>
      </c>
      <c r="J8" s="491">
        <v>1200</v>
      </c>
      <c r="K8" s="491">
        <v>1500</v>
      </c>
      <c r="L8" s="491">
        <v>50</v>
      </c>
      <c r="M8" s="491">
        <v>4</v>
      </c>
      <c r="N8" s="491">
        <v>3</v>
      </c>
      <c r="O8" s="491">
        <v>25</v>
      </c>
      <c r="P8" s="491">
        <v>0.2</v>
      </c>
      <c r="Q8" s="491">
        <v>1000</v>
      </c>
      <c r="R8" s="491">
        <v>5000</v>
      </c>
      <c r="S8" s="492">
        <f t="shared" ref="S8:S37" si="0">E8/L8</f>
        <v>0.6</v>
      </c>
      <c r="T8" s="492">
        <f t="shared" ref="T8:T37" si="1">((7-F8)/(7-M8))/M8</f>
        <v>8.3333333333333329E-2</v>
      </c>
      <c r="U8" s="492">
        <f t="shared" ref="U8:Y23" si="2">G8/N8</f>
        <v>1.3333333333333333</v>
      </c>
      <c r="V8" s="492">
        <f t="shared" si="2"/>
        <v>0.68</v>
      </c>
      <c r="W8" s="493">
        <f t="shared" si="2"/>
        <v>0.5</v>
      </c>
      <c r="X8" s="492">
        <f t="shared" si="2"/>
        <v>1.2</v>
      </c>
      <c r="Y8" s="492">
        <f t="shared" si="2"/>
        <v>0.3</v>
      </c>
      <c r="Z8" s="492">
        <f>S8</f>
        <v>0.6</v>
      </c>
      <c r="AA8" s="492">
        <f t="shared" ref="Z8:AF23" si="3">T8</f>
        <v>8.3333333333333329E-2</v>
      </c>
      <c r="AB8" s="492">
        <f>1+(5*(LOG10(G8/N8)))</f>
        <v>1.6246936830414995</v>
      </c>
      <c r="AC8" s="492">
        <f t="shared" si="3"/>
        <v>0.68</v>
      </c>
      <c r="AD8" s="492">
        <f t="shared" si="3"/>
        <v>0.5</v>
      </c>
      <c r="AE8" s="492">
        <f t="shared" ref="AE8:AF37" si="4">1+(5*(LOG10(J8/Q8)))</f>
        <v>1.3959062302381242</v>
      </c>
      <c r="AF8" s="492">
        <f t="shared" si="3"/>
        <v>0.3</v>
      </c>
      <c r="AG8" s="494">
        <f>AVERAGE(Z8:AF8)</f>
        <v>0.74056189237327963</v>
      </c>
      <c r="AH8" s="495">
        <f>MAX(Z8:AG8)</f>
        <v>1.6246936830414995</v>
      </c>
      <c r="AI8" s="496">
        <f>POWER(AG8,2)</f>
        <v>0.54843191643549305</v>
      </c>
      <c r="AJ8" s="496">
        <f>POWER(AH8,2)</f>
        <v>2.6396295637149527</v>
      </c>
      <c r="AK8" s="497">
        <f>SQRT((AI8+AJ8)/2)</f>
        <v>1.2625493020374385</v>
      </c>
      <c r="AL8" s="498" t="str">
        <f>IF(ISNUMBER(AK8),IF(AK8&lt;=1,"memenuhi",IF(AK8&lt;=5,"ringan",IF(AK8&lt;=10,"sedang","berat"))),"")</f>
        <v>ringan</v>
      </c>
    </row>
    <row r="9" spans="1:38" ht="17.25" thickBot="1" x14ac:dyDescent="0.35">
      <c r="A9" s="62">
        <v>2</v>
      </c>
      <c r="B9" s="63" t="s">
        <v>22</v>
      </c>
      <c r="C9" s="63"/>
      <c r="D9" s="87">
        <v>42989</v>
      </c>
      <c r="E9" s="76">
        <v>28</v>
      </c>
      <c r="F9" s="74">
        <v>3</v>
      </c>
      <c r="G9" s="74">
        <v>6</v>
      </c>
      <c r="H9" s="74">
        <v>25</v>
      </c>
      <c r="I9" s="74">
        <v>0.4</v>
      </c>
      <c r="J9" s="74">
        <v>3100</v>
      </c>
      <c r="K9" s="74">
        <v>4300</v>
      </c>
      <c r="L9" s="59">
        <v>50</v>
      </c>
      <c r="M9" s="59">
        <v>4</v>
      </c>
      <c r="N9" s="59">
        <v>3</v>
      </c>
      <c r="O9" s="59">
        <v>25</v>
      </c>
      <c r="P9" s="59">
        <v>0.2</v>
      </c>
      <c r="Q9" s="59">
        <v>1000</v>
      </c>
      <c r="R9" s="59">
        <v>5000</v>
      </c>
      <c r="S9" s="7">
        <f t="shared" si="0"/>
        <v>0.56000000000000005</v>
      </c>
      <c r="T9" s="7">
        <f t="shared" si="1"/>
        <v>0.33333333333333331</v>
      </c>
      <c r="U9" s="7">
        <f t="shared" si="2"/>
        <v>2</v>
      </c>
      <c r="V9" s="7">
        <f t="shared" si="2"/>
        <v>1</v>
      </c>
      <c r="W9" s="8">
        <f t="shared" si="2"/>
        <v>2</v>
      </c>
      <c r="X9" s="7">
        <f t="shared" si="2"/>
        <v>3.1</v>
      </c>
      <c r="Y9" s="7">
        <f t="shared" si="2"/>
        <v>0.86</v>
      </c>
      <c r="Z9" s="9">
        <f t="shared" si="3"/>
        <v>0.56000000000000005</v>
      </c>
      <c r="AA9" s="9">
        <f t="shared" si="3"/>
        <v>0.33333333333333331</v>
      </c>
      <c r="AB9" s="9">
        <f t="shared" ref="AB9:AC23" si="5">1+(5*(LOG10(G9/N9)))</f>
        <v>2.5051499783199063</v>
      </c>
      <c r="AC9" s="9">
        <f>1+(5*(LOG10(H9/O9)))</f>
        <v>1</v>
      </c>
      <c r="AD9" s="9">
        <f>1+(5*(LOG10(I9/P9)))</f>
        <v>2.5051499783199063</v>
      </c>
      <c r="AE9" s="9">
        <f t="shared" si="4"/>
        <v>3.4568084691713636</v>
      </c>
      <c r="AF9" s="9">
        <f t="shared" si="4"/>
        <v>0.67249225621783859</v>
      </c>
      <c r="AG9" s="68">
        <f t="shared" ref="AG9:AG37" si="6">AVERAGE(Z9:AF9)</f>
        <v>1.5761334307660497</v>
      </c>
      <c r="AH9" s="69">
        <f t="shared" ref="AH9:AH37" si="7">MAX(Z9:AG9)</f>
        <v>3.4568084691713636</v>
      </c>
      <c r="AI9" s="70">
        <f t="shared" ref="AI9:AJ37" si="8">POWER(AG9,2)</f>
        <v>2.4841965915783581</v>
      </c>
      <c r="AJ9" s="70">
        <f t="shared" si="8"/>
        <v>11.949524792534866</v>
      </c>
      <c r="AK9" s="71">
        <f t="shared" ref="AK9:AK37" si="9">SQRT((AI9+AJ9)/2)</f>
        <v>2.6864215402755787</v>
      </c>
      <c r="AL9" s="90" t="str">
        <f>IF(ISNUMBER(AK9),IF(AK9&lt;=1,"memenuhi",IF(AK9&lt;=5,"ringan",IF(AK9&lt;=10,"sedang","berat"))),"")</f>
        <v>ringan</v>
      </c>
    </row>
    <row r="10" spans="1:38" ht="17.25" thickBot="1" x14ac:dyDescent="0.35">
      <c r="A10" s="62">
        <v>3</v>
      </c>
      <c r="B10" s="63" t="s">
        <v>23</v>
      </c>
      <c r="C10" s="63"/>
      <c r="D10" s="87">
        <v>42989</v>
      </c>
      <c r="E10" s="76">
        <v>164</v>
      </c>
      <c r="F10" s="74">
        <v>0.9</v>
      </c>
      <c r="G10" s="74">
        <v>46</v>
      </c>
      <c r="H10" s="74">
        <v>139</v>
      </c>
      <c r="I10" s="74">
        <v>0.03</v>
      </c>
      <c r="J10" s="74">
        <v>130000</v>
      </c>
      <c r="K10" s="74">
        <v>240000</v>
      </c>
      <c r="L10" s="59">
        <v>50</v>
      </c>
      <c r="M10" s="59">
        <v>4</v>
      </c>
      <c r="N10" s="59">
        <v>3</v>
      </c>
      <c r="O10" s="59">
        <v>25</v>
      </c>
      <c r="P10" s="59">
        <v>0.2</v>
      </c>
      <c r="Q10" s="59">
        <v>1000</v>
      </c>
      <c r="R10" s="59">
        <v>5000</v>
      </c>
      <c r="S10" s="7">
        <f t="shared" si="0"/>
        <v>3.28</v>
      </c>
      <c r="T10" s="7">
        <f t="shared" si="1"/>
        <v>0.5083333333333333</v>
      </c>
      <c r="U10" s="7">
        <f t="shared" si="2"/>
        <v>15.333333333333334</v>
      </c>
      <c r="V10" s="7">
        <f t="shared" si="2"/>
        <v>5.56</v>
      </c>
      <c r="W10" s="8">
        <f t="shared" si="2"/>
        <v>0.15</v>
      </c>
      <c r="X10" s="7">
        <f t="shared" si="2"/>
        <v>130</v>
      </c>
      <c r="Y10" s="7">
        <f t="shared" si="2"/>
        <v>48</v>
      </c>
      <c r="Z10" s="9">
        <f>1+(5*(LOG10(E10/L10)))</f>
        <v>3.5793692185583956</v>
      </c>
      <c r="AA10" s="9">
        <f t="shared" si="3"/>
        <v>0.5083333333333333</v>
      </c>
      <c r="AB10" s="9">
        <f t="shared" si="5"/>
        <v>6.9281828848095586</v>
      </c>
      <c r="AC10" s="9">
        <f t="shared" si="5"/>
        <v>4.7253739579102874</v>
      </c>
      <c r="AD10" s="9">
        <f t="shared" si="3"/>
        <v>0.15</v>
      </c>
      <c r="AE10" s="9">
        <f t="shared" si="4"/>
        <v>11.569716761534185</v>
      </c>
      <c r="AF10" s="9">
        <f t="shared" si="4"/>
        <v>9.4062061868779363</v>
      </c>
      <c r="AG10" s="68">
        <f t="shared" si="6"/>
        <v>5.2667403347176718</v>
      </c>
      <c r="AH10" s="69">
        <f t="shared" si="7"/>
        <v>11.569716761534185</v>
      </c>
      <c r="AI10" s="70">
        <f t="shared" si="8"/>
        <v>27.738553753342014</v>
      </c>
      <c r="AJ10" s="70">
        <f t="shared" si="8"/>
        <v>133.85834594212506</v>
      </c>
      <c r="AK10" s="71">
        <f t="shared" si="9"/>
        <v>8.9887957951960136</v>
      </c>
      <c r="AL10" s="91" t="str">
        <f>IF(ISNUMBER(AK10),IF(AK10&lt;=1,"memenuhi",IF(AK10&lt;=5,"ringan",IF(AK10&lt;=10,"sedang","berat"))),"")</f>
        <v>sedang</v>
      </c>
    </row>
    <row r="11" spans="1:38" ht="17.25" thickBot="1" x14ac:dyDescent="0.35">
      <c r="A11" s="62">
        <v>4</v>
      </c>
      <c r="B11" s="63" t="s">
        <v>24</v>
      </c>
      <c r="C11" s="63"/>
      <c r="D11" s="87">
        <v>42990</v>
      </c>
      <c r="E11" s="76">
        <v>27</v>
      </c>
      <c r="F11" s="74">
        <v>4</v>
      </c>
      <c r="G11" s="74">
        <v>11</v>
      </c>
      <c r="H11" s="74">
        <v>45</v>
      </c>
      <c r="I11" s="74">
        <v>0.18</v>
      </c>
      <c r="J11" s="74">
        <v>4900</v>
      </c>
      <c r="K11" s="74">
        <v>7900</v>
      </c>
      <c r="L11" s="59">
        <v>50</v>
      </c>
      <c r="M11" s="59">
        <v>4</v>
      </c>
      <c r="N11" s="59">
        <v>3</v>
      </c>
      <c r="O11" s="59">
        <v>25</v>
      </c>
      <c r="P11" s="59">
        <v>0.2</v>
      </c>
      <c r="Q11" s="59">
        <v>1000</v>
      </c>
      <c r="R11" s="59">
        <v>5000</v>
      </c>
      <c r="S11" s="7">
        <f t="shared" si="0"/>
        <v>0.54</v>
      </c>
      <c r="T11" s="7">
        <f t="shared" si="1"/>
        <v>0.25</v>
      </c>
      <c r="U11" s="7">
        <f t="shared" si="2"/>
        <v>3.6666666666666665</v>
      </c>
      <c r="V11" s="7">
        <f t="shared" si="2"/>
        <v>1.8</v>
      </c>
      <c r="W11" s="8">
        <f t="shared" si="2"/>
        <v>0.89999999999999991</v>
      </c>
      <c r="X11" s="7">
        <f t="shared" si="2"/>
        <v>4.9000000000000004</v>
      </c>
      <c r="Y11" s="7">
        <f t="shared" si="2"/>
        <v>1.58</v>
      </c>
      <c r="Z11" s="9">
        <f t="shared" si="3"/>
        <v>0.54</v>
      </c>
      <c r="AA11" s="9">
        <f t="shared" si="3"/>
        <v>0.25</v>
      </c>
      <c r="AB11" s="9">
        <f t="shared" si="5"/>
        <v>3.8213571521928129</v>
      </c>
      <c r="AC11" s="9">
        <f t="shared" si="5"/>
        <v>2.2763625255165305</v>
      </c>
      <c r="AD11" s="9">
        <f t="shared" si="3"/>
        <v>0.89999999999999991</v>
      </c>
      <c r="AE11" s="9">
        <f t="shared" si="4"/>
        <v>4.4509804001425692</v>
      </c>
      <c r="AF11" s="9">
        <f t="shared" si="4"/>
        <v>1.9932854347721132</v>
      </c>
      <c r="AG11" s="68">
        <f t="shared" si="6"/>
        <v>2.0331407875177181</v>
      </c>
      <c r="AH11" s="69">
        <f t="shared" si="7"/>
        <v>4.4509804001425692</v>
      </c>
      <c r="AI11" s="70">
        <f t="shared" si="8"/>
        <v>4.1336614618681669</v>
      </c>
      <c r="AJ11" s="70">
        <f t="shared" si="8"/>
        <v>19.811226522453307</v>
      </c>
      <c r="AK11" s="71">
        <f t="shared" si="9"/>
        <v>3.460121962035549</v>
      </c>
      <c r="AL11" s="90" t="str">
        <f>IF(ISNUMBER(AK11),IF(AK11&lt;=1,"memenuhi",IF(AK11&lt;=5,"ringan",IF(AK11&lt;=10,"sedang","berat"))),"")</f>
        <v>ringan</v>
      </c>
    </row>
    <row r="12" spans="1:38" ht="17.25" thickBot="1" x14ac:dyDescent="0.35">
      <c r="A12" s="62">
        <v>5</v>
      </c>
      <c r="B12" s="63" t="s">
        <v>25</v>
      </c>
      <c r="C12" s="63"/>
      <c r="D12" s="87">
        <v>42990</v>
      </c>
      <c r="E12" s="76">
        <v>119</v>
      </c>
      <c r="F12" s="74">
        <v>2</v>
      </c>
      <c r="G12" s="74">
        <v>33</v>
      </c>
      <c r="H12" s="74">
        <v>104</v>
      </c>
      <c r="I12" s="74">
        <v>1</v>
      </c>
      <c r="J12" s="74">
        <v>13000</v>
      </c>
      <c r="K12" s="74">
        <v>24000</v>
      </c>
      <c r="L12" s="59">
        <v>50</v>
      </c>
      <c r="M12" s="59">
        <v>4</v>
      </c>
      <c r="N12" s="59">
        <v>3</v>
      </c>
      <c r="O12" s="59">
        <v>25</v>
      </c>
      <c r="P12" s="59">
        <v>0.2</v>
      </c>
      <c r="Q12" s="59">
        <v>1000</v>
      </c>
      <c r="R12" s="59">
        <v>5000</v>
      </c>
      <c r="S12" s="7">
        <f t="shared" si="0"/>
        <v>2.38</v>
      </c>
      <c r="T12" s="7">
        <f t="shared" si="1"/>
        <v>0.41666666666666669</v>
      </c>
      <c r="U12" s="7">
        <f t="shared" si="2"/>
        <v>11</v>
      </c>
      <c r="V12" s="7">
        <f t="shared" si="2"/>
        <v>4.16</v>
      </c>
      <c r="W12" s="8">
        <f t="shared" si="2"/>
        <v>5</v>
      </c>
      <c r="X12" s="7">
        <f t="shared" si="2"/>
        <v>13</v>
      </c>
      <c r="Y12" s="7">
        <f t="shared" si="2"/>
        <v>4.8</v>
      </c>
      <c r="Z12" s="9">
        <f>1+(5*(LOG10(E12/L12)))</f>
        <v>2.8828847852825596</v>
      </c>
      <c r="AA12" s="9">
        <f t="shared" si="3"/>
        <v>0.41666666666666669</v>
      </c>
      <c r="AB12" s="9">
        <f t="shared" si="5"/>
        <v>6.2069634257911259</v>
      </c>
      <c r="AC12" s="9">
        <f t="shared" si="5"/>
        <v>4.0954666531337143</v>
      </c>
      <c r="AD12" s="9">
        <f>1+(5*(LOG10(I12/P12)))</f>
        <v>4.4948500216800937</v>
      </c>
      <c r="AE12" s="9">
        <f t="shared" si="4"/>
        <v>6.5697167615341838</v>
      </c>
      <c r="AF12" s="9">
        <f t="shared" si="4"/>
        <v>4.4062061868779363</v>
      </c>
      <c r="AG12" s="68">
        <f t="shared" si="6"/>
        <v>4.1532506429951832</v>
      </c>
      <c r="AH12" s="69">
        <f t="shared" si="7"/>
        <v>6.5697167615341838</v>
      </c>
      <c r="AI12" s="70">
        <f t="shared" si="8"/>
        <v>17.249490903539904</v>
      </c>
      <c r="AJ12" s="70">
        <f t="shared" si="8"/>
        <v>43.161178326783201</v>
      </c>
      <c r="AK12" s="71">
        <f t="shared" si="9"/>
        <v>5.4959380104911624</v>
      </c>
      <c r="AL12" s="91" t="str">
        <f>IF(ISNUMBER(AK12),IF(AK12&lt;=1,"memenuhi",IF(AK12&lt;=5,"ringan",IF(AK12&lt;=10,"sedang","berat"))),"")</f>
        <v>sedang</v>
      </c>
    </row>
    <row r="13" spans="1:38" ht="17.25" thickBot="1" x14ac:dyDescent="0.35">
      <c r="A13" s="62">
        <v>6</v>
      </c>
      <c r="B13" s="63" t="s">
        <v>26</v>
      </c>
      <c r="C13" s="63"/>
      <c r="D13" s="87">
        <v>42990</v>
      </c>
      <c r="E13" s="76">
        <v>72</v>
      </c>
      <c r="F13" s="74">
        <v>2</v>
      </c>
      <c r="G13" s="74">
        <v>78</v>
      </c>
      <c r="H13" s="74">
        <v>269</v>
      </c>
      <c r="I13" s="74">
        <v>0.5</v>
      </c>
      <c r="J13" s="74">
        <v>280000</v>
      </c>
      <c r="K13" s="74">
        <v>350000</v>
      </c>
      <c r="L13" s="59">
        <v>50</v>
      </c>
      <c r="M13" s="59">
        <v>4</v>
      </c>
      <c r="N13" s="59">
        <v>3</v>
      </c>
      <c r="O13" s="59">
        <v>25</v>
      </c>
      <c r="P13" s="59">
        <v>0.2</v>
      </c>
      <c r="Q13" s="59">
        <v>1000</v>
      </c>
      <c r="R13" s="59">
        <v>5000</v>
      </c>
      <c r="S13" s="7">
        <f t="shared" si="0"/>
        <v>1.44</v>
      </c>
      <c r="T13" s="7">
        <f t="shared" si="1"/>
        <v>0.41666666666666669</v>
      </c>
      <c r="U13" s="7">
        <f t="shared" si="2"/>
        <v>26</v>
      </c>
      <c r="V13" s="7">
        <f t="shared" si="2"/>
        <v>10.76</v>
      </c>
      <c r="W13" s="8">
        <f t="shared" si="2"/>
        <v>2.5</v>
      </c>
      <c r="X13" s="7">
        <f t="shared" si="2"/>
        <v>280</v>
      </c>
      <c r="Y13" s="7">
        <f t="shared" si="2"/>
        <v>70</v>
      </c>
      <c r="Z13" s="9">
        <f>1+(5*(LOG10(E13/L13)))</f>
        <v>1.7918124604762482</v>
      </c>
      <c r="AA13" s="9">
        <f t="shared" si="3"/>
        <v>0.41666666666666669</v>
      </c>
      <c r="AB13" s="9">
        <f t="shared" si="5"/>
        <v>8.074866739854091</v>
      </c>
      <c r="AC13" s="9">
        <f t="shared" si="5"/>
        <v>6.1590613566518515</v>
      </c>
      <c r="AD13" s="9">
        <f>1+(5*(LOG10(I13/P13)))</f>
        <v>2.9897000433601879</v>
      </c>
      <c r="AE13" s="9">
        <f t="shared" si="4"/>
        <v>13.235790156711097</v>
      </c>
      <c r="AF13" s="9">
        <f t="shared" si="4"/>
        <v>10.225490200071285</v>
      </c>
      <c r="AG13" s="68">
        <f t="shared" si="6"/>
        <v>6.1276268033987753</v>
      </c>
      <c r="AH13" s="69">
        <f t="shared" si="7"/>
        <v>13.235790156711097</v>
      </c>
      <c r="AI13" s="70">
        <f t="shared" si="8"/>
        <v>37.547810241731092</v>
      </c>
      <c r="AJ13" s="70">
        <f t="shared" si="8"/>
        <v>175.18614107249036</v>
      </c>
      <c r="AK13" s="71">
        <f t="shared" si="9"/>
        <v>10.313436655989639</v>
      </c>
      <c r="AL13" s="92" t="str">
        <f t="shared" ref="AL13:AL37" si="10">IF(ISNUMBER(AK13),IF(AK13&lt;=1,"memenuhi",IF(AK13&lt;=5,"ringan",IF(AK13&lt;=10,"sedang","berat"))),"")</f>
        <v>berat</v>
      </c>
    </row>
    <row r="14" spans="1:38" ht="17.25" thickBot="1" x14ac:dyDescent="0.35">
      <c r="A14" s="62">
        <v>7</v>
      </c>
      <c r="B14" s="63" t="s">
        <v>27</v>
      </c>
      <c r="C14" s="63"/>
      <c r="D14" s="87">
        <v>42990</v>
      </c>
      <c r="E14" s="76">
        <v>141</v>
      </c>
      <c r="F14" s="74">
        <v>6</v>
      </c>
      <c r="G14" s="74">
        <v>23</v>
      </c>
      <c r="H14" s="74">
        <v>72</v>
      </c>
      <c r="I14" s="74">
        <v>0.7</v>
      </c>
      <c r="J14" s="74">
        <v>13000</v>
      </c>
      <c r="K14" s="74">
        <v>24000</v>
      </c>
      <c r="L14" s="59">
        <v>50</v>
      </c>
      <c r="M14" s="59">
        <v>4</v>
      </c>
      <c r="N14" s="59">
        <v>3</v>
      </c>
      <c r="O14" s="59">
        <v>25</v>
      </c>
      <c r="P14" s="59">
        <v>0.2</v>
      </c>
      <c r="Q14" s="59">
        <v>1000</v>
      </c>
      <c r="R14" s="59">
        <v>5000</v>
      </c>
      <c r="S14" s="7">
        <f t="shared" si="0"/>
        <v>2.82</v>
      </c>
      <c r="T14" s="7">
        <f t="shared" si="1"/>
        <v>8.3333333333333329E-2</v>
      </c>
      <c r="U14" s="7">
        <f t="shared" si="2"/>
        <v>7.666666666666667</v>
      </c>
      <c r="V14" s="7">
        <f t="shared" si="2"/>
        <v>2.88</v>
      </c>
      <c r="W14" s="8">
        <f t="shared" si="2"/>
        <v>3.4999999999999996</v>
      </c>
      <c r="X14" s="7">
        <f t="shared" si="2"/>
        <v>13</v>
      </c>
      <c r="Y14" s="7">
        <f t="shared" si="2"/>
        <v>4.8</v>
      </c>
      <c r="Z14" s="9">
        <f>1+(5*(LOG10(E14/L14)))</f>
        <v>3.2512455415968051</v>
      </c>
      <c r="AA14" s="9">
        <f t="shared" si="3"/>
        <v>8.3333333333333329E-2</v>
      </c>
      <c r="AB14" s="9">
        <f t="shared" si="5"/>
        <v>5.4230329064896523</v>
      </c>
      <c r="AC14" s="9">
        <f t="shared" si="5"/>
        <v>3.2969624387961542</v>
      </c>
      <c r="AD14" s="9">
        <f>1+(5*(LOG10(I14/P14)))</f>
        <v>3.7203402217513779</v>
      </c>
      <c r="AE14" s="9">
        <f t="shared" si="4"/>
        <v>6.5697167615341838</v>
      </c>
      <c r="AF14" s="9">
        <f t="shared" si="4"/>
        <v>4.4062061868779363</v>
      </c>
      <c r="AG14" s="68">
        <f t="shared" si="6"/>
        <v>3.821548198625635</v>
      </c>
      <c r="AH14" s="69">
        <f t="shared" si="7"/>
        <v>6.5697167615341838</v>
      </c>
      <c r="AI14" s="70">
        <f t="shared" si="8"/>
        <v>14.604230634418835</v>
      </c>
      <c r="AJ14" s="70">
        <f t="shared" si="8"/>
        <v>43.161178326783201</v>
      </c>
      <c r="AK14" s="71">
        <f t="shared" si="9"/>
        <v>5.3742631569919439</v>
      </c>
      <c r="AL14" s="91" t="str">
        <f t="shared" si="10"/>
        <v>sedang</v>
      </c>
    </row>
    <row r="15" spans="1:38" ht="17.25" thickBot="1" x14ac:dyDescent="0.35">
      <c r="A15" s="62">
        <v>8</v>
      </c>
      <c r="B15" s="63" t="s">
        <v>28</v>
      </c>
      <c r="C15" s="63"/>
      <c r="D15" s="87">
        <v>42990</v>
      </c>
      <c r="E15" s="76">
        <v>98</v>
      </c>
      <c r="F15" s="74">
        <v>4</v>
      </c>
      <c r="G15" s="74">
        <v>50</v>
      </c>
      <c r="H15" s="74">
        <v>156</v>
      </c>
      <c r="I15" s="74">
        <v>0.1</v>
      </c>
      <c r="J15" s="74">
        <v>22000</v>
      </c>
      <c r="K15" s="74">
        <v>28000</v>
      </c>
      <c r="L15" s="59">
        <v>50</v>
      </c>
      <c r="M15" s="59">
        <v>4</v>
      </c>
      <c r="N15" s="59">
        <v>3</v>
      </c>
      <c r="O15" s="59">
        <v>25</v>
      </c>
      <c r="P15" s="59">
        <v>0.2</v>
      </c>
      <c r="Q15" s="59">
        <v>1000</v>
      </c>
      <c r="R15" s="59">
        <v>5000</v>
      </c>
      <c r="S15" s="7">
        <f t="shared" si="0"/>
        <v>1.96</v>
      </c>
      <c r="T15" s="7">
        <f t="shared" si="1"/>
        <v>0.25</v>
      </c>
      <c r="U15" s="7">
        <f t="shared" si="2"/>
        <v>16.666666666666668</v>
      </c>
      <c r="V15" s="7">
        <f t="shared" si="2"/>
        <v>6.24</v>
      </c>
      <c r="W15" s="8">
        <f t="shared" si="2"/>
        <v>0.5</v>
      </c>
      <c r="X15" s="7">
        <f t="shared" si="2"/>
        <v>22</v>
      </c>
      <c r="Y15" s="7">
        <f t="shared" si="2"/>
        <v>5.6</v>
      </c>
      <c r="Z15" s="9">
        <f>1+(5*(LOG10(E15/L15)))</f>
        <v>2.46128035678238</v>
      </c>
      <c r="AA15" s="9">
        <f t="shared" si="3"/>
        <v>0.25</v>
      </c>
      <c r="AB15" s="9">
        <f t="shared" si="5"/>
        <v>7.1092437480817816</v>
      </c>
      <c r="AC15" s="9">
        <f t="shared" si="5"/>
        <v>4.9759229484121201</v>
      </c>
      <c r="AD15" s="9">
        <f t="shared" si="3"/>
        <v>0.5</v>
      </c>
      <c r="AE15" s="9">
        <f t="shared" si="4"/>
        <v>7.7121134041110313</v>
      </c>
      <c r="AF15" s="9">
        <f t="shared" si="4"/>
        <v>4.7409401350310016</v>
      </c>
      <c r="AG15" s="68">
        <f t="shared" si="6"/>
        <v>3.9642143703454735</v>
      </c>
      <c r="AH15" s="69">
        <f t="shared" si="7"/>
        <v>7.7121134041110313</v>
      </c>
      <c r="AI15" s="70">
        <f t="shared" si="8"/>
        <v>15.714995574053559</v>
      </c>
      <c r="AJ15" s="70">
        <f t="shared" si="8"/>
        <v>59.476693157869036</v>
      </c>
      <c r="AK15" s="71">
        <f t="shared" si="9"/>
        <v>6.1315450227460042</v>
      </c>
      <c r="AL15" s="91" t="str">
        <f t="shared" si="10"/>
        <v>sedang</v>
      </c>
    </row>
    <row r="16" spans="1:38" ht="17.25" thickBot="1" x14ac:dyDescent="0.35">
      <c r="A16" s="62">
        <v>9</v>
      </c>
      <c r="B16" s="63" t="s">
        <v>29</v>
      </c>
      <c r="C16" s="63"/>
      <c r="D16" s="87">
        <v>42990</v>
      </c>
      <c r="E16" s="76">
        <v>38</v>
      </c>
      <c r="F16" s="74">
        <v>3</v>
      </c>
      <c r="G16" s="74">
        <v>20</v>
      </c>
      <c r="H16" s="74">
        <v>77</v>
      </c>
      <c r="I16" s="74">
        <v>0.17</v>
      </c>
      <c r="J16" s="74">
        <v>28000</v>
      </c>
      <c r="K16" s="74">
        <v>35000</v>
      </c>
      <c r="L16" s="59">
        <v>50</v>
      </c>
      <c r="M16" s="59">
        <v>4</v>
      </c>
      <c r="N16" s="59">
        <v>3</v>
      </c>
      <c r="O16" s="59">
        <v>25</v>
      </c>
      <c r="P16" s="59">
        <v>0.2</v>
      </c>
      <c r="Q16" s="59">
        <v>1000</v>
      </c>
      <c r="R16" s="59">
        <v>5000</v>
      </c>
      <c r="S16" s="7">
        <f t="shared" si="0"/>
        <v>0.76</v>
      </c>
      <c r="T16" s="7">
        <f t="shared" si="1"/>
        <v>0.33333333333333331</v>
      </c>
      <c r="U16" s="7">
        <f t="shared" si="2"/>
        <v>6.666666666666667</v>
      </c>
      <c r="V16" s="7">
        <f t="shared" si="2"/>
        <v>3.08</v>
      </c>
      <c r="W16" s="8">
        <f t="shared" si="2"/>
        <v>0.85</v>
      </c>
      <c r="X16" s="7">
        <f t="shared" si="2"/>
        <v>28</v>
      </c>
      <c r="Y16" s="7">
        <f t="shared" si="2"/>
        <v>7</v>
      </c>
      <c r="Z16" s="9">
        <f t="shared" si="3"/>
        <v>0.76</v>
      </c>
      <c r="AA16" s="9">
        <f t="shared" si="3"/>
        <v>0.33333333333333331</v>
      </c>
      <c r="AB16" s="9">
        <f t="shared" si="5"/>
        <v>5.1195437047215941</v>
      </c>
      <c r="AC16" s="9">
        <f t="shared" si="5"/>
        <v>3.4427535825022213</v>
      </c>
      <c r="AD16" s="9">
        <f t="shared" si="3"/>
        <v>0.85</v>
      </c>
      <c r="AE16" s="9">
        <f t="shared" si="4"/>
        <v>8.2357901567110972</v>
      </c>
      <c r="AF16" s="9">
        <f t="shared" si="4"/>
        <v>5.2254902000712837</v>
      </c>
      <c r="AG16" s="68">
        <f t="shared" si="6"/>
        <v>3.4238444253342188</v>
      </c>
      <c r="AH16" s="69">
        <f t="shared" si="7"/>
        <v>8.2357901567110972</v>
      </c>
      <c r="AI16" s="70">
        <f t="shared" si="8"/>
        <v>11.722710648892207</v>
      </c>
      <c r="AJ16" s="70">
        <f t="shared" si="8"/>
        <v>67.8282395053794</v>
      </c>
      <c r="AK16" s="71">
        <f t="shared" si="9"/>
        <v>6.3067800879003064</v>
      </c>
      <c r="AL16" s="91" t="str">
        <f t="shared" si="10"/>
        <v>sedang</v>
      </c>
    </row>
    <row r="17" spans="1:38" ht="17.25" thickBot="1" x14ac:dyDescent="0.35">
      <c r="A17" s="62">
        <v>10</v>
      </c>
      <c r="B17" s="63" t="s">
        <v>30</v>
      </c>
      <c r="C17" s="63"/>
      <c r="D17" s="87">
        <v>42991</v>
      </c>
      <c r="E17" s="76">
        <v>42</v>
      </c>
      <c r="F17" s="74">
        <v>5</v>
      </c>
      <c r="G17" s="74">
        <v>21</v>
      </c>
      <c r="H17" s="74">
        <v>28</v>
      </c>
      <c r="I17" s="74">
        <v>0.9</v>
      </c>
      <c r="J17" s="74">
        <v>13000</v>
      </c>
      <c r="K17" s="74">
        <v>24000</v>
      </c>
      <c r="L17" s="59">
        <v>50</v>
      </c>
      <c r="M17" s="59">
        <v>4</v>
      </c>
      <c r="N17" s="59">
        <v>3</v>
      </c>
      <c r="O17" s="59">
        <v>25</v>
      </c>
      <c r="P17" s="59">
        <v>0.2</v>
      </c>
      <c r="Q17" s="59">
        <v>1000</v>
      </c>
      <c r="R17" s="59">
        <v>5000</v>
      </c>
      <c r="S17" s="7">
        <f t="shared" si="0"/>
        <v>0.84</v>
      </c>
      <c r="T17" s="7">
        <f t="shared" si="1"/>
        <v>0.16666666666666666</v>
      </c>
      <c r="U17" s="7">
        <f t="shared" si="2"/>
        <v>7</v>
      </c>
      <c r="V17" s="7">
        <f t="shared" si="2"/>
        <v>1.1200000000000001</v>
      </c>
      <c r="W17" s="8">
        <f t="shared" si="2"/>
        <v>4.5</v>
      </c>
      <c r="X17" s="7">
        <f t="shared" si="2"/>
        <v>13</v>
      </c>
      <c r="Y17" s="7">
        <f t="shared" si="2"/>
        <v>4.8</v>
      </c>
      <c r="Z17" s="9">
        <f t="shared" si="3"/>
        <v>0.84</v>
      </c>
      <c r="AA17" s="9">
        <f t="shared" si="3"/>
        <v>0.16666666666666666</v>
      </c>
      <c r="AB17" s="9">
        <f t="shared" si="5"/>
        <v>5.2254902000712837</v>
      </c>
      <c r="AC17" s="9">
        <f t="shared" si="5"/>
        <v>1.2460901133509084</v>
      </c>
      <c r="AD17" s="9">
        <f>1+(5*(LOG10(I17/P17)))</f>
        <v>4.2660625688767189</v>
      </c>
      <c r="AE17" s="9">
        <f t="shared" si="4"/>
        <v>6.5697167615341838</v>
      </c>
      <c r="AF17" s="9">
        <f t="shared" si="4"/>
        <v>4.4062061868779363</v>
      </c>
      <c r="AG17" s="68">
        <f t="shared" si="6"/>
        <v>3.2457474996253857</v>
      </c>
      <c r="AH17" s="69">
        <f>MAX(Z17:AG17)</f>
        <v>6.5697167615341838</v>
      </c>
      <c r="AI17" s="70">
        <f t="shared" si="8"/>
        <v>10.534876831324443</v>
      </c>
      <c r="AJ17" s="70">
        <f t="shared" si="8"/>
        <v>43.161178326783201</v>
      </c>
      <c r="AK17" s="71">
        <f t="shared" si="9"/>
        <v>5.181508234004248</v>
      </c>
      <c r="AL17" s="91" t="str">
        <f t="shared" si="10"/>
        <v>sedang</v>
      </c>
    </row>
    <row r="18" spans="1:38" ht="17.25" thickBot="1" x14ac:dyDescent="0.35">
      <c r="A18" s="62">
        <v>11</v>
      </c>
      <c r="B18" s="63" t="s">
        <v>31</v>
      </c>
      <c r="C18" s="63"/>
      <c r="D18" s="87">
        <v>42991</v>
      </c>
      <c r="E18" s="76">
        <v>40</v>
      </c>
      <c r="F18" s="74">
        <v>2</v>
      </c>
      <c r="G18" s="74">
        <v>28</v>
      </c>
      <c r="H18" s="74">
        <v>109</v>
      </c>
      <c r="I18" s="74">
        <v>3</v>
      </c>
      <c r="J18" s="74">
        <v>130000</v>
      </c>
      <c r="K18" s="74">
        <v>240000</v>
      </c>
      <c r="L18" s="59">
        <v>50</v>
      </c>
      <c r="M18" s="59">
        <v>4</v>
      </c>
      <c r="N18" s="59">
        <v>3</v>
      </c>
      <c r="O18" s="59">
        <v>25</v>
      </c>
      <c r="P18" s="59">
        <v>0.2</v>
      </c>
      <c r="Q18" s="59">
        <v>1000</v>
      </c>
      <c r="R18" s="59">
        <v>5000</v>
      </c>
      <c r="S18" s="7">
        <f t="shared" si="0"/>
        <v>0.8</v>
      </c>
      <c r="T18" s="7">
        <f t="shared" si="1"/>
        <v>0.41666666666666669</v>
      </c>
      <c r="U18" s="7">
        <f t="shared" si="2"/>
        <v>9.3333333333333339</v>
      </c>
      <c r="V18" s="7">
        <f t="shared" si="2"/>
        <v>4.3600000000000003</v>
      </c>
      <c r="W18" s="8">
        <f t="shared" si="2"/>
        <v>15</v>
      </c>
      <c r="X18" s="7">
        <f t="shared" si="2"/>
        <v>130</v>
      </c>
      <c r="Y18" s="7">
        <f t="shared" si="2"/>
        <v>48</v>
      </c>
      <c r="Z18" s="9">
        <f t="shared" si="3"/>
        <v>0.8</v>
      </c>
      <c r="AA18" s="9">
        <f t="shared" si="3"/>
        <v>0.41666666666666669</v>
      </c>
      <c r="AB18" s="9">
        <f t="shared" si="5"/>
        <v>5.8501838831127841</v>
      </c>
      <c r="AC18" s="9">
        <f t="shared" si="5"/>
        <v>4.1974324463429307</v>
      </c>
      <c r="AD18" s="9">
        <f>1+(5*(LOG10(I18/P18)))</f>
        <v>6.8804562952784067</v>
      </c>
      <c r="AE18" s="9">
        <f t="shared" si="4"/>
        <v>11.569716761534185</v>
      </c>
      <c r="AF18" s="9">
        <f t="shared" si="4"/>
        <v>9.4062061868779363</v>
      </c>
      <c r="AG18" s="68">
        <f t="shared" si="6"/>
        <v>5.5886660342589867</v>
      </c>
      <c r="AH18" s="69">
        <f t="shared" si="7"/>
        <v>11.569716761534185</v>
      </c>
      <c r="AI18" s="70">
        <f t="shared" si="8"/>
        <v>31.233188042480069</v>
      </c>
      <c r="AJ18" s="70">
        <f t="shared" si="8"/>
        <v>133.85834594212506</v>
      </c>
      <c r="AK18" s="71">
        <f t="shared" si="9"/>
        <v>9.0854701029887579</v>
      </c>
      <c r="AL18" s="91" t="str">
        <f t="shared" si="10"/>
        <v>sedang</v>
      </c>
    </row>
    <row r="19" spans="1:38" ht="17.25" thickBot="1" x14ac:dyDescent="0.35">
      <c r="A19" s="62">
        <v>12</v>
      </c>
      <c r="B19" s="63" t="s">
        <v>32</v>
      </c>
      <c r="C19" s="63"/>
      <c r="D19" s="87">
        <v>42990</v>
      </c>
      <c r="E19" s="76">
        <v>430</v>
      </c>
      <c r="F19" s="74">
        <v>0.4</v>
      </c>
      <c r="G19" s="74">
        <v>234</v>
      </c>
      <c r="H19" s="74">
        <v>668</v>
      </c>
      <c r="I19" s="74">
        <v>0.18</v>
      </c>
      <c r="J19" s="74">
        <v>130000</v>
      </c>
      <c r="K19" s="74">
        <v>240000</v>
      </c>
      <c r="L19" s="59">
        <v>50</v>
      </c>
      <c r="M19" s="59">
        <v>4</v>
      </c>
      <c r="N19" s="59">
        <v>3</v>
      </c>
      <c r="O19" s="59">
        <v>25</v>
      </c>
      <c r="P19" s="59">
        <v>0.2</v>
      </c>
      <c r="Q19" s="59">
        <v>1000</v>
      </c>
      <c r="R19" s="59">
        <v>5000</v>
      </c>
      <c r="S19" s="7">
        <f t="shared" si="0"/>
        <v>8.6</v>
      </c>
      <c r="T19" s="7">
        <f t="shared" si="1"/>
        <v>0.54999999999999993</v>
      </c>
      <c r="U19" s="7">
        <f t="shared" si="2"/>
        <v>78</v>
      </c>
      <c r="V19" s="7">
        <f t="shared" si="2"/>
        <v>26.72</v>
      </c>
      <c r="W19" s="8">
        <f t="shared" si="2"/>
        <v>0.89999999999999991</v>
      </c>
      <c r="X19" s="7">
        <f t="shared" si="2"/>
        <v>130</v>
      </c>
      <c r="Y19" s="7">
        <f t="shared" si="2"/>
        <v>48</v>
      </c>
      <c r="Z19" s="9">
        <f>1+(5*(LOG10(E19/L19)))</f>
        <v>5.6724922562178381</v>
      </c>
      <c r="AA19" s="9">
        <f t="shared" si="3"/>
        <v>0.54999999999999993</v>
      </c>
      <c r="AB19" s="9">
        <f t="shared" si="5"/>
        <v>10.460473013452402</v>
      </c>
      <c r="AC19" s="9">
        <f t="shared" si="5"/>
        <v>8.1341822690175398</v>
      </c>
      <c r="AD19" s="9">
        <f>W19</f>
        <v>0.89999999999999991</v>
      </c>
      <c r="AE19" s="9">
        <f t="shared" si="4"/>
        <v>11.569716761534185</v>
      </c>
      <c r="AF19" s="9">
        <f t="shared" si="4"/>
        <v>9.4062061868779363</v>
      </c>
      <c r="AG19" s="68">
        <f t="shared" si="6"/>
        <v>6.6704386410142718</v>
      </c>
      <c r="AH19" s="69">
        <f t="shared" si="7"/>
        <v>11.569716761534185</v>
      </c>
      <c r="AI19" s="70">
        <f t="shared" si="8"/>
        <v>44.494751663536327</v>
      </c>
      <c r="AJ19" s="70">
        <f t="shared" si="8"/>
        <v>133.85834594212506</v>
      </c>
      <c r="AK19" s="71">
        <f t="shared" si="9"/>
        <v>9.4433335640985749</v>
      </c>
      <c r="AL19" s="91" t="str">
        <f t="shared" si="10"/>
        <v>sedang</v>
      </c>
    </row>
    <row r="20" spans="1:38" ht="17.25" thickBot="1" x14ac:dyDescent="0.35">
      <c r="A20" s="62">
        <v>13</v>
      </c>
      <c r="B20" s="63" t="s">
        <v>33</v>
      </c>
      <c r="C20" s="63"/>
      <c r="D20" s="87">
        <v>42989</v>
      </c>
      <c r="E20" s="76">
        <v>13</v>
      </c>
      <c r="F20" s="74">
        <v>0.9</v>
      </c>
      <c r="G20" s="74">
        <v>8</v>
      </c>
      <c r="H20" s="74">
        <v>39</v>
      </c>
      <c r="I20" s="74">
        <v>0.3</v>
      </c>
      <c r="J20" s="74">
        <v>4900</v>
      </c>
      <c r="K20" s="74">
        <v>7000</v>
      </c>
      <c r="L20" s="59">
        <v>50</v>
      </c>
      <c r="M20" s="59">
        <v>4</v>
      </c>
      <c r="N20" s="59">
        <v>3</v>
      </c>
      <c r="O20" s="59">
        <v>25</v>
      </c>
      <c r="P20" s="59">
        <v>0.2</v>
      </c>
      <c r="Q20" s="59">
        <v>1000</v>
      </c>
      <c r="R20" s="59">
        <v>5000</v>
      </c>
      <c r="S20" s="7">
        <f t="shared" si="0"/>
        <v>0.26</v>
      </c>
      <c r="T20" s="7">
        <f t="shared" si="1"/>
        <v>0.5083333333333333</v>
      </c>
      <c r="U20" s="7">
        <f t="shared" si="2"/>
        <v>2.6666666666666665</v>
      </c>
      <c r="V20" s="7">
        <f t="shared" si="2"/>
        <v>1.56</v>
      </c>
      <c r="W20" s="8">
        <f t="shared" si="2"/>
        <v>1.4999999999999998</v>
      </c>
      <c r="X20" s="7">
        <f t="shared" si="2"/>
        <v>4.9000000000000004</v>
      </c>
      <c r="Y20" s="7">
        <f t="shared" si="2"/>
        <v>1.4</v>
      </c>
      <c r="Z20" s="9">
        <f t="shared" si="3"/>
        <v>0.26</v>
      </c>
      <c r="AA20" s="9">
        <f t="shared" si="3"/>
        <v>0.5083333333333333</v>
      </c>
      <c r="AB20" s="9">
        <f t="shared" si="5"/>
        <v>3.1298436613614053</v>
      </c>
      <c r="AC20" s="9">
        <f t="shared" si="5"/>
        <v>1.965622991772308</v>
      </c>
      <c r="AD20" s="9">
        <f>1+(5*(LOG10(I20/P20)))</f>
        <v>1.8804562952784059</v>
      </c>
      <c r="AE20" s="9">
        <f t="shared" si="4"/>
        <v>4.4509804001425692</v>
      </c>
      <c r="AF20" s="9">
        <f t="shared" si="4"/>
        <v>1.73064017839119</v>
      </c>
      <c r="AG20" s="68">
        <f t="shared" si="6"/>
        <v>1.9894109800398876</v>
      </c>
      <c r="AH20" s="69">
        <f t="shared" si="7"/>
        <v>4.4509804001425692</v>
      </c>
      <c r="AI20" s="70">
        <f t="shared" si="8"/>
        <v>3.957756047503266</v>
      </c>
      <c r="AJ20" s="70">
        <f t="shared" si="8"/>
        <v>19.811226522453307</v>
      </c>
      <c r="AK20" s="71">
        <f t="shared" si="9"/>
        <v>3.4473890533240206</v>
      </c>
      <c r="AL20" s="90" t="str">
        <f t="shared" si="10"/>
        <v>ringan</v>
      </c>
    </row>
    <row r="21" spans="1:38" ht="17.25" thickBot="1" x14ac:dyDescent="0.35">
      <c r="A21" s="62">
        <v>14</v>
      </c>
      <c r="B21" s="63" t="s">
        <v>34</v>
      </c>
      <c r="C21" s="63"/>
      <c r="D21" s="87">
        <v>42989</v>
      </c>
      <c r="E21" s="76">
        <v>161</v>
      </c>
      <c r="F21" s="74">
        <v>0.9</v>
      </c>
      <c r="G21" s="74">
        <v>28</v>
      </c>
      <c r="H21" s="74">
        <v>253</v>
      </c>
      <c r="I21" s="74">
        <v>0.5</v>
      </c>
      <c r="J21" s="74">
        <v>280000</v>
      </c>
      <c r="K21" s="74">
        <v>350000</v>
      </c>
      <c r="L21" s="59">
        <v>50</v>
      </c>
      <c r="M21" s="59">
        <v>4</v>
      </c>
      <c r="N21" s="59">
        <v>3</v>
      </c>
      <c r="O21" s="59">
        <v>25</v>
      </c>
      <c r="P21" s="59">
        <v>0.2</v>
      </c>
      <c r="Q21" s="59">
        <v>1000</v>
      </c>
      <c r="R21" s="59">
        <v>5000</v>
      </c>
      <c r="S21" s="7">
        <f t="shared" si="0"/>
        <v>3.22</v>
      </c>
      <c r="T21" s="7">
        <f t="shared" si="1"/>
        <v>0.5083333333333333</v>
      </c>
      <c r="U21" s="7">
        <f t="shared" si="2"/>
        <v>9.3333333333333339</v>
      </c>
      <c r="V21" s="7">
        <f t="shared" si="2"/>
        <v>10.119999999999999</v>
      </c>
      <c r="W21" s="8">
        <f t="shared" si="2"/>
        <v>2.5</v>
      </c>
      <c r="X21" s="7">
        <f t="shared" si="2"/>
        <v>280</v>
      </c>
      <c r="Y21" s="7">
        <f t="shared" si="2"/>
        <v>70</v>
      </c>
      <c r="Z21" s="9">
        <f t="shared" ref="Z21:Z26" si="11">1+(5*(LOG10(E21/L21)))</f>
        <v>3.5392793584791544</v>
      </c>
      <c r="AA21" s="9">
        <f t="shared" si="3"/>
        <v>0.5083333333333333</v>
      </c>
      <c r="AB21" s="9">
        <f t="shared" si="5"/>
        <v>5.8501838831127841</v>
      </c>
      <c r="AC21" s="9">
        <f t="shared" si="5"/>
        <v>6.0259025625189011</v>
      </c>
      <c r="AD21" s="9">
        <f>1+(5*(LOG10(I21/P21)))</f>
        <v>2.9897000433601879</v>
      </c>
      <c r="AE21" s="9">
        <f t="shared" si="4"/>
        <v>13.235790156711097</v>
      </c>
      <c r="AF21" s="9">
        <f t="shared" si="4"/>
        <v>10.225490200071285</v>
      </c>
      <c r="AG21" s="68">
        <f t="shared" si="6"/>
        <v>6.0535256482266773</v>
      </c>
      <c r="AH21" s="69">
        <f t="shared" si="7"/>
        <v>13.235790156711097</v>
      </c>
      <c r="AI21" s="70">
        <f t="shared" si="8"/>
        <v>36.64517277373821</v>
      </c>
      <c r="AJ21" s="70">
        <f t="shared" si="8"/>
        <v>175.18614107249036</v>
      </c>
      <c r="AK21" s="71">
        <f t="shared" si="9"/>
        <v>10.291533263956071</v>
      </c>
      <c r="AL21" s="92" t="str">
        <f t="shared" si="10"/>
        <v>berat</v>
      </c>
    </row>
    <row r="22" spans="1:38" ht="17.25" thickBot="1" x14ac:dyDescent="0.35">
      <c r="A22" s="62">
        <v>15</v>
      </c>
      <c r="B22" s="63" t="s">
        <v>35</v>
      </c>
      <c r="C22" s="63"/>
      <c r="D22" s="87">
        <v>42989</v>
      </c>
      <c r="E22" s="76">
        <v>730</v>
      </c>
      <c r="F22" s="74">
        <v>0.4</v>
      </c>
      <c r="G22" s="74">
        <v>275</v>
      </c>
      <c r="H22" s="74">
        <v>387</v>
      </c>
      <c r="I22" s="74">
        <v>0.8</v>
      </c>
      <c r="J22" s="74">
        <v>350000</v>
      </c>
      <c r="K22" s="74">
        <v>430000</v>
      </c>
      <c r="L22" s="59">
        <v>50</v>
      </c>
      <c r="M22" s="59">
        <v>4</v>
      </c>
      <c r="N22" s="59">
        <v>3</v>
      </c>
      <c r="O22" s="59">
        <v>25</v>
      </c>
      <c r="P22" s="59">
        <v>0.2</v>
      </c>
      <c r="Q22" s="59">
        <v>1000</v>
      </c>
      <c r="R22" s="59">
        <v>5000</v>
      </c>
      <c r="S22" s="7">
        <f t="shared" si="0"/>
        <v>14.6</v>
      </c>
      <c r="T22" s="7">
        <f t="shared" si="1"/>
        <v>0.54999999999999993</v>
      </c>
      <c r="U22" s="7">
        <f t="shared" si="2"/>
        <v>91.666666666666671</v>
      </c>
      <c r="V22" s="7">
        <f t="shared" si="2"/>
        <v>15.48</v>
      </c>
      <c r="W22" s="8">
        <f t="shared" si="2"/>
        <v>4</v>
      </c>
      <c r="X22" s="7">
        <f t="shared" si="2"/>
        <v>350</v>
      </c>
      <c r="Y22" s="7">
        <f t="shared" si="2"/>
        <v>86</v>
      </c>
      <c r="Z22" s="9">
        <f t="shared" si="11"/>
        <v>6.8217642789221857</v>
      </c>
      <c r="AA22" s="9">
        <f>T22</f>
        <v>0.54999999999999993</v>
      </c>
      <c r="AB22" s="9">
        <f t="shared" si="5"/>
        <v>10.811057195553001</v>
      </c>
      <c r="AC22" s="9">
        <f t="shared" si="5"/>
        <v>6.9488547817343695</v>
      </c>
      <c r="AD22" s="9">
        <f>1+(5*(LOG10(I22/P22)))</f>
        <v>4.0102999566398125</v>
      </c>
      <c r="AE22" s="9">
        <f t="shared" si="4"/>
        <v>13.720340221751378</v>
      </c>
      <c r="AF22" s="9">
        <f t="shared" si="4"/>
        <v>10.672492256217838</v>
      </c>
      <c r="AG22" s="68">
        <f t="shared" si="6"/>
        <v>7.6478298129740825</v>
      </c>
      <c r="AH22" s="69">
        <f t="shared" si="7"/>
        <v>13.720340221751378</v>
      </c>
      <c r="AI22" s="70">
        <f t="shared" si="8"/>
        <v>58.489300848215187</v>
      </c>
      <c r="AJ22" s="70">
        <f t="shared" si="8"/>
        <v>188.24773580060867</v>
      </c>
      <c r="AK22" s="71">
        <f t="shared" si="9"/>
        <v>11.107138169862294</v>
      </c>
      <c r="AL22" s="92" t="str">
        <f t="shared" si="10"/>
        <v>berat</v>
      </c>
    </row>
    <row r="23" spans="1:38" ht="17.25" thickBot="1" x14ac:dyDescent="0.35">
      <c r="A23" s="62">
        <v>16</v>
      </c>
      <c r="B23" s="63" t="s">
        <v>21</v>
      </c>
      <c r="C23" s="63"/>
      <c r="D23" s="87">
        <v>43067</v>
      </c>
      <c r="E23" s="76">
        <v>84.67</v>
      </c>
      <c r="F23" s="74">
        <v>4.53</v>
      </c>
      <c r="G23" s="74">
        <v>2.31</v>
      </c>
      <c r="H23" s="74">
        <v>85.65</v>
      </c>
      <c r="I23" s="74">
        <v>0.1</v>
      </c>
      <c r="J23" s="74">
        <v>20000</v>
      </c>
      <c r="K23" s="74">
        <v>220000</v>
      </c>
      <c r="L23" s="59">
        <v>50</v>
      </c>
      <c r="M23" s="59">
        <v>4</v>
      </c>
      <c r="N23" s="59">
        <v>3</v>
      </c>
      <c r="O23" s="59">
        <v>25</v>
      </c>
      <c r="P23" s="59">
        <v>0.2</v>
      </c>
      <c r="Q23" s="59">
        <v>1000</v>
      </c>
      <c r="R23" s="59">
        <v>5000</v>
      </c>
      <c r="S23" s="7">
        <f t="shared" si="0"/>
        <v>1.6934</v>
      </c>
      <c r="T23" s="7">
        <f t="shared" si="1"/>
        <v>0.20583333333333331</v>
      </c>
      <c r="U23" s="7">
        <f t="shared" si="2"/>
        <v>0.77</v>
      </c>
      <c r="V23" s="7">
        <f t="shared" si="2"/>
        <v>3.4260000000000002</v>
      </c>
      <c r="W23" s="8">
        <f t="shared" si="2"/>
        <v>0.5</v>
      </c>
      <c r="X23" s="7">
        <f t="shared" si="2"/>
        <v>20</v>
      </c>
      <c r="Y23" s="7">
        <f t="shared" si="2"/>
        <v>44</v>
      </c>
      <c r="Z23" s="9">
        <f t="shared" si="11"/>
        <v>2.1437977771781784</v>
      </c>
      <c r="AA23" s="9">
        <f>1+(5*(LOG10(F23/M23)))</f>
        <v>1.2701910534243475</v>
      </c>
      <c r="AB23" s="9">
        <f t="shared" si="3"/>
        <v>0.77</v>
      </c>
      <c r="AC23" s="9">
        <f t="shared" si="5"/>
        <v>3.6739367931474582</v>
      </c>
      <c r="AD23" s="9">
        <f t="shared" si="3"/>
        <v>0.5</v>
      </c>
      <c r="AE23" s="9">
        <f t="shared" si="4"/>
        <v>7.5051499783199063</v>
      </c>
      <c r="AF23" s="9">
        <f t="shared" si="4"/>
        <v>9.2172633824309376</v>
      </c>
      <c r="AG23" s="68">
        <f t="shared" si="6"/>
        <v>3.5829055692144038</v>
      </c>
      <c r="AH23" s="69">
        <f t="shared" si="7"/>
        <v>9.2172633824309376</v>
      </c>
      <c r="AI23" s="70">
        <f t="shared" si="8"/>
        <v>12.837212317907591</v>
      </c>
      <c r="AJ23" s="70">
        <f t="shared" si="8"/>
        <v>84.957944261102213</v>
      </c>
      <c r="AK23" s="71">
        <f t="shared" si="9"/>
        <v>6.9926803365737307</v>
      </c>
      <c r="AL23" s="91" t="str">
        <f t="shared" si="10"/>
        <v>sedang</v>
      </c>
    </row>
    <row r="24" spans="1:38" ht="17.25" thickBot="1" x14ac:dyDescent="0.35">
      <c r="A24" s="62">
        <v>17</v>
      </c>
      <c r="B24" s="63" t="s">
        <v>22</v>
      </c>
      <c r="C24" s="63"/>
      <c r="D24" s="87">
        <v>43067</v>
      </c>
      <c r="E24" s="76">
        <v>109.33</v>
      </c>
      <c r="F24" s="74">
        <v>3.77</v>
      </c>
      <c r="G24" s="74">
        <v>15.19</v>
      </c>
      <c r="H24" s="74">
        <v>39.28</v>
      </c>
      <c r="I24" s="74">
        <v>0.13</v>
      </c>
      <c r="J24" s="74">
        <v>710000</v>
      </c>
      <c r="K24" s="74">
        <v>4200000</v>
      </c>
      <c r="L24" s="59">
        <v>50</v>
      </c>
      <c r="M24" s="59">
        <v>4</v>
      </c>
      <c r="N24" s="59">
        <v>3</v>
      </c>
      <c r="O24" s="59">
        <v>25</v>
      </c>
      <c r="P24" s="59">
        <v>0.2</v>
      </c>
      <c r="Q24" s="59">
        <v>1000</v>
      </c>
      <c r="R24" s="59">
        <v>5000</v>
      </c>
      <c r="S24" s="7">
        <f t="shared" si="0"/>
        <v>2.1865999999999999</v>
      </c>
      <c r="T24" s="7">
        <f t="shared" si="1"/>
        <v>0.26916666666666667</v>
      </c>
      <c r="U24" s="7">
        <f t="shared" ref="U24:Y37" si="12">G24/N24</f>
        <v>5.0633333333333335</v>
      </c>
      <c r="V24" s="7">
        <f t="shared" si="12"/>
        <v>1.5712000000000002</v>
      </c>
      <c r="W24" s="8">
        <f t="shared" si="12"/>
        <v>0.65</v>
      </c>
      <c r="X24" s="7">
        <f t="shared" si="12"/>
        <v>710</v>
      </c>
      <c r="Y24" s="7">
        <f t="shared" si="12"/>
        <v>840</v>
      </c>
      <c r="Z24" s="9">
        <f t="shared" si="11"/>
        <v>2.6988467188436509</v>
      </c>
      <c r="AA24" s="9">
        <f t="shared" ref="Z24:AD37" si="13">T24</f>
        <v>0.26916666666666667</v>
      </c>
      <c r="AB24" s="9">
        <f t="shared" si="13"/>
        <v>5.0633333333333335</v>
      </c>
      <c r="AC24" s="9">
        <f t="shared" ref="AC24:AC25" si="14">1+(5*(LOG10(H24/O24)))</f>
        <v>1.9811573522143724</v>
      </c>
      <c r="AD24" s="9">
        <f t="shared" si="13"/>
        <v>0.65</v>
      </c>
      <c r="AE24" s="9">
        <f t="shared" si="4"/>
        <v>15.256291743595376</v>
      </c>
      <c r="AF24" s="9">
        <f t="shared" si="4"/>
        <v>15.621396430309408</v>
      </c>
      <c r="AG24" s="68">
        <f t="shared" si="6"/>
        <v>5.9343131778518297</v>
      </c>
      <c r="AH24" s="69">
        <f t="shared" si="7"/>
        <v>15.621396430309408</v>
      </c>
      <c r="AI24" s="70">
        <f t="shared" si="8"/>
        <v>35.216072892825878</v>
      </c>
      <c r="AJ24" s="70">
        <f t="shared" si="8"/>
        <v>244.02802643288354</v>
      </c>
      <c r="AK24" s="71">
        <f t="shared" si="9"/>
        <v>11.816177455626447</v>
      </c>
      <c r="AL24" s="92" t="str">
        <f t="shared" si="10"/>
        <v>berat</v>
      </c>
    </row>
    <row r="25" spans="1:38" ht="17.25" thickBot="1" x14ac:dyDescent="0.35">
      <c r="A25" s="62">
        <v>18</v>
      </c>
      <c r="B25" s="63" t="s">
        <v>23</v>
      </c>
      <c r="C25" s="63"/>
      <c r="D25" s="87">
        <v>43067</v>
      </c>
      <c r="E25" s="76">
        <v>147</v>
      </c>
      <c r="F25" s="74">
        <v>4.04</v>
      </c>
      <c r="G25" s="74">
        <v>15.28</v>
      </c>
      <c r="H25" s="74">
        <v>52.08</v>
      </c>
      <c r="I25" s="74">
        <v>0.09</v>
      </c>
      <c r="J25" s="74">
        <v>610000</v>
      </c>
      <c r="K25" s="74">
        <v>6600000</v>
      </c>
      <c r="L25" s="59">
        <v>50</v>
      </c>
      <c r="M25" s="59">
        <v>4</v>
      </c>
      <c r="N25" s="59">
        <v>3</v>
      </c>
      <c r="O25" s="59">
        <v>25</v>
      </c>
      <c r="P25" s="59">
        <v>0.2</v>
      </c>
      <c r="Q25" s="59">
        <v>1000</v>
      </c>
      <c r="R25" s="59">
        <v>5000</v>
      </c>
      <c r="S25" s="7">
        <f t="shared" si="0"/>
        <v>2.94</v>
      </c>
      <c r="T25" s="7">
        <f t="shared" si="1"/>
        <v>0.24666666666666667</v>
      </c>
      <c r="U25" s="7">
        <f t="shared" si="12"/>
        <v>5.0933333333333328</v>
      </c>
      <c r="V25" s="7">
        <f t="shared" si="12"/>
        <v>2.0831999999999997</v>
      </c>
      <c r="W25" s="8">
        <f t="shared" si="12"/>
        <v>0.44999999999999996</v>
      </c>
      <c r="X25" s="7">
        <f t="shared" si="12"/>
        <v>610</v>
      </c>
      <c r="Y25" s="7">
        <f t="shared" si="12"/>
        <v>1320</v>
      </c>
      <c r="Z25" s="9">
        <f t="shared" si="11"/>
        <v>3.3417366520607863</v>
      </c>
      <c r="AA25" s="9">
        <f t="shared" si="13"/>
        <v>0.24666666666666667</v>
      </c>
      <c r="AB25" s="9">
        <f t="shared" si="13"/>
        <v>5.0933333333333328</v>
      </c>
      <c r="AC25" s="9">
        <f t="shared" si="14"/>
        <v>2.5936548344404895</v>
      </c>
      <c r="AD25" s="9">
        <f t="shared" si="13"/>
        <v>0.44999999999999996</v>
      </c>
      <c r="AE25" s="9">
        <f t="shared" si="4"/>
        <v>14.926649175053836</v>
      </c>
      <c r="AF25" s="9">
        <f t="shared" si="4"/>
        <v>16.602869656029249</v>
      </c>
      <c r="AG25" s="68">
        <f t="shared" si="6"/>
        <v>6.1792729025120519</v>
      </c>
      <c r="AH25" s="69">
        <f t="shared" si="7"/>
        <v>16.602869656029249</v>
      </c>
      <c r="AI25" s="70">
        <f t="shared" si="8"/>
        <v>38.183413603719721</v>
      </c>
      <c r="AJ25" s="70">
        <f t="shared" si="8"/>
        <v>275.65528081509677</v>
      </c>
      <c r="AK25" s="71">
        <f t="shared" si="9"/>
        <v>12.52674527598483</v>
      </c>
      <c r="AL25" s="92" t="str">
        <f t="shared" si="10"/>
        <v>berat</v>
      </c>
    </row>
    <row r="26" spans="1:38" ht="17.25" thickBot="1" x14ac:dyDescent="0.35">
      <c r="A26" s="62">
        <v>19</v>
      </c>
      <c r="B26" s="63" t="s">
        <v>24</v>
      </c>
      <c r="C26" s="63"/>
      <c r="D26" s="87">
        <v>43066</v>
      </c>
      <c r="E26" s="76">
        <v>65.83</v>
      </c>
      <c r="F26" s="74">
        <v>3.05</v>
      </c>
      <c r="G26" s="74">
        <v>14.19</v>
      </c>
      <c r="H26" s="74">
        <v>24.99</v>
      </c>
      <c r="I26" s="74">
        <v>0.31</v>
      </c>
      <c r="J26" s="74">
        <v>230000</v>
      </c>
      <c r="K26" s="74">
        <v>2150000</v>
      </c>
      <c r="L26" s="59">
        <v>50</v>
      </c>
      <c r="M26" s="59">
        <v>4</v>
      </c>
      <c r="N26" s="59">
        <v>3</v>
      </c>
      <c r="O26" s="59">
        <v>25</v>
      </c>
      <c r="P26" s="59">
        <v>0.2</v>
      </c>
      <c r="Q26" s="59">
        <v>1000</v>
      </c>
      <c r="R26" s="59">
        <v>5000</v>
      </c>
      <c r="S26" s="7">
        <f t="shared" si="0"/>
        <v>1.3166</v>
      </c>
      <c r="T26" s="7">
        <f t="shared" si="1"/>
        <v>0.32916666666666666</v>
      </c>
      <c r="U26" s="7">
        <f t="shared" si="12"/>
        <v>4.7299999999999995</v>
      </c>
      <c r="V26" s="7">
        <f>H26/O26</f>
        <v>0.99959999999999993</v>
      </c>
      <c r="W26" s="8">
        <f t="shared" si="12"/>
        <v>1.5499999999999998</v>
      </c>
      <c r="X26" s="7">
        <f t="shared" si="12"/>
        <v>230</v>
      </c>
      <c r="Y26" s="7">
        <f t="shared" si="12"/>
        <v>430</v>
      </c>
      <c r="Z26" s="9">
        <f t="shared" si="11"/>
        <v>1.5972692537803002</v>
      </c>
      <c r="AA26" s="9">
        <f t="shared" si="13"/>
        <v>0.32916666666666666</v>
      </c>
      <c r="AB26" s="9">
        <f t="shared" si="13"/>
        <v>4.7299999999999995</v>
      </c>
      <c r="AC26" s="9">
        <f t="shared" si="13"/>
        <v>0.99959999999999993</v>
      </c>
      <c r="AD26" s="9">
        <f>1+(5*(LOG10(I26/P26)))</f>
        <v>1.9516584908514572</v>
      </c>
      <c r="AE26" s="9">
        <f t="shared" si="4"/>
        <v>12.808639180087965</v>
      </c>
      <c r="AF26" s="9">
        <f t="shared" si="4"/>
        <v>14.167342277897934</v>
      </c>
      <c r="AG26" s="68">
        <f t="shared" si="6"/>
        <v>5.2262394098977598</v>
      </c>
      <c r="AH26" s="69">
        <f t="shared" si="7"/>
        <v>14.167342277897934</v>
      </c>
      <c r="AI26" s="70">
        <f t="shared" si="8"/>
        <v>27.313578369568486</v>
      </c>
      <c r="AJ26" s="70">
        <f t="shared" si="8"/>
        <v>200.7135872191142</v>
      </c>
      <c r="AK26" s="71">
        <f t="shared" si="9"/>
        <v>10.677714305708939</v>
      </c>
      <c r="AL26" s="92" t="str">
        <f t="shared" si="10"/>
        <v>berat</v>
      </c>
    </row>
    <row r="27" spans="1:38" ht="17.25" thickBot="1" x14ac:dyDescent="0.35">
      <c r="A27" s="62">
        <v>20</v>
      </c>
      <c r="B27" s="63" t="s">
        <v>25</v>
      </c>
      <c r="C27" s="63"/>
      <c r="D27" s="87">
        <v>43066</v>
      </c>
      <c r="E27" s="76">
        <v>19.329999999999998</v>
      </c>
      <c r="F27" s="74">
        <v>1.9</v>
      </c>
      <c r="G27" s="74">
        <v>32.47</v>
      </c>
      <c r="H27" s="74">
        <v>98.71</v>
      </c>
      <c r="I27" s="74">
        <v>1</v>
      </c>
      <c r="J27" s="74">
        <v>5500000</v>
      </c>
      <c r="K27" s="74">
        <v>125000000</v>
      </c>
      <c r="L27" s="59">
        <v>50</v>
      </c>
      <c r="M27" s="59">
        <v>4</v>
      </c>
      <c r="N27" s="59">
        <v>3</v>
      </c>
      <c r="O27" s="59">
        <v>25</v>
      </c>
      <c r="P27" s="59">
        <v>0.2</v>
      </c>
      <c r="Q27" s="59">
        <v>1000</v>
      </c>
      <c r="R27" s="59">
        <v>5000</v>
      </c>
      <c r="S27" s="7">
        <f t="shared" si="0"/>
        <v>0.38659999999999994</v>
      </c>
      <c r="T27" s="7">
        <f t="shared" si="1"/>
        <v>0.42499999999999999</v>
      </c>
      <c r="U27" s="7">
        <f t="shared" si="12"/>
        <v>10.823333333333332</v>
      </c>
      <c r="V27" s="7">
        <f>H27/O27</f>
        <v>3.9483999999999999</v>
      </c>
      <c r="W27" s="8">
        <f t="shared" si="12"/>
        <v>5</v>
      </c>
      <c r="X27" s="7">
        <f t="shared" si="12"/>
        <v>5500</v>
      </c>
      <c r="Y27" s="7">
        <f t="shared" si="12"/>
        <v>25000</v>
      </c>
      <c r="Z27" s="9">
        <f t="shared" si="13"/>
        <v>0.38659999999999994</v>
      </c>
      <c r="AA27" s="9">
        <f t="shared" si="13"/>
        <v>0.42499999999999999</v>
      </c>
      <c r="AB27" s="9">
        <f t="shared" si="13"/>
        <v>10.823333333333332</v>
      </c>
      <c r="AC27" s="9">
        <f>1+(5*(LOG10(H27/O27)))</f>
        <v>3.982105716179817</v>
      </c>
      <c r="AD27" s="9">
        <f>1+(5*(LOG10(I27/P27)))</f>
        <v>4.4948500216800937</v>
      </c>
      <c r="AE27" s="9">
        <f t="shared" si="4"/>
        <v>19.701813447471217</v>
      </c>
      <c r="AF27" s="9">
        <f t="shared" si="4"/>
        <v>22.989700043360187</v>
      </c>
      <c r="AG27" s="68">
        <f t="shared" si="6"/>
        <v>8.9719146517178068</v>
      </c>
      <c r="AH27" s="69">
        <f t="shared" si="7"/>
        <v>22.989700043360187</v>
      </c>
      <c r="AI27" s="70">
        <f t="shared" si="8"/>
        <v>80.49525251770865</v>
      </c>
      <c r="AJ27" s="70">
        <f t="shared" si="8"/>
        <v>528.52630808367542</v>
      </c>
      <c r="AK27" s="71">
        <f t="shared" si="9"/>
        <v>17.450237256286577</v>
      </c>
      <c r="AL27" s="92" t="str">
        <f t="shared" si="10"/>
        <v>berat</v>
      </c>
    </row>
    <row r="28" spans="1:38" ht="17.25" thickBot="1" x14ac:dyDescent="0.35">
      <c r="A28" s="62">
        <v>21</v>
      </c>
      <c r="B28" s="63" t="s">
        <v>26</v>
      </c>
      <c r="C28" s="63"/>
      <c r="D28" s="87">
        <v>43066</v>
      </c>
      <c r="E28" s="76">
        <v>28.67</v>
      </c>
      <c r="F28" s="74">
        <v>1.59</v>
      </c>
      <c r="G28" s="74">
        <v>48.93</v>
      </c>
      <c r="H28" s="74">
        <v>1.6456</v>
      </c>
      <c r="I28" s="74">
        <v>0.56999999999999995</v>
      </c>
      <c r="J28" s="74">
        <v>6400000</v>
      </c>
      <c r="K28" s="74">
        <v>148000000</v>
      </c>
      <c r="L28" s="59">
        <v>50</v>
      </c>
      <c r="M28" s="59">
        <v>4</v>
      </c>
      <c r="N28" s="59">
        <v>3</v>
      </c>
      <c r="O28" s="59">
        <v>25</v>
      </c>
      <c r="P28" s="59">
        <v>0.2</v>
      </c>
      <c r="Q28" s="59">
        <v>1000</v>
      </c>
      <c r="R28" s="59">
        <v>5000</v>
      </c>
      <c r="S28" s="7">
        <f t="shared" si="0"/>
        <v>0.57340000000000002</v>
      </c>
      <c r="T28" s="7">
        <f t="shared" si="1"/>
        <v>0.45083333333333336</v>
      </c>
      <c r="U28" s="7">
        <f t="shared" si="12"/>
        <v>16.309999999999999</v>
      </c>
      <c r="V28" s="7">
        <f t="shared" si="12"/>
        <v>6.5823999999999994E-2</v>
      </c>
      <c r="W28" s="8">
        <f t="shared" si="12"/>
        <v>2.8499999999999996</v>
      </c>
      <c r="X28" s="7">
        <f t="shared" si="12"/>
        <v>6400</v>
      </c>
      <c r="Y28" s="7">
        <f t="shared" si="12"/>
        <v>29600</v>
      </c>
      <c r="Z28" s="9">
        <f t="shared" si="13"/>
        <v>0.57340000000000002</v>
      </c>
      <c r="AA28" s="9">
        <f t="shared" si="13"/>
        <v>0.45083333333333336</v>
      </c>
      <c r="AB28" s="9">
        <f t="shared" si="13"/>
        <v>16.309999999999999</v>
      </c>
      <c r="AC28" s="9">
        <f t="shared" si="13"/>
        <v>6.5823999999999994E-2</v>
      </c>
      <c r="AD28" s="9">
        <f>1+(5*(LOG10(I28/P28)))</f>
        <v>3.2742243000425506</v>
      </c>
      <c r="AE28" s="9">
        <f t="shared" si="4"/>
        <v>20.030899869919434</v>
      </c>
      <c r="AF28" s="9">
        <f t="shared" si="4"/>
        <v>23.356458555294694</v>
      </c>
      <c r="AG28" s="68">
        <f t="shared" si="6"/>
        <v>9.1516628655128596</v>
      </c>
      <c r="AH28" s="69">
        <f t="shared" si="7"/>
        <v>23.356458555294694</v>
      </c>
      <c r="AI28" s="70">
        <f t="shared" si="8"/>
        <v>83.75293320400705</v>
      </c>
      <c r="AJ28" s="70">
        <f t="shared" si="8"/>
        <v>545.5241562451987</v>
      </c>
      <c r="AK28" s="71">
        <f t="shared" si="9"/>
        <v>17.738053577678777</v>
      </c>
      <c r="AL28" s="92" t="str">
        <f t="shared" si="10"/>
        <v>berat</v>
      </c>
    </row>
    <row r="29" spans="1:38" ht="17.25" thickBot="1" x14ac:dyDescent="0.35">
      <c r="A29" s="62">
        <v>22</v>
      </c>
      <c r="B29" s="63" t="s">
        <v>27</v>
      </c>
      <c r="C29" s="63"/>
      <c r="D29" s="87">
        <v>43066</v>
      </c>
      <c r="E29" s="76">
        <v>122.67</v>
      </c>
      <c r="F29" s="74">
        <v>3.99</v>
      </c>
      <c r="G29" s="74">
        <v>15.09</v>
      </c>
      <c r="H29" s="74">
        <v>75.23</v>
      </c>
      <c r="I29" s="74">
        <v>0.1</v>
      </c>
      <c r="J29" s="74">
        <v>730000</v>
      </c>
      <c r="K29" s="74">
        <v>2350000</v>
      </c>
      <c r="L29" s="59">
        <v>50</v>
      </c>
      <c r="M29" s="59">
        <v>4</v>
      </c>
      <c r="N29" s="59">
        <v>3</v>
      </c>
      <c r="O29" s="59">
        <v>25</v>
      </c>
      <c r="P29" s="59">
        <v>0.2</v>
      </c>
      <c r="Q29" s="59">
        <v>1000</v>
      </c>
      <c r="R29" s="59">
        <v>5000</v>
      </c>
      <c r="S29" s="7">
        <f t="shared" si="0"/>
        <v>2.4534000000000002</v>
      </c>
      <c r="T29" s="7">
        <f t="shared" si="1"/>
        <v>0.2508333333333333</v>
      </c>
      <c r="U29" s="7">
        <f t="shared" si="12"/>
        <v>5.03</v>
      </c>
      <c r="V29" s="7">
        <f t="shared" si="12"/>
        <v>3.0092000000000003</v>
      </c>
      <c r="W29" s="8">
        <f t="shared" si="12"/>
        <v>0.5</v>
      </c>
      <c r="X29" s="7">
        <f t="shared" si="12"/>
        <v>730</v>
      </c>
      <c r="Y29" s="7">
        <f t="shared" si="12"/>
        <v>470</v>
      </c>
      <c r="Z29" s="9">
        <f>1+(5*(LOG10(E29/L29)))</f>
        <v>2.9488418046898985</v>
      </c>
      <c r="AA29" s="9">
        <f t="shared" si="13"/>
        <v>0.2508333333333333</v>
      </c>
      <c r="AB29" s="9">
        <f t="shared" si="13"/>
        <v>5.03</v>
      </c>
      <c r="AC29" s="9">
        <f t="shared" ref="AC29:AC37" si="15">1+(5*(LOG10(H29/O29)))</f>
        <v>3.3922552657357503</v>
      </c>
      <c r="AD29" s="9">
        <f t="shared" si="13"/>
        <v>0.5</v>
      </c>
      <c r="AE29" s="9">
        <f t="shared" si="4"/>
        <v>15.316614300602279</v>
      </c>
      <c r="AF29" s="9">
        <f t="shared" si="4"/>
        <v>14.360489289678588</v>
      </c>
      <c r="AG29" s="68">
        <f t="shared" si="6"/>
        <v>5.9712905705771222</v>
      </c>
      <c r="AH29" s="69">
        <f t="shared" si="7"/>
        <v>15.316614300602279</v>
      </c>
      <c r="AI29" s="70">
        <f t="shared" si="8"/>
        <v>35.656311078263251</v>
      </c>
      <c r="AJ29" s="70">
        <f t="shared" si="8"/>
        <v>234.59867363341422</v>
      </c>
      <c r="AK29" s="71">
        <f t="shared" si="9"/>
        <v>11.6244351413666</v>
      </c>
      <c r="AL29" s="92" t="str">
        <f t="shared" si="10"/>
        <v>berat</v>
      </c>
    </row>
    <row r="30" spans="1:38" ht="17.25" thickBot="1" x14ac:dyDescent="0.35">
      <c r="A30" s="62">
        <v>23</v>
      </c>
      <c r="B30" s="63" t="s">
        <v>28</v>
      </c>
      <c r="C30" s="63"/>
      <c r="D30" s="87">
        <v>43066</v>
      </c>
      <c r="E30" s="76">
        <v>97.67</v>
      </c>
      <c r="F30" s="74">
        <v>2.2000000000000002</v>
      </c>
      <c r="G30" s="74">
        <v>11.79</v>
      </c>
      <c r="H30" s="74">
        <v>61.97</v>
      </c>
      <c r="I30" s="74">
        <v>0.13</v>
      </c>
      <c r="J30" s="74">
        <v>35000</v>
      </c>
      <c r="K30" s="74">
        <v>2700000</v>
      </c>
      <c r="L30" s="59">
        <v>50</v>
      </c>
      <c r="M30" s="59">
        <v>4</v>
      </c>
      <c r="N30" s="59">
        <v>3</v>
      </c>
      <c r="O30" s="59">
        <v>25</v>
      </c>
      <c r="P30" s="59">
        <v>0.2</v>
      </c>
      <c r="Q30" s="59">
        <v>1000</v>
      </c>
      <c r="R30" s="59">
        <v>5000</v>
      </c>
      <c r="S30" s="7">
        <f t="shared" si="0"/>
        <v>1.9534</v>
      </c>
      <c r="T30" s="7">
        <f t="shared" si="1"/>
        <v>0.39999999999999997</v>
      </c>
      <c r="U30" s="7">
        <f t="shared" si="12"/>
        <v>3.9299999999999997</v>
      </c>
      <c r="V30" s="7">
        <f t="shared" si="12"/>
        <v>2.4788000000000001</v>
      </c>
      <c r="W30" s="8">
        <f t="shared" si="12"/>
        <v>0.65</v>
      </c>
      <c r="X30" s="7">
        <f t="shared" si="12"/>
        <v>35</v>
      </c>
      <c r="Y30" s="7">
        <f t="shared" si="12"/>
        <v>540</v>
      </c>
      <c r="Z30" s="9">
        <f>1+(5*(LOG10(E30/L30)))</f>
        <v>2.453955916913797</v>
      </c>
      <c r="AA30" s="9">
        <f t="shared" si="13"/>
        <v>0.39999999999999997</v>
      </c>
      <c r="AB30" s="9">
        <f t="shared" si="13"/>
        <v>3.9299999999999997</v>
      </c>
      <c r="AC30" s="9">
        <f t="shared" si="15"/>
        <v>2.9712074373882063</v>
      </c>
      <c r="AD30" s="9">
        <f t="shared" si="13"/>
        <v>0.65</v>
      </c>
      <c r="AE30" s="9">
        <f t="shared" si="4"/>
        <v>8.7203402217513784</v>
      </c>
      <c r="AF30" s="9">
        <f t="shared" si="4"/>
        <v>14.661968799114844</v>
      </c>
      <c r="AG30" s="68">
        <f t="shared" si="6"/>
        <v>4.8267817678811751</v>
      </c>
      <c r="AH30" s="69">
        <f t="shared" si="7"/>
        <v>14.661968799114844</v>
      </c>
      <c r="AI30" s="70">
        <f t="shared" si="8"/>
        <v>23.297822234750122</v>
      </c>
      <c r="AJ30" s="70">
        <f t="shared" si="8"/>
        <v>214.97332906621716</v>
      </c>
      <c r="AK30" s="71">
        <f t="shared" si="9"/>
        <v>10.914924445477562</v>
      </c>
      <c r="AL30" s="92" t="str">
        <f t="shared" si="10"/>
        <v>berat</v>
      </c>
    </row>
    <row r="31" spans="1:38" ht="17.25" thickBot="1" x14ac:dyDescent="0.35">
      <c r="A31" s="62">
        <v>24</v>
      </c>
      <c r="B31" s="63" t="s">
        <v>29</v>
      </c>
      <c r="C31" s="63"/>
      <c r="D31" s="87">
        <v>43067</v>
      </c>
      <c r="E31" s="76">
        <v>117.67</v>
      </c>
      <c r="F31" s="74">
        <v>3.56</v>
      </c>
      <c r="G31" s="93">
        <v>15</v>
      </c>
      <c r="H31" s="74">
        <v>68.38</v>
      </c>
      <c r="I31" s="74">
        <v>0.14000000000000001</v>
      </c>
      <c r="J31" s="74">
        <v>650000</v>
      </c>
      <c r="K31" s="74">
        <v>6600000</v>
      </c>
      <c r="L31" s="59">
        <v>50</v>
      </c>
      <c r="M31" s="59">
        <v>4</v>
      </c>
      <c r="N31" s="59">
        <v>3</v>
      </c>
      <c r="O31" s="59">
        <v>25</v>
      </c>
      <c r="P31" s="59">
        <v>0.2</v>
      </c>
      <c r="Q31" s="59">
        <v>1000</v>
      </c>
      <c r="R31" s="59">
        <v>5000</v>
      </c>
      <c r="S31" s="7">
        <f t="shared" si="0"/>
        <v>2.3534000000000002</v>
      </c>
      <c r="T31" s="7">
        <f t="shared" si="1"/>
        <v>0.28666666666666668</v>
      </c>
      <c r="U31" s="7">
        <f t="shared" si="12"/>
        <v>5</v>
      </c>
      <c r="V31" s="7">
        <f t="shared" si="12"/>
        <v>2.7351999999999999</v>
      </c>
      <c r="W31" s="8">
        <f t="shared" si="12"/>
        <v>0.70000000000000007</v>
      </c>
      <c r="X31" s="7">
        <f t="shared" si="12"/>
        <v>650</v>
      </c>
      <c r="Y31" s="7">
        <f t="shared" si="12"/>
        <v>1320</v>
      </c>
      <c r="Z31" s="9">
        <f>1+(5*(LOG10(E31/L31)))</f>
        <v>2.8584787455885454</v>
      </c>
      <c r="AA31" s="9">
        <f t="shared" si="13"/>
        <v>0.28666666666666668</v>
      </c>
      <c r="AB31" s="9">
        <f t="shared" si="13"/>
        <v>5</v>
      </c>
      <c r="AC31" s="9">
        <f t="shared" si="15"/>
        <v>3.184945438942691</v>
      </c>
      <c r="AD31" s="9">
        <f t="shared" si="13"/>
        <v>0.70000000000000007</v>
      </c>
      <c r="AE31" s="9">
        <f t="shared" si="4"/>
        <v>15.064566783214278</v>
      </c>
      <c r="AF31" s="9">
        <f t="shared" si="4"/>
        <v>16.602869656029249</v>
      </c>
      <c r="AG31" s="68">
        <f t="shared" si="6"/>
        <v>6.2425038986344896</v>
      </c>
      <c r="AH31" s="69">
        <f t="shared" si="7"/>
        <v>16.602869656029249</v>
      </c>
      <c r="AI31" s="70">
        <f t="shared" si="8"/>
        <v>38.968854924466804</v>
      </c>
      <c r="AJ31" s="70">
        <f t="shared" si="8"/>
        <v>275.65528081509677</v>
      </c>
      <c r="AK31" s="71">
        <f t="shared" si="9"/>
        <v>12.542410767862046</v>
      </c>
      <c r="AL31" s="92" t="str">
        <f t="shared" si="10"/>
        <v>berat</v>
      </c>
    </row>
    <row r="32" spans="1:38" ht="17.25" thickBot="1" x14ac:dyDescent="0.35">
      <c r="A32" s="62">
        <v>25</v>
      </c>
      <c r="B32" s="63" t="s">
        <v>30</v>
      </c>
      <c r="C32" s="63"/>
      <c r="D32" s="87">
        <v>43067</v>
      </c>
      <c r="E32" s="93">
        <v>21.33</v>
      </c>
      <c r="F32" s="74">
        <v>2.3199999999999998</v>
      </c>
      <c r="G32" s="74">
        <v>5.52</v>
      </c>
      <c r="H32" s="74">
        <v>26.32</v>
      </c>
      <c r="I32" s="74">
        <v>0.09</v>
      </c>
      <c r="J32" s="74">
        <v>2000000</v>
      </c>
      <c r="K32" s="74">
        <v>27000000</v>
      </c>
      <c r="L32" s="59">
        <v>50</v>
      </c>
      <c r="M32" s="59">
        <v>4</v>
      </c>
      <c r="N32" s="59">
        <v>3</v>
      </c>
      <c r="O32" s="59">
        <v>25</v>
      </c>
      <c r="P32" s="59">
        <v>0.2</v>
      </c>
      <c r="Q32" s="59">
        <v>1000</v>
      </c>
      <c r="R32" s="59">
        <v>5000</v>
      </c>
      <c r="S32" s="7">
        <f t="shared" si="0"/>
        <v>0.42659999999999998</v>
      </c>
      <c r="T32" s="7">
        <f t="shared" si="1"/>
        <v>0.38999999999999996</v>
      </c>
      <c r="U32" s="7">
        <f t="shared" si="12"/>
        <v>1.8399999999999999</v>
      </c>
      <c r="V32" s="7">
        <f t="shared" si="12"/>
        <v>1.0528</v>
      </c>
      <c r="W32" s="8">
        <f t="shared" si="12"/>
        <v>0.44999999999999996</v>
      </c>
      <c r="X32" s="7">
        <f t="shared" si="12"/>
        <v>2000</v>
      </c>
      <c r="Y32" s="7">
        <f t="shared" si="12"/>
        <v>5400</v>
      </c>
      <c r="Z32" s="9">
        <f t="shared" si="13"/>
        <v>0.42659999999999998</v>
      </c>
      <c r="AA32" s="9">
        <f t="shared" si="13"/>
        <v>0.38999999999999996</v>
      </c>
      <c r="AB32" s="9">
        <f t="shared" si="13"/>
        <v>1.8399999999999999</v>
      </c>
      <c r="AC32" s="9">
        <f t="shared" si="15"/>
        <v>1.1117293813494014</v>
      </c>
      <c r="AD32" s="9">
        <f t="shared" si="13"/>
        <v>0.44999999999999996</v>
      </c>
      <c r="AE32" s="9">
        <f t="shared" si="4"/>
        <v>17.505149978319906</v>
      </c>
      <c r="AF32" s="9">
        <f t="shared" si="4"/>
        <v>19.661968799114842</v>
      </c>
      <c r="AG32" s="68">
        <f t="shared" si="6"/>
        <v>5.9122068798263072</v>
      </c>
      <c r="AH32" s="69">
        <f t="shared" si="7"/>
        <v>19.661968799114842</v>
      </c>
      <c r="AI32" s="70">
        <f t="shared" si="8"/>
        <v>34.954190189865521</v>
      </c>
      <c r="AJ32" s="70">
        <f t="shared" si="8"/>
        <v>386.59301705736556</v>
      </c>
      <c r="AK32" s="71">
        <f t="shared" si="9"/>
        <v>14.518044070177481</v>
      </c>
      <c r="AL32" s="92" t="str">
        <f t="shared" si="10"/>
        <v>berat</v>
      </c>
    </row>
    <row r="33" spans="1:38" ht="17.25" thickBot="1" x14ac:dyDescent="0.35">
      <c r="A33" s="62">
        <v>26</v>
      </c>
      <c r="B33" s="63" t="s">
        <v>31</v>
      </c>
      <c r="C33" s="63"/>
      <c r="D33" s="87">
        <v>43067</v>
      </c>
      <c r="E33" s="76">
        <v>22.67</v>
      </c>
      <c r="F33" s="74">
        <v>2.14</v>
      </c>
      <c r="G33" s="74">
        <v>9.66</v>
      </c>
      <c r="H33" s="74">
        <v>34.15</v>
      </c>
      <c r="I33" s="74">
        <v>0.13</v>
      </c>
      <c r="J33" s="74">
        <v>1200000</v>
      </c>
      <c r="K33" s="74">
        <v>145000000</v>
      </c>
      <c r="L33" s="59">
        <v>50</v>
      </c>
      <c r="M33" s="59">
        <v>4</v>
      </c>
      <c r="N33" s="59">
        <v>3</v>
      </c>
      <c r="O33" s="59">
        <v>25</v>
      </c>
      <c r="P33" s="59">
        <v>0.2</v>
      </c>
      <c r="Q33" s="59">
        <v>1000</v>
      </c>
      <c r="R33" s="59">
        <v>5000</v>
      </c>
      <c r="S33" s="7">
        <f t="shared" si="0"/>
        <v>0.45340000000000003</v>
      </c>
      <c r="T33" s="7">
        <f t="shared" si="1"/>
        <v>0.40499999999999997</v>
      </c>
      <c r="U33" s="7">
        <f t="shared" si="12"/>
        <v>3.22</v>
      </c>
      <c r="V33" s="7">
        <f t="shared" si="12"/>
        <v>1.3659999999999999</v>
      </c>
      <c r="W33" s="8">
        <f t="shared" si="12"/>
        <v>0.65</v>
      </c>
      <c r="X33" s="7">
        <f t="shared" si="12"/>
        <v>1200</v>
      </c>
      <c r="Y33" s="7">
        <f t="shared" si="12"/>
        <v>29000</v>
      </c>
      <c r="Z33" s="9">
        <f t="shared" si="13"/>
        <v>0.45340000000000003</v>
      </c>
      <c r="AA33" s="9">
        <f t="shared" si="13"/>
        <v>0.40499999999999997</v>
      </c>
      <c r="AB33" s="9">
        <f t="shared" si="13"/>
        <v>3.22</v>
      </c>
      <c r="AC33" s="9">
        <f t="shared" si="15"/>
        <v>1.6772534967275685</v>
      </c>
      <c r="AD33" s="9">
        <f t="shared" si="13"/>
        <v>0.65</v>
      </c>
      <c r="AE33" s="9">
        <f t="shared" si="4"/>
        <v>16.395906230238126</v>
      </c>
      <c r="AF33" s="9">
        <f t="shared" si="4"/>
        <v>23.311989989494784</v>
      </c>
      <c r="AG33" s="68">
        <f t="shared" si="6"/>
        <v>6.5876499594943549</v>
      </c>
      <c r="AH33" s="69">
        <f t="shared" si="7"/>
        <v>23.311989989494784</v>
      </c>
      <c r="AI33" s="70">
        <f t="shared" si="8"/>
        <v>43.397131988825976</v>
      </c>
      <c r="AJ33" s="70">
        <f t="shared" si="8"/>
        <v>543.44887727030505</v>
      </c>
      <c r="AK33" s="71">
        <f t="shared" si="9"/>
        <v>17.129594409371329</v>
      </c>
      <c r="AL33" s="92" t="str">
        <f t="shared" si="10"/>
        <v>berat</v>
      </c>
    </row>
    <row r="34" spans="1:38" ht="17.25" thickBot="1" x14ac:dyDescent="0.35">
      <c r="A34" s="62">
        <v>27</v>
      </c>
      <c r="B34" s="63" t="s">
        <v>32</v>
      </c>
      <c r="C34" s="63"/>
      <c r="D34" s="87">
        <v>43067</v>
      </c>
      <c r="E34" s="76">
        <v>55.53</v>
      </c>
      <c r="F34" s="74">
        <v>2.21</v>
      </c>
      <c r="G34" s="74">
        <v>13.87</v>
      </c>
      <c r="H34" s="74">
        <v>56.51</v>
      </c>
      <c r="I34" s="74">
        <v>0.15</v>
      </c>
      <c r="J34" s="74">
        <v>3000000</v>
      </c>
      <c r="K34" s="74">
        <v>7200000</v>
      </c>
      <c r="L34" s="59">
        <v>50</v>
      </c>
      <c r="M34" s="59">
        <v>4</v>
      </c>
      <c r="N34" s="59">
        <v>3</v>
      </c>
      <c r="O34" s="59">
        <v>25</v>
      </c>
      <c r="P34" s="59">
        <v>0.2</v>
      </c>
      <c r="Q34" s="59">
        <v>1000</v>
      </c>
      <c r="R34" s="59">
        <v>5000</v>
      </c>
      <c r="S34" s="7">
        <f t="shared" si="0"/>
        <v>1.1106</v>
      </c>
      <c r="T34" s="7">
        <f t="shared" si="1"/>
        <v>0.39916666666666667</v>
      </c>
      <c r="U34" s="7">
        <f t="shared" si="12"/>
        <v>4.6233333333333331</v>
      </c>
      <c r="V34" s="7">
        <f t="shared" si="12"/>
        <v>2.2603999999999997</v>
      </c>
      <c r="W34" s="8">
        <f t="shared" si="12"/>
        <v>0.74999999999999989</v>
      </c>
      <c r="X34" s="7">
        <f t="shared" si="12"/>
        <v>3000</v>
      </c>
      <c r="Y34" s="7">
        <f t="shared" si="12"/>
        <v>1440</v>
      </c>
      <c r="Z34" s="9">
        <f>1+(5*(LOG10(E34/L34)))</f>
        <v>1.2277883456827388</v>
      </c>
      <c r="AA34" s="9">
        <f t="shared" si="13"/>
        <v>0.39916666666666667</v>
      </c>
      <c r="AB34" s="9">
        <f t="shared" si="13"/>
        <v>4.6233333333333331</v>
      </c>
      <c r="AC34" s="9">
        <f t="shared" si="15"/>
        <v>2.7709264931293029</v>
      </c>
      <c r="AD34" s="9">
        <f t="shared" si="13"/>
        <v>0.74999999999999989</v>
      </c>
      <c r="AE34" s="9">
        <f t="shared" si="4"/>
        <v>18.385606273598313</v>
      </c>
      <c r="AF34" s="9">
        <f t="shared" si="4"/>
        <v>16.791812460476251</v>
      </c>
      <c r="AG34" s="68">
        <f t="shared" si="6"/>
        <v>6.4212333675552298</v>
      </c>
      <c r="AH34" s="69">
        <f t="shared" si="7"/>
        <v>18.385606273598313</v>
      </c>
      <c r="AI34" s="70">
        <f t="shared" si="8"/>
        <v>41.232237960604678</v>
      </c>
      <c r="AJ34" s="70">
        <f t="shared" si="8"/>
        <v>338.03051804777766</v>
      </c>
      <c r="AK34" s="71">
        <f t="shared" si="9"/>
        <v>13.770670935150225</v>
      </c>
      <c r="AL34" s="92" t="str">
        <f t="shared" si="10"/>
        <v>berat</v>
      </c>
    </row>
    <row r="35" spans="1:38" ht="17.25" thickBot="1" x14ac:dyDescent="0.35">
      <c r="A35" s="62">
        <v>28</v>
      </c>
      <c r="B35" s="63" t="s">
        <v>33</v>
      </c>
      <c r="C35" s="63"/>
      <c r="D35" s="87">
        <v>43066</v>
      </c>
      <c r="E35" s="76">
        <v>20.67</v>
      </c>
      <c r="F35" s="74">
        <v>3.65</v>
      </c>
      <c r="G35" s="74">
        <v>19.32</v>
      </c>
      <c r="H35" s="74">
        <v>69.069999999999993</v>
      </c>
      <c r="I35" s="74">
        <v>0.27</v>
      </c>
      <c r="J35" s="74">
        <v>2000000</v>
      </c>
      <c r="K35" s="74">
        <v>3700000</v>
      </c>
      <c r="L35" s="59">
        <v>50</v>
      </c>
      <c r="M35" s="59">
        <v>4</v>
      </c>
      <c r="N35" s="59">
        <v>3</v>
      </c>
      <c r="O35" s="59">
        <v>25</v>
      </c>
      <c r="P35" s="59">
        <v>0.2</v>
      </c>
      <c r="Q35" s="59">
        <v>1000</v>
      </c>
      <c r="R35" s="59">
        <v>5000</v>
      </c>
      <c r="S35" s="7">
        <f t="shared" si="0"/>
        <v>0.41340000000000005</v>
      </c>
      <c r="T35" s="7">
        <f t="shared" si="1"/>
        <v>0.27916666666666667</v>
      </c>
      <c r="U35" s="7">
        <f t="shared" si="12"/>
        <v>6.44</v>
      </c>
      <c r="V35" s="7">
        <f t="shared" si="12"/>
        <v>2.7627999999999999</v>
      </c>
      <c r="W35" s="8">
        <f t="shared" si="12"/>
        <v>1.35</v>
      </c>
      <c r="X35" s="7">
        <f t="shared" si="12"/>
        <v>2000</v>
      </c>
      <c r="Y35" s="7">
        <f t="shared" si="12"/>
        <v>740</v>
      </c>
      <c r="Z35" s="9">
        <f t="shared" si="13"/>
        <v>0.41340000000000005</v>
      </c>
      <c r="AA35" s="9">
        <f t="shared" si="13"/>
        <v>0.27916666666666667</v>
      </c>
      <c r="AB35" s="9">
        <f t="shared" si="13"/>
        <v>6.44</v>
      </c>
      <c r="AC35" s="9">
        <f t="shared" si="15"/>
        <v>3.2067472366705463</v>
      </c>
      <c r="AD35" s="9">
        <f>1+(5*(LOG10(I35/P35)))</f>
        <v>1.6516688424750305</v>
      </c>
      <c r="AE35" s="9">
        <f t="shared" si="4"/>
        <v>17.505149978319906</v>
      </c>
      <c r="AF35" s="9">
        <f t="shared" si="4"/>
        <v>15.346158598654881</v>
      </c>
      <c r="AG35" s="68">
        <f t="shared" si="6"/>
        <v>6.4060416175410051</v>
      </c>
      <c r="AH35" s="69">
        <f t="shared" si="7"/>
        <v>17.505149978319906</v>
      </c>
      <c r="AI35" s="70">
        <f t="shared" si="8"/>
        <v>41.037369205667375</v>
      </c>
      <c r="AJ35" s="70">
        <f t="shared" si="8"/>
        <v>306.43027576347339</v>
      </c>
      <c r="AK35" s="71">
        <f t="shared" si="9"/>
        <v>13.180812664042016</v>
      </c>
      <c r="AL35" s="92" t="str">
        <f t="shared" si="10"/>
        <v>berat</v>
      </c>
    </row>
    <row r="36" spans="1:38" ht="17.25" thickBot="1" x14ac:dyDescent="0.35">
      <c r="A36" s="62">
        <v>29</v>
      </c>
      <c r="B36" s="63" t="s">
        <v>34</v>
      </c>
      <c r="C36" s="63"/>
      <c r="D36" s="87">
        <v>43066</v>
      </c>
      <c r="E36" s="76">
        <v>41.67</v>
      </c>
      <c r="F36" s="74">
        <v>1.58</v>
      </c>
      <c r="G36" s="74">
        <v>86.41</v>
      </c>
      <c r="H36" s="74">
        <v>233.42</v>
      </c>
      <c r="I36" s="74">
        <v>0.26</v>
      </c>
      <c r="J36" s="74">
        <v>7300000</v>
      </c>
      <c r="K36" s="74">
        <v>170000000</v>
      </c>
      <c r="L36" s="59">
        <v>50</v>
      </c>
      <c r="M36" s="59">
        <v>4</v>
      </c>
      <c r="N36" s="59">
        <v>3</v>
      </c>
      <c r="O36" s="59">
        <v>25</v>
      </c>
      <c r="P36" s="59">
        <v>0.2</v>
      </c>
      <c r="Q36" s="59">
        <v>1000</v>
      </c>
      <c r="R36" s="59">
        <v>5000</v>
      </c>
      <c r="S36" s="7">
        <f t="shared" si="0"/>
        <v>0.83340000000000003</v>
      </c>
      <c r="T36" s="7">
        <f t="shared" si="1"/>
        <v>0.45166666666666666</v>
      </c>
      <c r="U36" s="7">
        <f t="shared" si="12"/>
        <v>28.803333333333331</v>
      </c>
      <c r="V36" s="7">
        <f t="shared" si="12"/>
        <v>9.3368000000000002</v>
      </c>
      <c r="W36" s="8">
        <f t="shared" si="12"/>
        <v>1.3</v>
      </c>
      <c r="X36" s="7">
        <f t="shared" si="12"/>
        <v>7300</v>
      </c>
      <c r="Y36" s="7">
        <f t="shared" si="12"/>
        <v>34000</v>
      </c>
      <c r="Z36" s="9">
        <f t="shared" si="13"/>
        <v>0.83340000000000003</v>
      </c>
      <c r="AA36" s="9">
        <f t="shared" si="13"/>
        <v>0.45166666666666666</v>
      </c>
      <c r="AB36" s="9">
        <f t="shared" si="13"/>
        <v>28.803333333333331</v>
      </c>
      <c r="AC36" s="9">
        <f t="shared" si="15"/>
        <v>5.8509902802575464</v>
      </c>
      <c r="AD36" s="9">
        <f>1+(5*(LOG10(I36/P36)))</f>
        <v>1.5697167615341838</v>
      </c>
      <c r="AE36" s="9">
        <f t="shared" si="4"/>
        <v>20.316614300602279</v>
      </c>
      <c r="AF36" s="9">
        <f t="shared" si="4"/>
        <v>23.657394585211279</v>
      </c>
      <c r="AG36" s="68">
        <f t="shared" si="6"/>
        <v>11.64044513251504</v>
      </c>
      <c r="AH36" s="69">
        <f t="shared" si="7"/>
        <v>28.803333333333331</v>
      </c>
      <c r="AI36" s="70">
        <f t="shared" si="8"/>
        <v>135.4999628830931</v>
      </c>
      <c r="AJ36" s="70">
        <f t="shared" si="8"/>
        <v>829.63201111111096</v>
      </c>
      <c r="AK36" s="71">
        <f t="shared" si="9"/>
        <v>21.96738461895503</v>
      </c>
      <c r="AL36" s="92" t="str">
        <f t="shared" si="10"/>
        <v>berat</v>
      </c>
    </row>
    <row r="37" spans="1:38" ht="17.25" thickBot="1" x14ac:dyDescent="0.35">
      <c r="A37" s="62">
        <v>30</v>
      </c>
      <c r="B37" s="63" t="s">
        <v>35</v>
      </c>
      <c r="C37" s="63"/>
      <c r="D37" s="191">
        <v>43066</v>
      </c>
      <c r="E37" s="76">
        <v>171.33</v>
      </c>
      <c r="F37" s="74">
        <v>0.57999999999999996</v>
      </c>
      <c r="G37" s="74">
        <v>71.97</v>
      </c>
      <c r="H37" s="74">
        <v>280.01</v>
      </c>
      <c r="I37" s="74">
        <v>0.82</v>
      </c>
      <c r="J37" s="74">
        <v>6400000</v>
      </c>
      <c r="K37" s="74">
        <v>73000000</v>
      </c>
      <c r="L37" s="59">
        <v>50</v>
      </c>
      <c r="M37" s="59">
        <v>4</v>
      </c>
      <c r="N37" s="59">
        <v>3</v>
      </c>
      <c r="O37" s="59">
        <v>25</v>
      </c>
      <c r="P37" s="59">
        <v>0.2</v>
      </c>
      <c r="Q37" s="59">
        <v>1000</v>
      </c>
      <c r="R37" s="59">
        <v>5000</v>
      </c>
      <c r="S37" s="7">
        <f t="shared" si="0"/>
        <v>3.4266000000000001</v>
      </c>
      <c r="T37" s="7">
        <f t="shared" si="1"/>
        <v>0.53500000000000003</v>
      </c>
      <c r="U37" s="7">
        <f t="shared" si="12"/>
        <v>23.99</v>
      </c>
      <c r="V37" s="7">
        <f t="shared" si="12"/>
        <v>11.2004</v>
      </c>
      <c r="W37" s="8">
        <f t="shared" si="12"/>
        <v>4.0999999999999996</v>
      </c>
      <c r="X37" s="7">
        <f t="shared" si="12"/>
        <v>6400</v>
      </c>
      <c r="Y37" s="7">
        <f t="shared" si="12"/>
        <v>14600</v>
      </c>
      <c r="Z37" s="9">
        <f>1+(5*(LOG10(E37/L37)))</f>
        <v>3.6743170527420763</v>
      </c>
      <c r="AA37" s="9">
        <f t="shared" si="13"/>
        <v>0.53500000000000003</v>
      </c>
      <c r="AB37" s="9">
        <f t="shared" si="13"/>
        <v>23.99</v>
      </c>
      <c r="AC37" s="9">
        <f t="shared" si="15"/>
        <v>6.2461676645521269</v>
      </c>
      <c r="AD37" s="9">
        <f>1+(5*(LOG10(I37/P37)))</f>
        <v>4.0639192835986773</v>
      </c>
      <c r="AE37" s="9">
        <f t="shared" si="4"/>
        <v>20.030899869919434</v>
      </c>
      <c r="AF37" s="9">
        <f t="shared" si="4"/>
        <v>21.821764278922185</v>
      </c>
      <c r="AG37" s="68">
        <f t="shared" si="6"/>
        <v>11.480295449962071</v>
      </c>
      <c r="AH37" s="69">
        <f t="shared" si="7"/>
        <v>23.99</v>
      </c>
      <c r="AI37" s="70">
        <f t="shared" si="8"/>
        <v>131.79718361841984</v>
      </c>
      <c r="AJ37" s="70">
        <f t="shared" si="8"/>
        <v>575.52009999999996</v>
      </c>
      <c r="AK37" s="71">
        <f t="shared" si="9"/>
        <v>18.805814042715884</v>
      </c>
      <c r="AL37" s="92" t="str">
        <f t="shared" si="10"/>
        <v>berat</v>
      </c>
    </row>
    <row r="39" spans="1:38" x14ac:dyDescent="0.25">
      <c r="A39" s="53" t="s">
        <v>36</v>
      </c>
    </row>
    <row r="40" spans="1:38" x14ac:dyDescent="0.25">
      <c r="A40" s="77" t="s">
        <v>37</v>
      </c>
      <c r="B40" s="53" t="s">
        <v>38</v>
      </c>
    </row>
    <row r="41" spans="1:38" x14ac:dyDescent="0.25">
      <c r="A41" s="77" t="s">
        <v>39</v>
      </c>
      <c r="B41" s="53" t="s">
        <v>40</v>
      </c>
    </row>
    <row r="43" spans="1:38" ht="16.5" x14ac:dyDescent="0.3">
      <c r="A43" s="77" t="s">
        <v>41</v>
      </c>
      <c r="B43" s="78" t="s">
        <v>42</v>
      </c>
      <c r="D43" s="79"/>
    </row>
    <row r="44" spans="1:38" ht="16.5" x14ac:dyDescent="0.3">
      <c r="B44" s="80" t="s">
        <v>43</v>
      </c>
      <c r="C44" s="81" t="s">
        <v>44</v>
      </c>
      <c r="D44" s="81" t="s">
        <v>45</v>
      </c>
      <c r="E44" s="81" t="s">
        <v>46</v>
      </c>
      <c r="F44" s="31" t="s">
        <v>47</v>
      </c>
    </row>
    <row r="45" spans="1:38" x14ac:dyDescent="0.25">
      <c r="B45" s="62" t="s">
        <v>48</v>
      </c>
      <c r="C45" s="62">
        <v>0</v>
      </c>
      <c r="D45" s="32">
        <f>C45/C49</f>
        <v>0</v>
      </c>
      <c r="E45" s="62">
        <v>70</v>
      </c>
      <c r="F45" s="33">
        <f>E45*D45</f>
        <v>0</v>
      </c>
    </row>
    <row r="46" spans="1:38" x14ac:dyDescent="0.25">
      <c r="B46" s="62" t="s">
        <v>49</v>
      </c>
      <c r="C46" s="62">
        <v>4</v>
      </c>
      <c r="D46" s="32">
        <f>C46/C49</f>
        <v>0.13333333333333333</v>
      </c>
      <c r="E46" s="62">
        <v>50</v>
      </c>
      <c r="F46" s="33">
        <f>D46*E46</f>
        <v>6.666666666666667</v>
      </c>
    </row>
    <row r="47" spans="1:38" x14ac:dyDescent="0.25">
      <c r="B47" s="62" t="s">
        <v>50</v>
      </c>
      <c r="C47" s="62">
        <v>9</v>
      </c>
      <c r="D47" s="32">
        <f>C47/C49</f>
        <v>0.3</v>
      </c>
      <c r="E47" s="62">
        <v>30</v>
      </c>
      <c r="F47" s="33">
        <f>E47*D47</f>
        <v>9</v>
      </c>
    </row>
    <row r="48" spans="1:38" x14ac:dyDescent="0.25">
      <c r="B48" s="62" t="s">
        <v>51</v>
      </c>
      <c r="C48" s="62">
        <v>17</v>
      </c>
      <c r="D48" s="32">
        <f>C48/C49</f>
        <v>0.56666666666666665</v>
      </c>
      <c r="E48" s="62">
        <v>10</v>
      </c>
      <c r="F48" s="33">
        <f>E48*D48</f>
        <v>5.6666666666666661</v>
      </c>
    </row>
    <row r="49" spans="2:6" x14ac:dyDescent="0.25">
      <c r="B49" s="62"/>
      <c r="C49" s="62">
        <f>SUM(C45:C48)</f>
        <v>30</v>
      </c>
      <c r="D49" s="82"/>
      <c r="E49" s="62"/>
      <c r="F49" s="35"/>
    </row>
    <row r="50" spans="2:6" x14ac:dyDescent="0.25">
      <c r="B50" s="84" t="s">
        <v>52</v>
      </c>
      <c r="C50" s="85"/>
      <c r="D50" s="85"/>
      <c r="E50" s="85"/>
      <c r="F50" s="38">
        <f>SUM(F45:F49)</f>
        <v>21.333333333333336</v>
      </c>
    </row>
    <row r="52" spans="2:6" x14ac:dyDescent="0.25">
      <c r="F52" s="53" t="s">
        <v>126</v>
      </c>
    </row>
  </sheetData>
  <mergeCells count="1">
    <mergeCell ref="L6:R6"/>
  </mergeCell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Q50"/>
  <sheetViews>
    <sheetView topLeftCell="E1" zoomScale="205" zoomScaleNormal="205" zoomScaleSheetLayoutView="145" workbookViewId="0">
      <selection activeCell="K12" sqref="K12"/>
    </sheetView>
  </sheetViews>
  <sheetFormatPr defaultColWidth="9.140625" defaultRowHeight="15" x14ac:dyDescent="0.25"/>
  <cols>
    <col min="1" max="2" width="9.140625" style="39"/>
    <col min="3" max="3" width="17.28515625" style="39" customWidth="1"/>
    <col min="4" max="4" width="37.28515625" style="39" customWidth="1"/>
    <col min="5" max="5" width="9.140625" style="39"/>
    <col min="6" max="6" width="9.140625" style="39" customWidth="1"/>
    <col min="7" max="16384" width="9.140625" style="39"/>
  </cols>
  <sheetData>
    <row r="1" spans="1:12" ht="51" x14ac:dyDescent="0.35">
      <c r="A1" s="506" t="s">
        <v>4</v>
      </c>
      <c r="B1" s="506" t="s">
        <v>90</v>
      </c>
      <c r="C1" s="506" t="s">
        <v>89</v>
      </c>
      <c r="D1" s="507" t="s">
        <v>88</v>
      </c>
      <c r="E1" s="51" t="s">
        <v>87</v>
      </c>
      <c r="F1" s="51" t="s">
        <v>86</v>
      </c>
      <c r="G1" s="51" t="s">
        <v>85</v>
      </c>
      <c r="H1" s="52" t="s">
        <v>84</v>
      </c>
      <c r="I1" s="51" t="s">
        <v>83</v>
      </c>
      <c r="J1" s="51" t="s">
        <v>82</v>
      </c>
      <c r="K1" s="51" t="s">
        <v>81</v>
      </c>
      <c r="L1" s="50" t="s">
        <v>80</v>
      </c>
    </row>
    <row r="2" spans="1:12" ht="39.75" customHeight="1" x14ac:dyDescent="0.25">
      <c r="A2" s="506"/>
      <c r="B2" s="506"/>
      <c r="C2" s="506"/>
      <c r="D2" s="507"/>
      <c r="E2" s="48" t="s">
        <v>79</v>
      </c>
      <c r="F2" s="48" t="s">
        <v>79</v>
      </c>
      <c r="G2" s="48" t="s">
        <v>79</v>
      </c>
      <c r="H2" s="48" t="s">
        <v>79</v>
      </c>
      <c r="I2" s="48" t="s">
        <v>79</v>
      </c>
      <c r="J2" s="48" t="s">
        <v>79</v>
      </c>
      <c r="K2" s="47" t="s">
        <v>78</v>
      </c>
      <c r="L2" s="46" t="s">
        <v>78</v>
      </c>
    </row>
    <row r="3" spans="1:12" ht="16.5" x14ac:dyDescent="0.3">
      <c r="A3" s="508">
        <v>1</v>
      </c>
      <c r="B3" s="509" t="s">
        <v>77</v>
      </c>
      <c r="C3" s="509" t="s">
        <v>76</v>
      </c>
      <c r="D3" s="345" t="s">
        <v>252</v>
      </c>
      <c r="E3" s="41">
        <v>22</v>
      </c>
      <c r="F3" s="41" t="s">
        <v>201</v>
      </c>
      <c r="G3" s="41">
        <v>26</v>
      </c>
      <c r="H3" s="41" t="s">
        <v>201</v>
      </c>
      <c r="I3" s="45">
        <f>AVERAGE(E3:F10)</f>
        <v>23.25</v>
      </c>
      <c r="J3" s="45">
        <f>AVERAGE(G3:H10)</f>
        <v>26</v>
      </c>
      <c r="K3" s="44">
        <f>((I3/20)+(J3/40))/2</f>
        <v>0.90625</v>
      </c>
      <c r="L3" s="43">
        <f>100-(50/0.9*(K3-0.1))</f>
        <v>55.208333333333329</v>
      </c>
    </row>
    <row r="4" spans="1:12" ht="16.5" x14ac:dyDescent="0.3">
      <c r="A4" s="508"/>
      <c r="B4" s="509"/>
      <c r="C4" s="509"/>
      <c r="D4" s="344" t="s">
        <v>253</v>
      </c>
      <c r="E4" s="41">
        <v>105</v>
      </c>
      <c r="F4" s="41" t="s">
        <v>201</v>
      </c>
      <c r="G4" s="41">
        <v>26</v>
      </c>
      <c r="H4" s="41" t="s">
        <v>201</v>
      </c>
      <c r="I4" s="505"/>
      <c r="J4" s="505"/>
      <c r="K4" s="505"/>
      <c r="L4" s="505"/>
    </row>
    <row r="5" spans="1:12" ht="16.5" x14ac:dyDescent="0.3">
      <c r="A5" s="508"/>
      <c r="B5" s="509"/>
      <c r="C5" s="509"/>
      <c r="D5" s="344" t="s">
        <v>254</v>
      </c>
      <c r="E5" s="41">
        <v>14</v>
      </c>
      <c r="F5" s="41" t="s">
        <v>201</v>
      </c>
      <c r="G5" s="41">
        <v>26</v>
      </c>
      <c r="H5" s="41" t="s">
        <v>201</v>
      </c>
      <c r="I5" s="505"/>
      <c r="J5" s="505"/>
      <c r="K5" s="505"/>
      <c r="L5" s="505"/>
    </row>
    <row r="6" spans="1:12" ht="33" x14ac:dyDescent="0.3">
      <c r="A6" s="508"/>
      <c r="B6" s="509"/>
      <c r="C6" s="509"/>
      <c r="D6" s="344" t="s">
        <v>255</v>
      </c>
      <c r="E6" s="41">
        <v>8</v>
      </c>
      <c r="F6" s="41" t="s">
        <v>201</v>
      </c>
      <c r="G6" s="41">
        <v>26</v>
      </c>
      <c r="H6" s="41" t="s">
        <v>201</v>
      </c>
      <c r="I6" s="505"/>
      <c r="J6" s="505"/>
      <c r="K6" s="505"/>
      <c r="L6" s="505"/>
    </row>
    <row r="7" spans="1:12" ht="16.5" x14ac:dyDescent="0.3">
      <c r="A7" s="508"/>
      <c r="B7" s="509"/>
      <c r="C7" s="509"/>
      <c r="D7" s="344" t="s">
        <v>256</v>
      </c>
      <c r="E7" s="41">
        <v>10</v>
      </c>
      <c r="F7" s="41" t="s">
        <v>201</v>
      </c>
      <c r="G7" s="41">
        <v>26</v>
      </c>
      <c r="H7" s="41" t="s">
        <v>201</v>
      </c>
      <c r="I7" s="505"/>
      <c r="J7" s="505"/>
      <c r="K7" s="505"/>
      <c r="L7" s="505"/>
    </row>
    <row r="8" spans="1:12" ht="16.5" x14ac:dyDescent="0.3">
      <c r="A8" s="508"/>
      <c r="B8" s="509"/>
      <c r="C8" s="509"/>
      <c r="D8" s="344" t="s">
        <v>257</v>
      </c>
      <c r="E8" s="41">
        <v>1</v>
      </c>
      <c r="F8" s="41" t="s">
        <v>201</v>
      </c>
      <c r="G8" s="41">
        <v>26</v>
      </c>
      <c r="H8" s="41" t="s">
        <v>201</v>
      </c>
      <c r="I8" s="505"/>
      <c r="J8" s="505"/>
      <c r="K8" s="505"/>
      <c r="L8" s="505"/>
    </row>
    <row r="9" spans="1:12" ht="16.5" x14ac:dyDescent="0.3">
      <c r="A9" s="508"/>
      <c r="B9" s="509"/>
      <c r="C9" s="509"/>
      <c r="D9" s="344" t="s">
        <v>258</v>
      </c>
      <c r="E9" s="343">
        <v>16</v>
      </c>
      <c r="F9" s="41" t="s">
        <v>201</v>
      </c>
      <c r="G9" s="343">
        <v>26</v>
      </c>
      <c r="H9" s="41" t="s">
        <v>201</v>
      </c>
      <c r="I9" s="505"/>
      <c r="J9" s="505"/>
      <c r="K9" s="505"/>
      <c r="L9" s="505"/>
    </row>
    <row r="10" spans="1:12" ht="33" x14ac:dyDescent="0.3">
      <c r="A10" s="508"/>
      <c r="B10" s="509"/>
      <c r="C10" s="509"/>
      <c r="D10" s="344" t="s">
        <v>259</v>
      </c>
      <c r="E10" s="41">
        <v>10</v>
      </c>
      <c r="F10" s="41" t="s">
        <v>201</v>
      </c>
      <c r="G10" s="41">
        <v>26</v>
      </c>
      <c r="H10" s="41" t="s">
        <v>201</v>
      </c>
      <c r="I10" s="505"/>
      <c r="J10" s="505"/>
      <c r="K10" s="505"/>
      <c r="L10" s="505"/>
    </row>
    <row r="11" spans="1:12" ht="16.5" x14ac:dyDescent="0.3">
      <c r="A11" s="336" t="s">
        <v>251</v>
      </c>
      <c r="B11" s="40"/>
      <c r="C11" s="40"/>
      <c r="D11" s="40"/>
      <c r="E11" s="40"/>
      <c r="F11" s="40"/>
      <c r="G11" s="40"/>
      <c r="H11" s="40"/>
    </row>
    <row r="12" spans="1:12" ht="16.5" x14ac:dyDescent="0.3">
      <c r="A12" s="40"/>
      <c r="B12" s="40"/>
      <c r="C12" s="40"/>
      <c r="D12" s="40"/>
      <c r="E12" s="40"/>
      <c r="F12" s="40"/>
      <c r="G12" s="40"/>
      <c r="H12" s="40"/>
    </row>
    <row r="13" spans="1:12" ht="16.5" x14ac:dyDescent="0.3">
      <c r="A13" s="40"/>
      <c r="B13" s="40"/>
      <c r="C13" s="40"/>
      <c r="D13" s="40"/>
      <c r="E13" s="40"/>
      <c r="F13" s="40"/>
      <c r="G13" s="40"/>
      <c r="H13" s="40"/>
    </row>
    <row r="17" spans="2:5" x14ac:dyDescent="0.25">
      <c r="B17" s="39" t="s">
        <v>67</v>
      </c>
    </row>
    <row r="18" spans="2:5" x14ac:dyDescent="0.25">
      <c r="B18" s="39" t="s">
        <v>64</v>
      </c>
      <c r="C18" s="39" t="s">
        <v>63</v>
      </c>
      <c r="D18" s="39" t="s">
        <v>66</v>
      </c>
      <c r="E18" s="39" t="s">
        <v>20</v>
      </c>
    </row>
    <row r="19" spans="2:5" x14ac:dyDescent="0.25">
      <c r="B19" s="39">
        <v>1</v>
      </c>
      <c r="C19" s="39" t="s">
        <v>21</v>
      </c>
      <c r="D19" s="39">
        <v>-21</v>
      </c>
      <c r="E19" s="39" t="s">
        <v>58</v>
      </c>
    </row>
    <row r="20" spans="2:5" x14ac:dyDescent="0.25">
      <c r="B20" s="39">
        <v>2</v>
      </c>
      <c r="C20" s="39" t="s">
        <v>61</v>
      </c>
      <c r="D20" s="39">
        <v>-21</v>
      </c>
      <c r="E20" s="39" t="s">
        <v>58</v>
      </c>
    </row>
    <row r="21" spans="2:5" x14ac:dyDescent="0.25">
      <c r="B21" s="39">
        <v>3</v>
      </c>
      <c r="C21" s="39" t="s">
        <v>60</v>
      </c>
      <c r="D21" s="39">
        <v>-36</v>
      </c>
      <c r="E21" s="39" t="s">
        <v>53</v>
      </c>
    </row>
    <row r="22" spans="2:5" x14ac:dyDescent="0.25">
      <c r="B22" s="39">
        <v>4</v>
      </c>
      <c r="C22" s="39" t="s">
        <v>30</v>
      </c>
      <c r="D22" s="39">
        <v>-48</v>
      </c>
      <c r="E22" s="39" t="s">
        <v>53</v>
      </c>
    </row>
    <row r="23" spans="2:5" x14ac:dyDescent="0.25">
      <c r="B23" s="39">
        <v>5</v>
      </c>
      <c r="C23" s="39" t="s">
        <v>31</v>
      </c>
      <c r="D23" s="39">
        <v>-48</v>
      </c>
      <c r="E23" s="39" t="s">
        <v>53</v>
      </c>
    </row>
    <row r="24" spans="2:5" x14ac:dyDescent="0.25">
      <c r="B24" s="39">
        <v>6</v>
      </c>
      <c r="C24" s="39" t="s">
        <v>32</v>
      </c>
      <c r="D24" s="39">
        <v>-54</v>
      </c>
      <c r="E24" s="39" t="s">
        <v>53</v>
      </c>
    </row>
    <row r="25" spans="2:5" x14ac:dyDescent="0.25">
      <c r="B25" s="39">
        <v>7</v>
      </c>
      <c r="C25" s="39" t="s">
        <v>24</v>
      </c>
      <c r="D25" s="39">
        <v>-36</v>
      </c>
      <c r="E25" s="39" t="s">
        <v>53</v>
      </c>
    </row>
    <row r="26" spans="2:5" x14ac:dyDescent="0.25">
      <c r="B26" s="39">
        <v>8</v>
      </c>
      <c r="C26" s="39" t="s">
        <v>65</v>
      </c>
      <c r="D26" s="39">
        <v>-51</v>
      </c>
      <c r="E26" s="39" t="s">
        <v>53</v>
      </c>
    </row>
    <row r="27" spans="2:5" x14ac:dyDescent="0.25">
      <c r="B27" s="39">
        <v>9</v>
      </c>
      <c r="C27" s="39" t="s">
        <v>26</v>
      </c>
      <c r="D27" s="39">
        <v>-60</v>
      </c>
      <c r="E27" s="39" t="s">
        <v>53</v>
      </c>
    </row>
    <row r="28" spans="2:5" x14ac:dyDescent="0.25">
      <c r="B28" s="39">
        <v>10</v>
      </c>
      <c r="C28" s="39" t="s">
        <v>33</v>
      </c>
      <c r="E28" s="39" t="s">
        <v>53</v>
      </c>
    </row>
    <row r="29" spans="2:5" x14ac:dyDescent="0.25">
      <c r="B29" s="39">
        <v>11</v>
      </c>
      <c r="C29" s="39" t="s">
        <v>34</v>
      </c>
      <c r="D29" s="39">
        <v>-51</v>
      </c>
      <c r="E29" s="39" t="s">
        <v>53</v>
      </c>
    </row>
    <row r="30" spans="2:5" x14ac:dyDescent="0.25">
      <c r="B30" s="39">
        <v>12</v>
      </c>
      <c r="C30" s="39" t="s">
        <v>54</v>
      </c>
      <c r="D30" s="39">
        <v>-54</v>
      </c>
      <c r="E30" s="39" t="s">
        <v>53</v>
      </c>
    </row>
    <row r="31" spans="2:5" x14ac:dyDescent="0.25">
      <c r="B31" s="39">
        <v>13</v>
      </c>
      <c r="C31" s="39" t="s">
        <v>27</v>
      </c>
      <c r="D31" s="39">
        <v>-51</v>
      </c>
      <c r="E31" s="39" t="s">
        <v>53</v>
      </c>
    </row>
    <row r="32" spans="2:5" x14ac:dyDescent="0.25">
      <c r="B32" s="39">
        <v>14</v>
      </c>
      <c r="C32" s="39" t="s">
        <v>28</v>
      </c>
      <c r="D32" s="39">
        <v>-45</v>
      </c>
      <c r="E32" s="39" t="s">
        <v>53</v>
      </c>
    </row>
    <row r="33" spans="2:17" x14ac:dyDescent="0.25">
      <c r="B33" s="39">
        <v>15</v>
      </c>
      <c r="C33" s="39" t="s">
        <v>29</v>
      </c>
      <c r="D33" s="39">
        <v>-36</v>
      </c>
      <c r="E33" s="39" t="s">
        <v>53</v>
      </c>
    </row>
    <row r="35" spans="2:17" x14ac:dyDescent="0.25">
      <c r="B35" s="39" t="s">
        <v>64</v>
      </c>
      <c r="C35" s="39" t="s">
        <v>63</v>
      </c>
      <c r="D35" s="39" t="s">
        <v>62</v>
      </c>
      <c r="E35" s="39" t="s">
        <v>20</v>
      </c>
    </row>
    <row r="36" spans="2:17" x14ac:dyDescent="0.25">
      <c r="B36" s="39">
        <v>1</v>
      </c>
      <c r="C36" s="39" t="s">
        <v>21</v>
      </c>
      <c r="D36" s="39">
        <v>1.5534067121083099</v>
      </c>
      <c r="E36" s="39" t="s">
        <v>55</v>
      </c>
    </row>
    <row r="37" spans="2:17" x14ac:dyDescent="0.25">
      <c r="B37" s="39">
        <v>2</v>
      </c>
      <c r="C37" s="39" t="s">
        <v>61</v>
      </c>
      <c r="D37" s="39">
        <v>3.193255044621397</v>
      </c>
      <c r="E37" s="39" t="s">
        <v>55</v>
      </c>
      <c r="Q37" s="99" t="s">
        <v>115</v>
      </c>
    </row>
    <row r="38" spans="2:17" x14ac:dyDescent="0.25">
      <c r="B38" s="39">
        <v>3</v>
      </c>
      <c r="C38" s="39" t="s">
        <v>60</v>
      </c>
      <c r="D38" s="39">
        <v>130.81780551275889</v>
      </c>
      <c r="E38" s="39" t="s">
        <v>53</v>
      </c>
    </row>
    <row r="39" spans="2:17" x14ac:dyDescent="0.25">
      <c r="B39" s="39">
        <v>4</v>
      </c>
      <c r="C39" s="39" t="s">
        <v>30</v>
      </c>
      <c r="D39" s="39">
        <v>13.207565114489205</v>
      </c>
      <c r="E39" s="39" t="s">
        <v>53</v>
      </c>
    </row>
    <row r="40" spans="2:17" x14ac:dyDescent="0.25">
      <c r="B40" s="39">
        <v>5</v>
      </c>
      <c r="C40" s="39" t="s">
        <v>31</v>
      </c>
      <c r="D40" s="39">
        <v>130.64535341165239</v>
      </c>
      <c r="E40" s="39" t="s">
        <v>53</v>
      </c>
    </row>
    <row r="41" spans="2:17" x14ac:dyDescent="0.25">
      <c r="B41" s="39">
        <v>6</v>
      </c>
      <c r="C41" s="39" t="s">
        <v>32</v>
      </c>
      <c r="D41" s="39">
        <v>130.86717160156678</v>
      </c>
      <c r="E41" s="39" t="s">
        <v>53</v>
      </c>
    </row>
    <row r="42" spans="2:17" x14ac:dyDescent="0.25">
      <c r="B42" s="39">
        <v>7</v>
      </c>
      <c r="C42" s="39" t="s">
        <v>59</v>
      </c>
      <c r="D42" s="39">
        <v>5.0009579252518108</v>
      </c>
      <c r="E42" s="39" t="s">
        <v>58</v>
      </c>
    </row>
    <row r="43" spans="2:17" x14ac:dyDescent="0.25">
      <c r="B43" s="39">
        <v>8</v>
      </c>
      <c r="C43" s="39" t="s">
        <v>57</v>
      </c>
      <c r="D43" s="39">
        <v>13.521459066286079</v>
      </c>
      <c r="E43" s="39" t="s">
        <v>53</v>
      </c>
    </row>
    <row r="44" spans="2:17" x14ac:dyDescent="0.25">
      <c r="B44" s="39">
        <v>9</v>
      </c>
      <c r="C44" s="39" t="s">
        <v>56</v>
      </c>
      <c r="D44" s="39">
        <v>280.86230240218975</v>
      </c>
      <c r="E44" s="39" t="s">
        <v>53</v>
      </c>
    </row>
    <row r="45" spans="2:17" x14ac:dyDescent="0.25">
      <c r="B45" s="39">
        <v>10</v>
      </c>
      <c r="C45" s="39" t="s">
        <v>33</v>
      </c>
      <c r="D45" s="39">
        <v>4.9547042979188891</v>
      </c>
      <c r="E45" s="39" t="s">
        <v>55</v>
      </c>
    </row>
    <row r="46" spans="2:17" x14ac:dyDescent="0.25">
      <c r="B46" s="39">
        <v>11</v>
      </c>
      <c r="C46" s="39" t="s">
        <v>34</v>
      </c>
      <c r="D46" s="39">
        <v>281.02586144487987</v>
      </c>
      <c r="E46" s="39" t="s">
        <v>53</v>
      </c>
    </row>
    <row r="47" spans="2:17" x14ac:dyDescent="0.25">
      <c r="B47" s="39">
        <v>12</v>
      </c>
      <c r="C47" s="39" t="s">
        <v>54</v>
      </c>
      <c r="D47" s="39">
        <v>351.36250577374619</v>
      </c>
      <c r="E47" s="39" t="s">
        <v>53</v>
      </c>
    </row>
    <row r="48" spans="2:17" x14ac:dyDescent="0.25">
      <c r="B48" s="39">
        <v>13</v>
      </c>
      <c r="C48" s="39" t="s">
        <v>27</v>
      </c>
      <c r="D48" s="39">
        <v>13.2219531415699</v>
      </c>
      <c r="E48" s="39" t="s">
        <v>53</v>
      </c>
    </row>
    <row r="49" spans="2:5" x14ac:dyDescent="0.25">
      <c r="B49" s="39">
        <v>14</v>
      </c>
      <c r="C49" s="39" t="s">
        <v>28</v>
      </c>
      <c r="D49" s="39">
        <v>22.302861675746211</v>
      </c>
      <c r="E49" s="39" t="s">
        <v>53</v>
      </c>
    </row>
    <row r="50" spans="2:5" x14ac:dyDescent="0.25">
      <c r="B50" s="39">
        <v>15</v>
      </c>
      <c r="C50" s="39" t="s">
        <v>29</v>
      </c>
      <c r="D50" s="39">
        <v>28.141726608196358</v>
      </c>
      <c r="E50" s="39" t="s">
        <v>53</v>
      </c>
    </row>
  </sheetData>
  <mergeCells count="8">
    <mergeCell ref="I4:L10"/>
    <mergeCell ref="A1:A2"/>
    <mergeCell ref="B1:B2"/>
    <mergeCell ref="C1:C2"/>
    <mergeCell ref="D1:D2"/>
    <mergeCell ref="A3:A10"/>
    <mergeCell ref="B3:B10"/>
    <mergeCell ref="C3:C10"/>
  </mergeCells>
  <pageMargins left="0.7" right="0.7" top="0.75" bottom="0.75" header="0.3" footer="0.3"/>
  <pageSetup paperSize="10000" scale="68"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L50"/>
  <sheetViews>
    <sheetView topLeftCell="A51" zoomScale="115" zoomScaleNormal="115" zoomScaleSheetLayoutView="115" workbookViewId="0">
      <selection activeCell="F49" sqref="F49"/>
    </sheetView>
  </sheetViews>
  <sheetFormatPr defaultColWidth="9.140625" defaultRowHeight="15" x14ac:dyDescent="0.25"/>
  <cols>
    <col min="1" max="1" width="4.140625" style="1" bestFit="1" customWidth="1"/>
    <col min="2" max="2" width="38.28515625" style="1" customWidth="1"/>
    <col min="3" max="3" width="25.42578125" style="1" bestFit="1" customWidth="1"/>
    <col min="4" max="4" width="15.42578125" style="1" bestFit="1" customWidth="1"/>
    <col min="5" max="5" width="9.140625" style="1"/>
    <col min="6" max="6" width="10.140625" style="1" customWidth="1"/>
    <col min="7" max="9" width="9.140625" style="1"/>
    <col min="10" max="10" width="9.42578125" style="1" bestFit="1" customWidth="1"/>
    <col min="11" max="11" width="11.140625" style="1" bestFit="1" customWidth="1"/>
    <col min="12" max="12" width="4.7109375" style="1" bestFit="1" customWidth="1"/>
    <col min="13" max="13" width="3.7109375" style="1" bestFit="1" customWidth="1"/>
    <col min="14" max="14" width="5" style="1" bestFit="1" customWidth="1"/>
    <col min="15" max="15" width="5.140625" style="1" bestFit="1" customWidth="1"/>
    <col min="16" max="16" width="6" style="1" bestFit="1" customWidth="1"/>
    <col min="17" max="17" width="9.28515625" style="1" bestFit="1" customWidth="1"/>
    <col min="18" max="18" width="7.7109375" style="1" bestFit="1" customWidth="1"/>
    <col min="19" max="19" width="6.42578125" style="1" bestFit="1" customWidth="1"/>
    <col min="20" max="20" width="6.140625" style="1" bestFit="1" customWidth="1"/>
    <col min="21" max="22" width="6.42578125" style="1" bestFit="1" customWidth="1"/>
    <col min="23" max="23" width="8.42578125" style="1" bestFit="1" customWidth="1"/>
    <col min="24" max="24" width="8.7109375" style="1" bestFit="1" customWidth="1"/>
    <col min="25" max="25" width="9.7109375" style="1" bestFit="1" customWidth="1"/>
    <col min="26" max="26" width="6.42578125" style="1" bestFit="1" customWidth="1"/>
    <col min="27" max="27" width="6.140625" style="1" bestFit="1" customWidth="1"/>
    <col min="28" max="30" width="6.42578125" style="1" bestFit="1" customWidth="1"/>
    <col min="31" max="31" width="8.7109375" style="1" bestFit="1" customWidth="1"/>
    <col min="32" max="32" width="9.140625" style="1" bestFit="1" customWidth="1"/>
    <col min="33" max="33" width="9.28515625" style="1" bestFit="1" customWidth="1"/>
    <col min="34" max="34" width="9.42578125" style="1" bestFit="1" customWidth="1"/>
    <col min="35" max="35" width="10.7109375" style="1" bestFit="1" customWidth="1"/>
    <col min="36" max="36" width="11.42578125" style="1" bestFit="1" customWidth="1"/>
    <col min="37" max="37" width="9.140625" style="1"/>
    <col min="38" max="38" width="10.7109375" style="1" bestFit="1" customWidth="1"/>
    <col min="39" max="16384" width="9.140625" style="1"/>
  </cols>
  <sheetData>
    <row r="1" spans="1:38" x14ac:dyDescent="0.25">
      <c r="B1" s="2" t="s">
        <v>0</v>
      </c>
    </row>
    <row r="3" spans="1:38" x14ac:dyDescent="0.25">
      <c r="B3" s="2" t="s">
        <v>1</v>
      </c>
    </row>
    <row r="4" spans="1:38" x14ac:dyDescent="0.25">
      <c r="B4" s="2" t="s">
        <v>179</v>
      </c>
    </row>
    <row r="5" spans="1:38" x14ac:dyDescent="0.25">
      <c r="B5" s="2" t="s">
        <v>180</v>
      </c>
    </row>
    <row r="6" spans="1:38" x14ac:dyDescent="0.25">
      <c r="B6" s="2" t="s">
        <v>3</v>
      </c>
    </row>
    <row r="7" spans="1:38" ht="33" x14ac:dyDescent="0.25">
      <c r="A7" s="195" t="s">
        <v>4</v>
      </c>
      <c r="B7" s="5" t="s">
        <v>5</v>
      </c>
      <c r="C7" s="5" t="s">
        <v>6</v>
      </c>
      <c r="D7" s="5" t="s">
        <v>7</v>
      </c>
      <c r="E7" s="5" t="s">
        <v>8</v>
      </c>
      <c r="F7" s="5" t="s">
        <v>9</v>
      </c>
      <c r="G7" s="5" t="s">
        <v>10</v>
      </c>
      <c r="H7" s="5" t="s">
        <v>11</v>
      </c>
      <c r="I7" s="5" t="s">
        <v>12</v>
      </c>
      <c r="J7" s="5" t="s">
        <v>13</v>
      </c>
      <c r="K7" s="5" t="s">
        <v>14</v>
      </c>
      <c r="L7" s="6" t="s">
        <v>8</v>
      </c>
      <c r="M7" s="6" t="s">
        <v>9</v>
      </c>
      <c r="N7" s="6" t="s">
        <v>10</v>
      </c>
      <c r="O7" s="6" t="s">
        <v>11</v>
      </c>
      <c r="P7" s="6" t="s">
        <v>12</v>
      </c>
      <c r="Q7" s="6" t="s">
        <v>13</v>
      </c>
      <c r="R7" s="6"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11" t="s">
        <v>15</v>
      </c>
      <c r="AH7" s="11" t="s">
        <v>16</v>
      </c>
      <c r="AI7" s="11" t="s">
        <v>17</v>
      </c>
      <c r="AJ7" s="11" t="s">
        <v>18</v>
      </c>
      <c r="AK7" s="11" t="s">
        <v>19</v>
      </c>
      <c r="AL7" s="12" t="s">
        <v>20</v>
      </c>
    </row>
    <row r="8" spans="1:38" ht="16.5" x14ac:dyDescent="0.3">
      <c r="A8" s="36">
        <v>1</v>
      </c>
      <c r="B8" s="94" t="s">
        <v>21</v>
      </c>
      <c r="C8" s="211" t="s">
        <v>94</v>
      </c>
      <c r="D8" s="204" t="s">
        <v>174</v>
      </c>
      <c r="E8" s="199">
        <v>4.33</v>
      </c>
      <c r="F8" s="199">
        <v>1.89</v>
      </c>
      <c r="G8" s="199">
        <v>0.5</v>
      </c>
      <c r="H8" s="199">
        <v>7.94</v>
      </c>
      <c r="I8" s="199">
        <v>0.14000000000000001</v>
      </c>
      <c r="J8" s="201">
        <f>4.3*1000</f>
        <v>4300</v>
      </c>
      <c r="K8" s="201">
        <f>2.9*10000</f>
        <v>29000</v>
      </c>
      <c r="L8" s="6">
        <v>50</v>
      </c>
      <c r="M8" s="6">
        <v>4</v>
      </c>
      <c r="N8" s="6">
        <v>3</v>
      </c>
      <c r="O8" s="6">
        <v>25</v>
      </c>
      <c r="P8" s="6">
        <v>0.2</v>
      </c>
      <c r="Q8" s="6">
        <v>1000</v>
      </c>
      <c r="R8" s="6">
        <v>5000</v>
      </c>
      <c r="S8" s="7">
        <f t="shared" ref="S8:S37" si="0">E8/L8</f>
        <v>8.6599999999999996E-2</v>
      </c>
      <c r="T8" s="7">
        <f>((7-F8)/(7-M8))/M8</f>
        <v>0.42583333333333334</v>
      </c>
      <c r="U8" s="7">
        <f t="shared" ref="U8:Y23" si="1">G8/N8</f>
        <v>0.16666666666666666</v>
      </c>
      <c r="V8" s="7">
        <f t="shared" si="1"/>
        <v>0.31759999999999999</v>
      </c>
      <c r="W8" s="8">
        <f t="shared" si="1"/>
        <v>0.70000000000000007</v>
      </c>
      <c r="X8" s="7">
        <f t="shared" si="1"/>
        <v>4.3</v>
      </c>
      <c r="Y8" s="7">
        <f t="shared" si="1"/>
        <v>5.8</v>
      </c>
      <c r="Z8" s="9">
        <f t="shared" ref="Z8:AC37" si="2">1+(5*(LOG10(E8/L8)))</f>
        <v>-4.3124105399132668</v>
      </c>
      <c r="AA8" s="9">
        <f t="shared" si="2"/>
        <v>-0.62799093577359133</v>
      </c>
      <c r="AB8" s="9">
        <f t="shared" si="2"/>
        <v>-2.8907562519182184</v>
      </c>
      <c r="AC8" s="9">
        <f>1+(5*(LOG10(H8/O8)))</f>
        <v>-1.4905975312247066</v>
      </c>
      <c r="AD8" s="9">
        <f t="shared" ref="AA8:AF23" si="3">W8</f>
        <v>0.70000000000000007</v>
      </c>
      <c r="AE8" s="9">
        <f>X8</f>
        <v>4.3</v>
      </c>
      <c r="AF8" s="9">
        <f t="shared" si="3"/>
        <v>5.8</v>
      </c>
      <c r="AG8" s="18">
        <f>AVERAGE(Z8:AF8)</f>
        <v>0.2111778201671736</v>
      </c>
      <c r="AH8" s="19">
        <f>MAX(Z8:AG8)</f>
        <v>5.8</v>
      </c>
      <c r="AI8" s="20">
        <f>POWER(AG8,2)</f>
        <v>4.4596071730559114E-2</v>
      </c>
      <c r="AJ8" s="20">
        <f>POWER(AH8,2)</f>
        <v>33.64</v>
      </c>
      <c r="AK8" s="21">
        <f>SQRT((AI8+AJ8)/2)</f>
        <v>4.1039368947225885</v>
      </c>
      <c r="AL8" s="200" t="str">
        <f>IF(ISNUMBER(AK8),IF(AK8&lt;=1,"memenuhi",IF(AK8&lt;=5,"ringan",IF(AK8&lt;=10,"sedang","berat"))),"")</f>
        <v>ringan</v>
      </c>
    </row>
    <row r="9" spans="1:38" ht="16.5" x14ac:dyDescent="0.3">
      <c r="A9" s="36">
        <v>2</v>
      </c>
      <c r="B9" s="94" t="s">
        <v>61</v>
      </c>
      <c r="C9" s="212" t="s">
        <v>96</v>
      </c>
      <c r="D9" s="204" t="s">
        <v>173</v>
      </c>
      <c r="E9" s="199">
        <v>7.99</v>
      </c>
      <c r="F9" s="199">
        <v>1.21</v>
      </c>
      <c r="G9" s="199">
        <v>13.17</v>
      </c>
      <c r="H9" s="199">
        <v>57.15</v>
      </c>
      <c r="I9" s="199">
        <v>0.15</v>
      </c>
      <c r="J9" s="201">
        <f>5*10000</f>
        <v>50000</v>
      </c>
      <c r="K9" s="201">
        <f>4.1*1000000</f>
        <v>4099999.9999999995</v>
      </c>
      <c r="L9" s="6">
        <v>50</v>
      </c>
      <c r="M9" s="6">
        <v>4</v>
      </c>
      <c r="N9" s="6">
        <v>3</v>
      </c>
      <c r="O9" s="6">
        <v>25</v>
      </c>
      <c r="P9" s="6">
        <v>0.2</v>
      </c>
      <c r="Q9" s="6">
        <v>1000</v>
      </c>
      <c r="R9" s="6">
        <v>5000</v>
      </c>
      <c r="S9" s="7">
        <f t="shared" si="0"/>
        <v>0.1598</v>
      </c>
      <c r="T9" s="7">
        <f t="shared" ref="T9:T37" si="4">((7-F9)/(7-M9))/M9</f>
        <v>0.48249999999999998</v>
      </c>
      <c r="U9" s="7">
        <f t="shared" si="1"/>
        <v>4.3899999999999997</v>
      </c>
      <c r="V9" s="7">
        <f t="shared" si="1"/>
        <v>2.286</v>
      </c>
      <c r="W9" s="8">
        <f t="shared" si="1"/>
        <v>0.74999999999999989</v>
      </c>
      <c r="X9" s="7">
        <f t="shared" si="1"/>
        <v>50</v>
      </c>
      <c r="Y9" s="7">
        <f t="shared" si="1"/>
        <v>819.99999999999989</v>
      </c>
      <c r="Z9" s="9">
        <f t="shared" si="2"/>
        <v>-2.9821161251101374</v>
      </c>
      <c r="AA9" s="9">
        <f t="shared" si="3"/>
        <v>0.48249999999999998</v>
      </c>
      <c r="AB9" s="9">
        <f t="shared" si="2"/>
        <v>4.212322601210607</v>
      </c>
      <c r="AC9" s="9">
        <f t="shared" si="2"/>
        <v>2.7953811302963145</v>
      </c>
      <c r="AD9" s="9">
        <f t="shared" si="3"/>
        <v>0.74999999999999989</v>
      </c>
      <c r="AE9" s="9">
        <f t="shared" si="3"/>
        <v>50</v>
      </c>
      <c r="AF9" s="9">
        <f t="shared" si="3"/>
        <v>819.99999999999989</v>
      </c>
      <c r="AG9" s="18">
        <f t="shared" ref="AG9:AG37" si="5">AVERAGE(Z9:AF9)</f>
        <v>125.03686965805666</v>
      </c>
      <c r="AH9" s="19">
        <f t="shared" ref="AH9:AH37" si="6">MAX(Z9:AG9)</f>
        <v>819.99999999999989</v>
      </c>
      <c r="AI9" s="20">
        <f t="shared" ref="AI9:AJ37" si="7">POWER(AG9,2)</f>
        <v>15634.21877388585</v>
      </c>
      <c r="AJ9" s="20">
        <f t="shared" si="7"/>
        <v>672399.99999999977</v>
      </c>
      <c r="AK9" s="21">
        <f t="shared" ref="AK9:AK37" si="8">SQRT((AI9+AJ9)/2)</f>
        <v>586.52971739456029</v>
      </c>
      <c r="AL9" s="200" t="str">
        <f>IF(ISNUMBER(AK9),IF(AK9&lt;=1,"memenuhi",IF(AK9&lt;=5,"ringan",IF(AK9&lt;=10,"sedang","berat"))),"")</f>
        <v>berat</v>
      </c>
    </row>
    <row r="10" spans="1:38" ht="16.5" x14ac:dyDescent="0.3">
      <c r="A10" s="36">
        <v>3</v>
      </c>
      <c r="B10" s="94" t="s">
        <v>60</v>
      </c>
      <c r="C10" s="211" t="s">
        <v>97</v>
      </c>
      <c r="D10" s="204" t="s">
        <v>175</v>
      </c>
      <c r="E10" s="199">
        <v>31.96</v>
      </c>
      <c r="F10" s="199">
        <v>0.44</v>
      </c>
      <c r="G10" s="199">
        <v>25.5</v>
      </c>
      <c r="H10" s="199">
        <v>97.04</v>
      </c>
      <c r="I10" s="199">
        <v>0.17</v>
      </c>
      <c r="J10" s="201">
        <f>7.8*100000</f>
        <v>780000</v>
      </c>
      <c r="K10" s="201">
        <f>2.2*1000000</f>
        <v>2200000</v>
      </c>
      <c r="L10" s="6">
        <v>50</v>
      </c>
      <c r="M10" s="6">
        <v>4</v>
      </c>
      <c r="N10" s="6">
        <v>3</v>
      </c>
      <c r="O10" s="6">
        <v>25</v>
      </c>
      <c r="P10" s="6">
        <v>0.2</v>
      </c>
      <c r="Q10" s="6">
        <v>1000</v>
      </c>
      <c r="R10" s="6">
        <v>5000</v>
      </c>
      <c r="S10" s="7">
        <f t="shared" si="0"/>
        <v>0.63919999999999999</v>
      </c>
      <c r="T10" s="7">
        <f t="shared" si="4"/>
        <v>0.54666666666666663</v>
      </c>
      <c r="U10" s="7">
        <f t="shared" si="1"/>
        <v>8.5</v>
      </c>
      <c r="V10" s="7">
        <f t="shared" si="1"/>
        <v>3.8816000000000002</v>
      </c>
      <c r="W10" s="8">
        <f t="shared" si="1"/>
        <v>0.85</v>
      </c>
      <c r="X10" s="7">
        <f t="shared" si="1"/>
        <v>780</v>
      </c>
      <c r="Y10" s="7">
        <f t="shared" si="1"/>
        <v>440</v>
      </c>
      <c r="Z10" s="9">
        <f t="shared" si="2"/>
        <v>2.8183831529674852E-2</v>
      </c>
      <c r="AA10" s="9">
        <f t="shared" si="3"/>
        <v>0.54666666666666663</v>
      </c>
      <c r="AB10" s="9">
        <f t="shared" si="2"/>
        <v>5.6470946285714634</v>
      </c>
      <c r="AC10" s="9">
        <f t="shared" si="2"/>
        <v>3.9450538959323946</v>
      </c>
      <c r="AD10" s="9">
        <f t="shared" si="3"/>
        <v>0.85</v>
      </c>
      <c r="AE10" s="9">
        <f t="shared" si="3"/>
        <v>780</v>
      </c>
      <c r="AF10" s="9">
        <f t="shared" si="3"/>
        <v>440</v>
      </c>
      <c r="AG10" s="18">
        <f t="shared" si="5"/>
        <v>175.85957128895717</v>
      </c>
      <c r="AH10" s="19">
        <f t="shared" si="6"/>
        <v>780</v>
      </c>
      <c r="AI10" s="20">
        <f t="shared" si="7"/>
        <v>30926.58881393581</v>
      </c>
      <c r="AJ10" s="20">
        <f t="shared" si="7"/>
        <v>608400</v>
      </c>
      <c r="AK10" s="21">
        <f t="shared" si="8"/>
        <v>565.38773811161479</v>
      </c>
      <c r="AL10" s="200" t="str">
        <f>IF(ISNUMBER(AK10),IF(AK10&lt;=1,"memenuhi",IF(AK10&lt;=5,"ringan",IF(AK10&lt;=10,"sedang","berat"))),"")</f>
        <v>berat</v>
      </c>
    </row>
    <row r="11" spans="1:38" ht="16.5" x14ac:dyDescent="0.3">
      <c r="A11" s="36">
        <v>4</v>
      </c>
      <c r="B11" s="94" t="s">
        <v>30</v>
      </c>
      <c r="C11" s="213" t="s">
        <v>99</v>
      </c>
      <c r="D11" s="204" t="s">
        <v>173</v>
      </c>
      <c r="E11" s="199">
        <v>14.31</v>
      </c>
      <c r="F11" s="199">
        <v>0.96</v>
      </c>
      <c r="G11" s="199">
        <v>7.04</v>
      </c>
      <c r="H11" s="199">
        <v>36.28</v>
      </c>
      <c r="I11" s="199">
        <v>0.35</v>
      </c>
      <c r="J11" s="201">
        <f>2.1*100000</f>
        <v>210000</v>
      </c>
      <c r="K11" s="201">
        <f>2.7*10000000</f>
        <v>27000000</v>
      </c>
      <c r="L11" s="6">
        <v>50</v>
      </c>
      <c r="M11" s="6">
        <v>4</v>
      </c>
      <c r="N11" s="6">
        <v>3</v>
      </c>
      <c r="O11" s="6">
        <v>25</v>
      </c>
      <c r="P11" s="6">
        <v>0.2</v>
      </c>
      <c r="Q11" s="6">
        <v>1000</v>
      </c>
      <c r="R11" s="6">
        <v>5000</v>
      </c>
      <c r="S11" s="7">
        <f t="shared" si="0"/>
        <v>0.28620000000000001</v>
      </c>
      <c r="T11" s="7">
        <f t="shared" si="4"/>
        <v>0.5033333333333333</v>
      </c>
      <c r="U11" s="7">
        <f t="shared" si="1"/>
        <v>2.3466666666666667</v>
      </c>
      <c r="V11" s="7">
        <f t="shared" si="1"/>
        <v>1.4512</v>
      </c>
      <c r="W11" s="8">
        <f t="shared" si="1"/>
        <v>1.7499999999999998</v>
      </c>
      <c r="X11" s="7">
        <f t="shared" si="1"/>
        <v>210</v>
      </c>
      <c r="Y11" s="7">
        <f t="shared" si="1"/>
        <v>5400</v>
      </c>
      <c r="Z11" s="9">
        <f t="shared" si="2"/>
        <v>-1.7166518528812125</v>
      </c>
      <c r="AA11" s="9">
        <f t="shared" si="3"/>
        <v>0.5033333333333333</v>
      </c>
      <c r="AB11" s="9">
        <f t="shared" si="2"/>
        <v>2.8522570221122487</v>
      </c>
      <c r="AC11" s="9">
        <f t="shared" si="2"/>
        <v>1.8086363485801003</v>
      </c>
      <c r="AD11" s="9">
        <f t="shared" si="3"/>
        <v>1.7499999999999998</v>
      </c>
      <c r="AE11" s="9">
        <f t="shared" si="3"/>
        <v>210</v>
      </c>
      <c r="AF11" s="9">
        <f t="shared" si="3"/>
        <v>5400</v>
      </c>
      <c r="AG11" s="18">
        <f t="shared" si="5"/>
        <v>802.17108212159201</v>
      </c>
      <c r="AH11" s="19">
        <f t="shared" si="6"/>
        <v>5400</v>
      </c>
      <c r="AI11" s="20">
        <f t="shared" si="7"/>
        <v>643478.44499212597</v>
      </c>
      <c r="AJ11" s="20">
        <f t="shared" si="7"/>
        <v>29160000</v>
      </c>
      <c r="AK11" s="21">
        <f t="shared" si="8"/>
        <v>3860.2770914140428</v>
      </c>
      <c r="AL11" s="200" t="str">
        <f>IF(ISNUMBER(AK11),IF(AK11&lt;=1,"memenuhi",IF(AK11&lt;=5,"ringan",IF(AK11&lt;=10,"sedang","berat"))),"")</f>
        <v>berat</v>
      </c>
    </row>
    <row r="12" spans="1:38" ht="16.5" x14ac:dyDescent="0.3">
      <c r="A12" s="36">
        <v>5</v>
      </c>
      <c r="B12" s="94" t="s">
        <v>31</v>
      </c>
      <c r="C12" s="211" t="s">
        <v>100</v>
      </c>
      <c r="D12" s="204" t="s">
        <v>175</v>
      </c>
      <c r="E12" s="199">
        <v>46.94</v>
      </c>
      <c r="F12" s="199">
        <v>0.45</v>
      </c>
      <c r="G12" s="199">
        <v>52.35</v>
      </c>
      <c r="H12" s="199">
        <v>78.77</v>
      </c>
      <c r="I12" s="199">
        <v>0.48</v>
      </c>
      <c r="J12" s="201">
        <f>5.8*1000000</f>
        <v>5800000</v>
      </c>
      <c r="K12" s="201">
        <f>7.15*10000000</f>
        <v>71500000</v>
      </c>
      <c r="L12" s="6">
        <v>50</v>
      </c>
      <c r="M12" s="6">
        <v>4</v>
      </c>
      <c r="N12" s="6">
        <v>3</v>
      </c>
      <c r="O12" s="6">
        <v>25</v>
      </c>
      <c r="P12" s="6">
        <v>0.2</v>
      </c>
      <c r="Q12" s="6">
        <v>1000</v>
      </c>
      <c r="R12" s="6">
        <v>5000</v>
      </c>
      <c r="S12" s="7">
        <f t="shared" si="0"/>
        <v>0.93879999999999997</v>
      </c>
      <c r="T12" s="7">
        <f t="shared" si="4"/>
        <v>0.54583333333333328</v>
      </c>
      <c r="U12" s="7">
        <f t="shared" si="1"/>
        <v>17.45</v>
      </c>
      <c r="V12" s="7">
        <f t="shared" si="1"/>
        <v>3.1507999999999998</v>
      </c>
      <c r="W12" s="8">
        <f t="shared" si="1"/>
        <v>2.4</v>
      </c>
      <c r="X12" s="7">
        <f t="shared" si="1"/>
        <v>5800</v>
      </c>
      <c r="Y12" s="7">
        <f t="shared" si="1"/>
        <v>14300</v>
      </c>
      <c r="Z12" s="9">
        <f t="shared" si="2"/>
        <v>0.86286540463277472</v>
      </c>
      <c r="AA12" s="9">
        <f t="shared" si="3"/>
        <v>0.54583333333333328</v>
      </c>
      <c r="AB12" s="9">
        <f t="shared" si="2"/>
        <v>7.208977156475993</v>
      </c>
      <c r="AC12" s="9">
        <f t="shared" si="2"/>
        <v>3.4921041839863936</v>
      </c>
      <c r="AD12" s="9">
        <f t="shared" si="3"/>
        <v>2.4</v>
      </c>
      <c r="AE12" s="9">
        <f t="shared" si="3"/>
        <v>5800</v>
      </c>
      <c r="AF12" s="9">
        <f t="shared" si="3"/>
        <v>14300</v>
      </c>
      <c r="AG12" s="18">
        <f t="shared" si="5"/>
        <v>2873.5013971540611</v>
      </c>
      <c r="AH12" s="19">
        <f t="shared" si="6"/>
        <v>14300</v>
      </c>
      <c r="AI12" s="20">
        <f t="shared" si="7"/>
        <v>8257010.2794463411</v>
      </c>
      <c r="AJ12" s="20">
        <f t="shared" si="7"/>
        <v>204490000</v>
      </c>
      <c r="AK12" s="21">
        <f t="shared" si="8"/>
        <v>10313.753203355371</v>
      </c>
      <c r="AL12" s="200" t="str">
        <f>IF(ISNUMBER(AK12),IF(AK12&lt;=1,"memenuhi",IF(AK12&lt;=5,"ringan",IF(AK12&lt;=10,"sedang","berat"))),"")</f>
        <v>berat</v>
      </c>
    </row>
    <row r="13" spans="1:38" ht="16.5" x14ac:dyDescent="0.3">
      <c r="A13" s="36">
        <v>6</v>
      </c>
      <c r="B13" s="94" t="s">
        <v>32</v>
      </c>
      <c r="C13" s="211" t="s">
        <v>101</v>
      </c>
      <c r="D13" s="204" t="s">
        <v>175</v>
      </c>
      <c r="E13" s="199">
        <v>22.64</v>
      </c>
      <c r="F13" s="199">
        <v>0.38</v>
      </c>
      <c r="G13" s="199">
        <v>22.39</v>
      </c>
      <c r="H13" s="199">
        <v>92.96</v>
      </c>
      <c r="I13" s="199">
        <v>0.17</v>
      </c>
      <c r="J13" s="201">
        <f>3.8*100000</f>
        <v>380000</v>
      </c>
      <c r="K13" s="201">
        <f>2.5*1000000</f>
        <v>2500000</v>
      </c>
      <c r="L13" s="6">
        <v>50</v>
      </c>
      <c r="M13" s="6">
        <v>4</v>
      </c>
      <c r="N13" s="6">
        <v>3</v>
      </c>
      <c r="O13" s="6">
        <v>25</v>
      </c>
      <c r="P13" s="6">
        <v>0.2</v>
      </c>
      <c r="Q13" s="6">
        <v>1000</v>
      </c>
      <c r="R13" s="6">
        <v>5000</v>
      </c>
      <c r="S13" s="7">
        <f t="shared" si="0"/>
        <v>0.45280000000000004</v>
      </c>
      <c r="T13" s="7">
        <f t="shared" si="4"/>
        <v>0.55166666666666664</v>
      </c>
      <c r="U13" s="7">
        <f t="shared" si="1"/>
        <v>7.4633333333333338</v>
      </c>
      <c r="V13" s="7">
        <f t="shared" si="1"/>
        <v>3.7183999999999999</v>
      </c>
      <c r="W13" s="8">
        <f t="shared" si="1"/>
        <v>0.85</v>
      </c>
      <c r="X13" s="7">
        <f t="shared" si="1"/>
        <v>380</v>
      </c>
      <c r="Y13" s="7">
        <f t="shared" si="1"/>
        <v>500</v>
      </c>
      <c r="Z13" s="9">
        <f t="shared" si="2"/>
        <v>-0.72046790909892477</v>
      </c>
      <c r="AA13" s="9">
        <f t="shared" si="3"/>
        <v>0.55166666666666664</v>
      </c>
      <c r="AB13" s="9">
        <f t="shared" si="2"/>
        <v>5.3646641942968394</v>
      </c>
      <c r="AC13" s="9">
        <f t="shared" si="2"/>
        <v>3.8517805318710892</v>
      </c>
      <c r="AD13" s="9">
        <f t="shared" si="3"/>
        <v>0.85</v>
      </c>
      <c r="AE13" s="9">
        <f t="shared" si="3"/>
        <v>380</v>
      </c>
      <c r="AF13" s="9">
        <f t="shared" si="3"/>
        <v>500</v>
      </c>
      <c r="AG13" s="18">
        <f t="shared" si="5"/>
        <v>127.12823478339081</v>
      </c>
      <c r="AH13" s="19">
        <f t="shared" si="6"/>
        <v>500</v>
      </c>
      <c r="AI13" s="20">
        <f t="shared" si="7"/>
        <v>16161.588079140936</v>
      </c>
      <c r="AJ13" s="20">
        <f t="shared" si="7"/>
        <v>250000</v>
      </c>
      <c r="AK13" s="21">
        <f t="shared" si="8"/>
        <v>364.80240410333164</v>
      </c>
      <c r="AL13" s="200" t="str">
        <f t="shared" ref="AL13:AL37" si="9">IF(ISNUMBER(AK13),IF(AK13&lt;=1,"memenuhi",IF(AK13&lt;=5,"ringan",IF(AK13&lt;=10,"sedang","berat"))),"")</f>
        <v>berat</v>
      </c>
    </row>
    <row r="14" spans="1:38" ht="16.5" x14ac:dyDescent="0.3">
      <c r="A14" s="36">
        <v>7</v>
      </c>
      <c r="B14" s="94" t="s">
        <v>24</v>
      </c>
      <c r="C14" s="213" t="s">
        <v>102</v>
      </c>
      <c r="D14" s="204" t="s">
        <v>174</v>
      </c>
      <c r="E14" s="199">
        <v>12.32</v>
      </c>
      <c r="F14" s="199">
        <v>0.88</v>
      </c>
      <c r="G14" s="199">
        <v>54.14</v>
      </c>
      <c r="H14" s="199">
        <v>92.95</v>
      </c>
      <c r="I14" s="199">
        <v>1.18</v>
      </c>
      <c r="J14" s="201">
        <v>31000</v>
      </c>
      <c r="K14" s="201">
        <v>755000</v>
      </c>
      <c r="L14" s="6">
        <v>50</v>
      </c>
      <c r="M14" s="6">
        <v>4</v>
      </c>
      <c r="N14" s="6">
        <v>3</v>
      </c>
      <c r="O14" s="6">
        <v>25</v>
      </c>
      <c r="P14" s="6">
        <v>0.2</v>
      </c>
      <c r="Q14" s="6">
        <v>1000</v>
      </c>
      <c r="R14" s="6">
        <v>5000</v>
      </c>
      <c r="S14" s="7">
        <f t="shared" si="0"/>
        <v>0.24640000000000001</v>
      </c>
      <c r="T14" s="7">
        <f t="shared" si="4"/>
        <v>0.51</v>
      </c>
      <c r="U14" s="7">
        <f t="shared" si="1"/>
        <v>18.046666666666667</v>
      </c>
      <c r="V14" s="7">
        <f t="shared" si="1"/>
        <v>3.718</v>
      </c>
      <c r="W14" s="8">
        <f t="shared" si="1"/>
        <v>5.8999999999999995</v>
      </c>
      <c r="X14" s="7">
        <f t="shared" si="1"/>
        <v>31</v>
      </c>
      <c r="Y14" s="7">
        <f t="shared" si="1"/>
        <v>151</v>
      </c>
      <c r="Z14" s="9">
        <f t="shared" si="2"/>
        <v>-2.0417964825380608</v>
      </c>
      <c r="AA14" s="9">
        <f t="shared" si="3"/>
        <v>0.51</v>
      </c>
      <c r="AB14" s="9">
        <f t="shared" si="2"/>
        <v>7.2819849835741257</v>
      </c>
      <c r="AC14" s="9">
        <f t="shared" si="2"/>
        <v>3.8515469271793985</v>
      </c>
      <c r="AD14" s="9">
        <f t="shared" si="3"/>
        <v>5.8999999999999995</v>
      </c>
      <c r="AE14" s="9">
        <f t="shared" si="3"/>
        <v>31</v>
      </c>
      <c r="AF14" s="9">
        <f t="shared" si="3"/>
        <v>151</v>
      </c>
      <c r="AG14" s="18">
        <f t="shared" si="5"/>
        <v>28.214533632602208</v>
      </c>
      <c r="AH14" s="19">
        <f t="shared" si="6"/>
        <v>151</v>
      </c>
      <c r="AI14" s="20">
        <f t="shared" si="7"/>
        <v>796.05990810524111</v>
      </c>
      <c r="AJ14" s="20">
        <f t="shared" si="7"/>
        <v>22801</v>
      </c>
      <c r="AK14" s="21">
        <f t="shared" si="8"/>
        <v>108.62103826631663</v>
      </c>
      <c r="AL14" s="200" t="str">
        <f t="shared" si="9"/>
        <v>berat</v>
      </c>
    </row>
    <row r="15" spans="1:38" ht="16.5" x14ac:dyDescent="0.3">
      <c r="A15" s="36">
        <v>8</v>
      </c>
      <c r="B15" s="94" t="s">
        <v>25</v>
      </c>
      <c r="C15" s="213" t="s">
        <v>103</v>
      </c>
      <c r="D15" s="204" t="s">
        <v>174</v>
      </c>
      <c r="E15" s="199">
        <v>16.98</v>
      </c>
      <c r="F15" s="199">
        <v>0.56000000000000005</v>
      </c>
      <c r="G15" s="199">
        <v>41.87</v>
      </c>
      <c r="H15" s="199">
        <v>105.89</v>
      </c>
      <c r="I15" s="199">
        <v>2.37</v>
      </c>
      <c r="J15" s="201">
        <v>2000000</v>
      </c>
      <c r="K15" s="201">
        <v>23000000</v>
      </c>
      <c r="L15" s="6">
        <v>50</v>
      </c>
      <c r="M15" s="6">
        <v>4</v>
      </c>
      <c r="N15" s="6">
        <v>3</v>
      </c>
      <c r="O15" s="6">
        <v>25</v>
      </c>
      <c r="P15" s="6">
        <v>0.2</v>
      </c>
      <c r="Q15" s="6">
        <v>1000</v>
      </c>
      <c r="R15" s="6">
        <v>5000</v>
      </c>
      <c r="S15" s="7">
        <f t="shared" si="0"/>
        <v>0.33960000000000001</v>
      </c>
      <c r="T15" s="7">
        <f t="shared" si="4"/>
        <v>0.53666666666666663</v>
      </c>
      <c r="U15" s="7">
        <f t="shared" si="1"/>
        <v>13.956666666666665</v>
      </c>
      <c r="V15" s="7">
        <f t="shared" si="1"/>
        <v>4.2355999999999998</v>
      </c>
      <c r="W15" s="8">
        <f t="shared" si="1"/>
        <v>11.85</v>
      </c>
      <c r="X15" s="7">
        <f t="shared" si="1"/>
        <v>2000</v>
      </c>
      <c r="Y15" s="7">
        <f t="shared" si="1"/>
        <v>4600</v>
      </c>
      <c r="Z15" s="9">
        <f t="shared" si="2"/>
        <v>-1.3451615921404247</v>
      </c>
      <c r="AA15" s="9">
        <f t="shared" si="3"/>
        <v>0.53666666666666663</v>
      </c>
      <c r="AB15" s="9">
        <f>1+(5*(LOG10(G15/N15)))</f>
        <v>6.7239085308578392</v>
      </c>
      <c r="AC15" s="9">
        <f t="shared" si="2"/>
        <v>4.1345746981649008</v>
      </c>
      <c r="AD15" s="9">
        <f t="shared" si="3"/>
        <v>11.85</v>
      </c>
      <c r="AE15" s="9">
        <f t="shared" si="3"/>
        <v>2000</v>
      </c>
      <c r="AF15" s="9">
        <f t="shared" si="3"/>
        <v>4600</v>
      </c>
      <c r="AG15" s="18">
        <f t="shared" si="5"/>
        <v>945.98571261479265</v>
      </c>
      <c r="AH15" s="19">
        <f t="shared" si="6"/>
        <v>4600</v>
      </c>
      <c r="AI15" s="20">
        <f t="shared" si="7"/>
        <v>894888.96847131709</v>
      </c>
      <c r="AJ15" s="20">
        <f t="shared" si="7"/>
        <v>21160000</v>
      </c>
      <c r="AK15" s="21">
        <f t="shared" si="8"/>
        <v>3320.7596245792406</v>
      </c>
      <c r="AL15" s="200" t="str">
        <f t="shared" si="9"/>
        <v>berat</v>
      </c>
    </row>
    <row r="16" spans="1:38" ht="16.5" x14ac:dyDescent="0.3">
      <c r="A16" s="36">
        <v>9</v>
      </c>
      <c r="B16" s="94" t="s">
        <v>26</v>
      </c>
      <c r="C16" s="213" t="s">
        <v>104</v>
      </c>
      <c r="D16" s="204" t="s">
        <v>174</v>
      </c>
      <c r="E16" s="199">
        <v>31.96</v>
      </c>
      <c r="F16" s="199">
        <v>0.55000000000000004</v>
      </c>
      <c r="G16" s="199">
        <v>34.24</v>
      </c>
      <c r="H16" s="199">
        <v>99.52</v>
      </c>
      <c r="I16" s="199">
        <v>0.28000000000000003</v>
      </c>
      <c r="J16" s="201">
        <v>2400000</v>
      </c>
      <c r="K16" s="201">
        <v>70000000</v>
      </c>
      <c r="L16" s="6">
        <v>50</v>
      </c>
      <c r="M16" s="6">
        <v>4</v>
      </c>
      <c r="N16" s="6">
        <v>3</v>
      </c>
      <c r="O16" s="6">
        <v>25</v>
      </c>
      <c r="P16" s="6">
        <v>0.2</v>
      </c>
      <c r="Q16" s="6">
        <v>1000</v>
      </c>
      <c r="R16" s="6">
        <v>5000</v>
      </c>
      <c r="S16" s="7">
        <f t="shared" si="0"/>
        <v>0.63919999999999999</v>
      </c>
      <c r="T16" s="7">
        <f t="shared" si="4"/>
        <v>0.53749999999999998</v>
      </c>
      <c r="U16" s="7">
        <f t="shared" si="1"/>
        <v>11.413333333333334</v>
      </c>
      <c r="V16" s="7">
        <f t="shared" si="1"/>
        <v>3.9807999999999999</v>
      </c>
      <c r="W16" s="8">
        <f t="shared" si="1"/>
        <v>1.4000000000000001</v>
      </c>
      <c r="X16" s="7">
        <f t="shared" si="1"/>
        <v>2400</v>
      </c>
      <c r="Y16" s="7">
        <f t="shared" si="1"/>
        <v>14000</v>
      </c>
      <c r="Z16" s="9">
        <f t="shared" si="2"/>
        <v>2.8183831529674852E-2</v>
      </c>
      <c r="AA16" s="9">
        <f t="shared" si="3"/>
        <v>0.53749999999999998</v>
      </c>
      <c r="AB16" s="9">
        <f t="shared" si="2"/>
        <v>6.2870625064272661</v>
      </c>
      <c r="AC16" s="9">
        <f t="shared" si="2"/>
        <v>3.9998517933735291</v>
      </c>
      <c r="AD16" s="9">
        <f t="shared" si="3"/>
        <v>1.4000000000000001</v>
      </c>
      <c r="AE16" s="9">
        <f t="shared" si="3"/>
        <v>2400</v>
      </c>
      <c r="AF16" s="9">
        <f t="shared" si="3"/>
        <v>14000</v>
      </c>
      <c r="AG16" s="18">
        <f t="shared" si="5"/>
        <v>2344.6075140187613</v>
      </c>
      <c r="AH16" s="19">
        <f t="shared" si="6"/>
        <v>14000</v>
      </c>
      <c r="AI16" s="20">
        <f t="shared" si="7"/>
        <v>5497184.3947932357</v>
      </c>
      <c r="AJ16" s="20">
        <f t="shared" si="7"/>
        <v>196000000</v>
      </c>
      <c r="AK16" s="21">
        <f t="shared" si="8"/>
        <v>10037.359822054634</v>
      </c>
      <c r="AL16" s="200" t="str">
        <f t="shared" si="9"/>
        <v>berat</v>
      </c>
    </row>
    <row r="17" spans="1:38" ht="16.5" x14ac:dyDescent="0.3">
      <c r="A17" s="36">
        <v>10</v>
      </c>
      <c r="B17" s="94" t="s">
        <v>33</v>
      </c>
      <c r="C17" s="213" t="s">
        <v>105</v>
      </c>
      <c r="D17" s="204" t="s">
        <v>174</v>
      </c>
      <c r="E17" s="199">
        <v>27.63</v>
      </c>
      <c r="F17" s="199">
        <v>0.87</v>
      </c>
      <c r="G17" s="199">
        <v>23.51</v>
      </c>
      <c r="H17" s="199">
        <v>113.42</v>
      </c>
      <c r="I17" s="199">
        <v>0.99</v>
      </c>
      <c r="J17" s="201">
        <f>1.5*1000000</f>
        <v>1500000</v>
      </c>
      <c r="K17" s="201">
        <f>3.6*10000000</f>
        <v>36000000</v>
      </c>
      <c r="L17" s="6">
        <v>50</v>
      </c>
      <c r="M17" s="6">
        <v>4</v>
      </c>
      <c r="N17" s="6">
        <v>3</v>
      </c>
      <c r="O17" s="6">
        <v>25</v>
      </c>
      <c r="P17" s="6">
        <v>0.2</v>
      </c>
      <c r="Q17" s="6">
        <v>1000</v>
      </c>
      <c r="R17" s="6">
        <v>5000</v>
      </c>
      <c r="S17" s="7">
        <f t="shared" si="0"/>
        <v>0.55259999999999998</v>
      </c>
      <c r="T17" s="7">
        <f t="shared" si="4"/>
        <v>0.51083333333333336</v>
      </c>
      <c r="U17" s="7">
        <f t="shared" si="1"/>
        <v>7.8366666666666669</v>
      </c>
      <c r="V17" s="7">
        <f t="shared" si="1"/>
        <v>4.5368000000000004</v>
      </c>
      <c r="W17" s="8">
        <f t="shared" si="1"/>
        <v>4.9499999999999993</v>
      </c>
      <c r="X17" s="7">
        <f t="shared" si="1"/>
        <v>1500</v>
      </c>
      <c r="Y17" s="7">
        <f t="shared" si="1"/>
        <v>7200</v>
      </c>
      <c r="Z17" s="9">
        <f t="shared" si="2"/>
        <v>-0.28794559709753731</v>
      </c>
      <c r="AA17" s="9">
        <f t="shared" si="3"/>
        <v>0.51083333333333336</v>
      </c>
      <c r="AB17" s="9">
        <f t="shared" si="2"/>
        <v>5.4706568720263844</v>
      </c>
      <c r="AC17" s="9">
        <f t="shared" si="2"/>
        <v>4.2837481713897114</v>
      </c>
      <c r="AD17" s="9">
        <f t="shared" si="3"/>
        <v>4.9499999999999993</v>
      </c>
      <c r="AE17" s="9">
        <f t="shared" si="3"/>
        <v>1500</v>
      </c>
      <c r="AF17" s="9">
        <f t="shared" si="3"/>
        <v>7200</v>
      </c>
      <c r="AG17" s="18">
        <f t="shared" si="5"/>
        <v>1244.989613254236</v>
      </c>
      <c r="AH17" s="19">
        <f t="shared" si="6"/>
        <v>7200</v>
      </c>
      <c r="AI17" s="20">
        <f t="shared" si="7"/>
        <v>1549999.1371109323</v>
      </c>
      <c r="AJ17" s="20">
        <f t="shared" si="7"/>
        <v>51840000</v>
      </c>
      <c r="AK17" s="21">
        <f t="shared" si="8"/>
        <v>5166.7203880755405</v>
      </c>
      <c r="AL17" s="200" t="str">
        <f t="shared" si="9"/>
        <v>berat</v>
      </c>
    </row>
    <row r="18" spans="1:38" ht="16.5" x14ac:dyDescent="0.3">
      <c r="A18" s="36">
        <v>11</v>
      </c>
      <c r="B18" s="94" t="s">
        <v>34</v>
      </c>
      <c r="C18" s="213" t="s">
        <v>106</v>
      </c>
      <c r="D18" s="204" t="s">
        <v>173</v>
      </c>
      <c r="E18" s="199">
        <v>42.28</v>
      </c>
      <c r="F18" s="199">
        <v>0.65</v>
      </c>
      <c r="G18" s="199">
        <v>82.79</v>
      </c>
      <c r="H18" s="199">
        <v>145.13</v>
      </c>
      <c r="I18" s="199">
        <v>0.54</v>
      </c>
      <c r="J18" s="201">
        <f>3.2*1000000</f>
        <v>3200000</v>
      </c>
      <c r="K18" s="201">
        <f>2.4*10000000</f>
        <v>24000000</v>
      </c>
      <c r="L18" s="6">
        <v>50</v>
      </c>
      <c r="M18" s="6">
        <v>4</v>
      </c>
      <c r="N18" s="6">
        <v>3</v>
      </c>
      <c r="O18" s="6">
        <v>25</v>
      </c>
      <c r="P18" s="6">
        <v>0.2</v>
      </c>
      <c r="Q18" s="6">
        <v>1000</v>
      </c>
      <c r="R18" s="6">
        <v>5000</v>
      </c>
      <c r="S18" s="7">
        <f t="shared" si="0"/>
        <v>0.84560000000000002</v>
      </c>
      <c r="T18" s="7">
        <f t="shared" si="4"/>
        <v>0.52916666666666667</v>
      </c>
      <c r="U18" s="7">
        <f t="shared" si="1"/>
        <v>27.596666666666668</v>
      </c>
      <c r="V18" s="7">
        <f t="shared" si="1"/>
        <v>5.8052000000000001</v>
      </c>
      <c r="W18" s="8">
        <f t="shared" si="1"/>
        <v>2.7</v>
      </c>
      <c r="X18" s="7">
        <f t="shared" si="1"/>
        <v>3200</v>
      </c>
      <c r="Y18" s="7">
        <f t="shared" si="1"/>
        <v>4800</v>
      </c>
      <c r="Z18" s="9">
        <f t="shared" si="2"/>
        <v>0.6358248714968493</v>
      </c>
      <c r="AA18" s="9">
        <f t="shared" si="3"/>
        <v>0.52916666666666667</v>
      </c>
      <c r="AB18" s="9">
        <f t="shared" si="2"/>
        <v>8.204283139366229</v>
      </c>
      <c r="AC18" s="9">
        <f t="shared" si="2"/>
        <v>4.8190859329484477</v>
      </c>
      <c r="AD18" s="9">
        <f t="shared" si="3"/>
        <v>2.7</v>
      </c>
      <c r="AE18" s="9">
        <f t="shared" si="3"/>
        <v>3200</v>
      </c>
      <c r="AF18" s="9">
        <f t="shared" si="3"/>
        <v>4800</v>
      </c>
      <c r="AG18" s="18">
        <f t="shared" si="5"/>
        <v>1145.269765801497</v>
      </c>
      <c r="AH18" s="19">
        <f t="shared" si="6"/>
        <v>4800</v>
      </c>
      <c r="AI18" s="20">
        <f t="shared" si="7"/>
        <v>1311642.8364590157</v>
      </c>
      <c r="AJ18" s="20">
        <f t="shared" si="7"/>
        <v>23040000</v>
      </c>
      <c r="AK18" s="21">
        <f t="shared" si="8"/>
        <v>3489.3869688284085</v>
      </c>
      <c r="AL18" s="200" t="str">
        <f t="shared" si="9"/>
        <v>berat</v>
      </c>
    </row>
    <row r="19" spans="1:38" ht="16.5" x14ac:dyDescent="0.3">
      <c r="A19" s="36">
        <v>12</v>
      </c>
      <c r="B19" s="94" t="s">
        <v>54</v>
      </c>
      <c r="C19" s="213" t="s">
        <v>107</v>
      </c>
      <c r="D19" s="204" t="s">
        <v>176</v>
      </c>
      <c r="E19" s="199">
        <v>148.31</v>
      </c>
      <c r="F19" s="199">
        <v>0.22</v>
      </c>
      <c r="G19" s="199">
        <v>87.15</v>
      </c>
      <c r="H19" s="199">
        <v>130.62</v>
      </c>
      <c r="I19" s="199">
        <v>0.17</v>
      </c>
      <c r="J19" s="201">
        <f>3.4*1000000</f>
        <v>3400000</v>
      </c>
      <c r="K19" s="201">
        <f>7.6*10000000</f>
        <v>76000000</v>
      </c>
      <c r="L19" s="6">
        <v>50</v>
      </c>
      <c r="M19" s="6">
        <v>4</v>
      </c>
      <c r="N19" s="6">
        <v>3</v>
      </c>
      <c r="O19" s="6">
        <v>25</v>
      </c>
      <c r="P19" s="6">
        <v>0.2</v>
      </c>
      <c r="Q19" s="6">
        <v>1000</v>
      </c>
      <c r="R19" s="6">
        <v>5000</v>
      </c>
      <c r="S19" s="7">
        <f t="shared" si="0"/>
        <v>2.9662000000000002</v>
      </c>
      <c r="T19" s="7">
        <f t="shared" si="4"/>
        <v>0.56500000000000006</v>
      </c>
      <c r="U19" s="7">
        <f t="shared" si="1"/>
        <v>29.05</v>
      </c>
      <c r="V19" s="7">
        <f t="shared" si="1"/>
        <v>5.2248000000000001</v>
      </c>
      <c r="W19" s="8">
        <f t="shared" si="1"/>
        <v>0.85</v>
      </c>
      <c r="X19" s="7">
        <f t="shared" si="1"/>
        <v>3400</v>
      </c>
      <c r="Y19" s="7">
        <f t="shared" si="1"/>
        <v>15200</v>
      </c>
      <c r="Z19" s="9">
        <f t="shared" si="2"/>
        <v>3.3610021528280098</v>
      </c>
      <c r="AA19" s="9">
        <f t="shared" si="3"/>
        <v>0.56500000000000006</v>
      </c>
      <c r="AB19" s="9">
        <f t="shared" si="2"/>
        <v>8.3157306836317488</v>
      </c>
      <c r="AC19" s="9">
        <f t="shared" si="2"/>
        <v>4.5903483537635017</v>
      </c>
      <c r="AD19" s="9">
        <f t="shared" si="3"/>
        <v>0.85</v>
      </c>
      <c r="AE19" s="9">
        <f t="shared" si="3"/>
        <v>3400</v>
      </c>
      <c r="AF19" s="9">
        <f t="shared" si="3"/>
        <v>15200</v>
      </c>
      <c r="AG19" s="18">
        <f t="shared" si="5"/>
        <v>2659.6688687414603</v>
      </c>
      <c r="AH19" s="19">
        <f t="shared" si="6"/>
        <v>15200</v>
      </c>
      <c r="AI19" s="20">
        <f t="shared" si="7"/>
        <v>7073838.491352479</v>
      </c>
      <c r="AJ19" s="20">
        <f t="shared" si="7"/>
        <v>231040000</v>
      </c>
      <c r="AK19" s="21">
        <f t="shared" si="8"/>
        <v>10911.320692092055</v>
      </c>
      <c r="AL19" s="200" t="str">
        <f t="shared" si="9"/>
        <v>berat</v>
      </c>
    </row>
    <row r="20" spans="1:38" ht="16.5" x14ac:dyDescent="0.3">
      <c r="A20" s="36">
        <v>13</v>
      </c>
      <c r="B20" s="94" t="s">
        <v>27</v>
      </c>
      <c r="C20" s="213" t="s">
        <v>108</v>
      </c>
      <c r="D20" s="204" t="s">
        <v>174</v>
      </c>
      <c r="E20" s="199">
        <v>13.65</v>
      </c>
      <c r="F20" s="199">
        <v>1.27</v>
      </c>
      <c r="G20" s="199">
        <v>15.57</v>
      </c>
      <c r="H20" s="199">
        <v>76.16</v>
      </c>
      <c r="I20" s="199">
        <v>0.34</v>
      </c>
      <c r="J20" s="201">
        <f>3.2*1000000</f>
        <v>3200000</v>
      </c>
      <c r="K20" s="201">
        <f>3.3*10000000</f>
        <v>33000000</v>
      </c>
      <c r="L20" s="6">
        <v>50</v>
      </c>
      <c r="M20" s="6">
        <v>4</v>
      </c>
      <c r="N20" s="6">
        <v>3</v>
      </c>
      <c r="O20" s="6">
        <v>25</v>
      </c>
      <c r="P20" s="6">
        <v>0.2</v>
      </c>
      <c r="Q20" s="6">
        <v>1000</v>
      </c>
      <c r="R20" s="6">
        <v>5000</v>
      </c>
      <c r="S20" s="7">
        <f t="shared" si="0"/>
        <v>0.27300000000000002</v>
      </c>
      <c r="T20" s="7">
        <f t="shared" si="4"/>
        <v>0.47750000000000004</v>
      </c>
      <c r="U20" s="7">
        <f t="shared" si="1"/>
        <v>5.19</v>
      </c>
      <c r="V20" s="7">
        <f t="shared" si="1"/>
        <v>3.0463999999999998</v>
      </c>
      <c r="W20" s="8">
        <f t="shared" si="1"/>
        <v>1.7</v>
      </c>
      <c r="X20" s="7">
        <f t="shared" si="1"/>
        <v>3200</v>
      </c>
      <c r="Y20" s="7">
        <f t="shared" si="1"/>
        <v>6600</v>
      </c>
      <c r="Z20" s="9">
        <f t="shared" si="2"/>
        <v>-1.8191867647962199</v>
      </c>
      <c r="AA20" s="9">
        <f t="shared" si="3"/>
        <v>0.47750000000000004</v>
      </c>
      <c r="AB20" s="9">
        <f t="shared" si="2"/>
        <v>4.5758367892422891</v>
      </c>
      <c r="AC20" s="9">
        <f t="shared" si="2"/>
        <v>3.4189346335219013</v>
      </c>
      <c r="AD20" s="9">
        <f t="shared" si="3"/>
        <v>1.7</v>
      </c>
      <c r="AE20" s="9">
        <f t="shared" si="3"/>
        <v>3200</v>
      </c>
      <c r="AF20" s="9">
        <f t="shared" si="3"/>
        <v>6600</v>
      </c>
      <c r="AG20" s="18">
        <f t="shared" si="5"/>
        <v>1401.1932978082809</v>
      </c>
      <c r="AH20" s="19">
        <f t="shared" si="6"/>
        <v>6600</v>
      </c>
      <c r="AI20" s="20">
        <f t="shared" si="7"/>
        <v>1963342.657822846</v>
      </c>
      <c r="AJ20" s="20">
        <f t="shared" si="7"/>
        <v>43560000</v>
      </c>
      <c r="AK20" s="21">
        <f t="shared" si="8"/>
        <v>4770.9193379171084</v>
      </c>
      <c r="AL20" s="200" t="str">
        <f t="shared" si="9"/>
        <v>berat</v>
      </c>
    </row>
    <row r="21" spans="1:38" ht="16.5" x14ac:dyDescent="0.3">
      <c r="A21" s="36">
        <v>14</v>
      </c>
      <c r="B21" s="94" t="s">
        <v>28</v>
      </c>
      <c r="C21" s="213" t="s">
        <v>109</v>
      </c>
      <c r="D21" s="204" t="s">
        <v>173</v>
      </c>
      <c r="E21" s="199">
        <v>16.309999999999999</v>
      </c>
      <c r="F21" s="199">
        <v>0.82</v>
      </c>
      <c r="G21" s="199">
        <v>58.47</v>
      </c>
      <c r="H21" s="199">
        <v>77.7</v>
      </c>
      <c r="I21" s="199">
        <v>0.54</v>
      </c>
      <c r="J21" s="201">
        <f>1.5*1000000</f>
        <v>1500000</v>
      </c>
      <c r="K21" s="201">
        <f>7.5*10000000</f>
        <v>75000000</v>
      </c>
      <c r="L21" s="6">
        <v>50</v>
      </c>
      <c r="M21" s="6">
        <v>4</v>
      </c>
      <c r="N21" s="6">
        <v>3</v>
      </c>
      <c r="O21" s="6">
        <v>25</v>
      </c>
      <c r="P21" s="6">
        <v>0.2</v>
      </c>
      <c r="Q21" s="6">
        <v>1000</v>
      </c>
      <c r="R21" s="6">
        <v>5000</v>
      </c>
      <c r="S21" s="7">
        <f t="shared" si="0"/>
        <v>0.32619999999999999</v>
      </c>
      <c r="T21" s="7">
        <f t="shared" si="4"/>
        <v>0.51500000000000001</v>
      </c>
      <c r="U21" s="7">
        <f t="shared" si="1"/>
        <v>19.489999999999998</v>
      </c>
      <c r="V21" s="7">
        <f t="shared" si="1"/>
        <v>3.1080000000000001</v>
      </c>
      <c r="W21" s="8">
        <f t="shared" si="1"/>
        <v>2.7</v>
      </c>
      <c r="X21" s="7">
        <f t="shared" si="1"/>
        <v>1500</v>
      </c>
      <c r="Y21" s="7">
        <f t="shared" si="1"/>
        <v>15000</v>
      </c>
      <c r="Z21" s="9">
        <f t="shared" si="2"/>
        <v>-1.4325802164787151</v>
      </c>
      <c r="AA21" s="9">
        <f t="shared" si="3"/>
        <v>0.51500000000000001</v>
      </c>
      <c r="AB21" s="9">
        <f t="shared" si="3"/>
        <v>19.489999999999998</v>
      </c>
      <c r="AC21" s="9">
        <f t="shared" si="2"/>
        <v>3.4624050506443833</v>
      </c>
      <c r="AD21" s="9">
        <f t="shared" si="3"/>
        <v>2.7</v>
      </c>
      <c r="AE21" s="9">
        <f t="shared" si="3"/>
        <v>1500</v>
      </c>
      <c r="AF21" s="9">
        <f t="shared" si="3"/>
        <v>15000</v>
      </c>
      <c r="AG21" s="18">
        <f t="shared" si="5"/>
        <v>2360.6764035477381</v>
      </c>
      <c r="AH21" s="19">
        <f t="shared" si="6"/>
        <v>15000</v>
      </c>
      <c r="AI21" s="20">
        <f t="shared" si="7"/>
        <v>5572793.0822670832</v>
      </c>
      <c r="AJ21" s="20">
        <f t="shared" si="7"/>
        <v>225000000</v>
      </c>
      <c r="AK21" s="21">
        <f t="shared" si="8"/>
        <v>10737.150298898379</v>
      </c>
      <c r="AL21" s="200" t="str">
        <f t="shared" si="9"/>
        <v>berat</v>
      </c>
    </row>
    <row r="22" spans="1:38" ht="16.5" x14ac:dyDescent="0.3">
      <c r="A22" s="36">
        <v>15</v>
      </c>
      <c r="B22" s="94" t="s">
        <v>29</v>
      </c>
      <c r="C22" s="213" t="s">
        <v>110</v>
      </c>
      <c r="D22" s="204" t="s">
        <v>176</v>
      </c>
      <c r="E22" s="199">
        <v>21.47</v>
      </c>
      <c r="F22" s="199">
        <v>0.44</v>
      </c>
      <c r="G22" s="199">
        <v>29.44</v>
      </c>
      <c r="H22" s="199">
        <v>98.26</v>
      </c>
      <c r="I22" s="199">
        <v>0.18</v>
      </c>
      <c r="J22" s="201">
        <f>3.7*100000</f>
        <v>370000</v>
      </c>
      <c r="K22" s="201">
        <f>2.7*10000000</f>
        <v>27000000</v>
      </c>
      <c r="L22" s="6">
        <v>50</v>
      </c>
      <c r="M22" s="6">
        <v>4</v>
      </c>
      <c r="N22" s="6">
        <v>3</v>
      </c>
      <c r="O22" s="6">
        <v>25</v>
      </c>
      <c r="P22" s="6">
        <v>0.2</v>
      </c>
      <c r="Q22" s="6">
        <v>1000</v>
      </c>
      <c r="R22" s="6">
        <v>5000</v>
      </c>
      <c r="S22" s="7">
        <f t="shared" si="0"/>
        <v>0.4294</v>
      </c>
      <c r="T22" s="7">
        <f>((7-F22)/(7-M22))/M22</f>
        <v>0.54666666666666663</v>
      </c>
      <c r="U22" s="7">
        <f t="shared" si="1"/>
        <v>9.8133333333333344</v>
      </c>
      <c r="V22" s="7">
        <f t="shared" si="1"/>
        <v>3.9304000000000001</v>
      </c>
      <c r="W22" s="8">
        <f t="shared" si="1"/>
        <v>0.89999999999999991</v>
      </c>
      <c r="X22" s="7">
        <f t="shared" si="1"/>
        <v>370</v>
      </c>
      <c r="Y22" s="7">
        <f t="shared" si="1"/>
        <v>5400</v>
      </c>
      <c r="Z22" s="9">
        <f t="shared" si="2"/>
        <v>-0.83568979949885058</v>
      </c>
      <c r="AA22" s="9">
        <f t="shared" si="3"/>
        <v>0.54666666666666663</v>
      </c>
      <c r="AB22" s="9">
        <f t="shared" si="2"/>
        <v>5.9590827547289944</v>
      </c>
      <c r="AC22" s="9">
        <f t="shared" si="2"/>
        <v>3.9721837556338269</v>
      </c>
      <c r="AD22" s="9">
        <f t="shared" si="3"/>
        <v>0.89999999999999991</v>
      </c>
      <c r="AE22" s="9">
        <f t="shared" si="3"/>
        <v>370</v>
      </c>
      <c r="AF22" s="9">
        <f t="shared" si="3"/>
        <v>5400</v>
      </c>
      <c r="AG22" s="18">
        <f t="shared" si="5"/>
        <v>825.7917490539329</v>
      </c>
      <c r="AH22" s="19">
        <f t="shared" si="6"/>
        <v>5400</v>
      </c>
      <c r="AI22" s="20">
        <f t="shared" si="7"/>
        <v>681932.01280555374</v>
      </c>
      <c r="AJ22" s="20">
        <f t="shared" si="7"/>
        <v>29160000</v>
      </c>
      <c r="AK22" s="21">
        <f t="shared" si="8"/>
        <v>3862.7666259305361</v>
      </c>
      <c r="AL22" s="200" t="str">
        <f>IF(ISNUMBER(AK22),IF(AK22&lt;=1,"memenuhi",IF(AK22&lt;=5,"ringan",IF(AK22&lt;=10,"sedang","berat"))),"")</f>
        <v>berat</v>
      </c>
    </row>
    <row r="23" spans="1:38" ht="16.5" x14ac:dyDescent="0.3">
      <c r="A23" s="13">
        <v>16</v>
      </c>
      <c r="B23" s="63" t="s">
        <v>21</v>
      </c>
      <c r="C23" s="192" t="s">
        <v>94</v>
      </c>
      <c r="D23" s="193" t="s">
        <v>177</v>
      </c>
      <c r="E23" s="199">
        <v>9.42</v>
      </c>
      <c r="F23" s="199">
        <v>3.42</v>
      </c>
      <c r="G23" s="199">
        <v>9.6300000000000008</v>
      </c>
      <c r="H23" s="199">
        <v>19.809999999999999</v>
      </c>
      <c r="I23" s="199">
        <v>0.2</v>
      </c>
      <c r="J23" s="201">
        <v>900</v>
      </c>
      <c r="K23" s="201">
        <f>2.7*100000</f>
        <v>270000</v>
      </c>
      <c r="L23" s="6">
        <v>50</v>
      </c>
      <c r="M23" s="6">
        <v>4</v>
      </c>
      <c r="N23" s="6">
        <v>3</v>
      </c>
      <c r="O23" s="6">
        <v>25</v>
      </c>
      <c r="P23" s="6">
        <v>0.2</v>
      </c>
      <c r="Q23" s="6">
        <v>1000</v>
      </c>
      <c r="R23" s="6">
        <v>5000</v>
      </c>
      <c r="S23" s="7">
        <f t="shared" si="0"/>
        <v>0.18840000000000001</v>
      </c>
      <c r="T23" s="7">
        <f t="shared" si="4"/>
        <v>0.29833333333333334</v>
      </c>
      <c r="U23" s="7">
        <f t="shared" si="1"/>
        <v>3.2100000000000004</v>
      </c>
      <c r="V23" s="7">
        <f t="shared" si="1"/>
        <v>0.79239999999999999</v>
      </c>
      <c r="W23" s="8">
        <f t="shared" si="1"/>
        <v>1</v>
      </c>
      <c r="X23" s="7">
        <f t="shared" si="1"/>
        <v>0.9</v>
      </c>
      <c r="Y23" s="7">
        <f t="shared" si="1"/>
        <v>54</v>
      </c>
      <c r="Z23" s="9">
        <f t="shared" si="2"/>
        <v>-2.624595507715707</v>
      </c>
      <c r="AA23" s="9">
        <f t="shared" si="2"/>
        <v>0.65983057364086317</v>
      </c>
      <c r="AB23" s="9">
        <f t="shared" si="3"/>
        <v>3.2100000000000004</v>
      </c>
      <c r="AC23" s="9">
        <f t="shared" si="3"/>
        <v>0.79239999999999999</v>
      </c>
      <c r="AD23" s="9">
        <f t="shared" si="3"/>
        <v>1</v>
      </c>
      <c r="AE23" s="9">
        <f t="shared" si="3"/>
        <v>0.9</v>
      </c>
      <c r="AF23" s="9">
        <f t="shared" si="3"/>
        <v>54</v>
      </c>
      <c r="AG23" s="18">
        <f t="shared" si="5"/>
        <v>8.2768050094178793</v>
      </c>
      <c r="AH23" s="19">
        <f t="shared" si="6"/>
        <v>54</v>
      </c>
      <c r="AI23" s="20">
        <f t="shared" si="7"/>
        <v>68.505501163924905</v>
      </c>
      <c r="AJ23" s="20">
        <f t="shared" si="7"/>
        <v>2916</v>
      </c>
      <c r="AK23" s="21">
        <f t="shared" si="8"/>
        <v>38.629687425372239</v>
      </c>
      <c r="AL23" s="194" t="str">
        <f t="shared" si="9"/>
        <v>berat</v>
      </c>
    </row>
    <row r="24" spans="1:38" ht="16.5" x14ac:dyDescent="0.3">
      <c r="A24" s="13">
        <v>17</v>
      </c>
      <c r="B24" s="63" t="s">
        <v>61</v>
      </c>
      <c r="C24" s="192" t="s">
        <v>112</v>
      </c>
      <c r="D24" s="197" t="s">
        <v>178</v>
      </c>
      <c r="E24" s="199">
        <v>35.619999999999997</v>
      </c>
      <c r="F24" s="199">
        <v>0.66</v>
      </c>
      <c r="G24" s="199">
        <v>27.56</v>
      </c>
      <c r="H24" s="199">
        <v>49.72</v>
      </c>
      <c r="I24" s="199">
        <v>0.7</v>
      </c>
      <c r="J24" s="201">
        <f>3.75*100000</f>
        <v>375000</v>
      </c>
      <c r="K24" s="201">
        <f>4.25*10000000</f>
        <v>42500000</v>
      </c>
      <c r="L24" s="6">
        <v>50</v>
      </c>
      <c r="M24" s="6">
        <v>4</v>
      </c>
      <c r="N24" s="6">
        <v>3</v>
      </c>
      <c r="O24" s="6">
        <v>25</v>
      </c>
      <c r="P24" s="6">
        <v>0.2</v>
      </c>
      <c r="Q24" s="6">
        <v>1000</v>
      </c>
      <c r="R24" s="6">
        <v>5000</v>
      </c>
      <c r="S24" s="7">
        <f t="shared" si="0"/>
        <v>0.71239999999999992</v>
      </c>
      <c r="T24" s="7">
        <f t="shared" si="4"/>
        <v>0.52833333333333332</v>
      </c>
      <c r="U24" s="7">
        <f t="shared" ref="U24:Y37" si="10">G24/N24</f>
        <v>9.1866666666666656</v>
      </c>
      <c r="V24" s="7">
        <f t="shared" si="10"/>
        <v>1.9887999999999999</v>
      </c>
      <c r="W24" s="8">
        <f t="shared" si="10"/>
        <v>3.4999999999999996</v>
      </c>
      <c r="X24" s="7">
        <f t="shared" si="10"/>
        <v>375</v>
      </c>
      <c r="Y24" s="7">
        <f t="shared" si="10"/>
        <v>8500</v>
      </c>
      <c r="Z24" s="9">
        <f t="shared" si="2"/>
        <v>0.26361955395602943</v>
      </c>
      <c r="AA24" s="9">
        <f t="shared" ref="AA24:AA37" si="11">T24</f>
        <v>0.52833333333333332</v>
      </c>
      <c r="AB24" s="9">
        <f t="shared" si="2"/>
        <v>5.8157897925796282</v>
      </c>
      <c r="AC24" s="9">
        <f t="shared" si="2"/>
        <v>2.4929555564878476</v>
      </c>
      <c r="AD24" s="9">
        <f t="shared" ref="AD24:AF37" si="12">W24</f>
        <v>3.4999999999999996</v>
      </c>
      <c r="AE24" s="9">
        <f t="shared" si="12"/>
        <v>375</v>
      </c>
      <c r="AF24" s="9">
        <f t="shared" si="12"/>
        <v>8500</v>
      </c>
      <c r="AG24" s="18">
        <f t="shared" si="5"/>
        <v>1269.6572426051937</v>
      </c>
      <c r="AH24" s="19">
        <f t="shared" si="6"/>
        <v>8500</v>
      </c>
      <c r="AI24" s="20">
        <f t="shared" si="7"/>
        <v>1612029.5136998238</v>
      </c>
      <c r="AJ24" s="20">
        <f t="shared" si="7"/>
        <v>72250000</v>
      </c>
      <c r="AK24" s="21">
        <f t="shared" si="8"/>
        <v>6077.0893326369587</v>
      </c>
      <c r="AL24" s="194" t="str">
        <f t="shared" si="9"/>
        <v>berat</v>
      </c>
    </row>
    <row r="25" spans="1:38" ht="16.5" x14ac:dyDescent="0.3">
      <c r="A25" s="13">
        <v>18</v>
      </c>
      <c r="B25" s="63" t="s">
        <v>60</v>
      </c>
      <c r="C25" s="196" t="s">
        <v>97</v>
      </c>
      <c r="D25" s="193" t="s">
        <v>177</v>
      </c>
      <c r="E25" s="198">
        <v>14.15</v>
      </c>
      <c r="F25" s="25">
        <v>1.36</v>
      </c>
      <c r="G25" s="25">
        <v>7.49</v>
      </c>
      <c r="H25" s="25">
        <v>32.590000000000003</v>
      </c>
      <c r="I25" s="25">
        <v>0.76</v>
      </c>
      <c r="J25" s="201">
        <f>1.15*1000000</f>
        <v>1150000</v>
      </c>
      <c r="K25" s="201">
        <f>25.5*1000000</f>
        <v>25500000</v>
      </c>
      <c r="L25" s="6">
        <v>50</v>
      </c>
      <c r="M25" s="6">
        <v>4</v>
      </c>
      <c r="N25" s="6">
        <v>3</v>
      </c>
      <c r="O25" s="6">
        <v>25</v>
      </c>
      <c r="P25" s="6">
        <v>0.2</v>
      </c>
      <c r="Q25" s="6">
        <v>1000</v>
      </c>
      <c r="R25" s="6">
        <v>5000</v>
      </c>
      <c r="S25" s="7">
        <f t="shared" si="0"/>
        <v>0.28300000000000003</v>
      </c>
      <c r="T25" s="7">
        <f t="shared" si="4"/>
        <v>0.47</v>
      </c>
      <c r="U25" s="7">
        <f t="shared" si="10"/>
        <v>2.4966666666666666</v>
      </c>
      <c r="V25" s="7">
        <f t="shared" si="10"/>
        <v>1.3036000000000001</v>
      </c>
      <c r="W25" s="8">
        <f t="shared" si="10"/>
        <v>3.8</v>
      </c>
      <c r="X25" s="7">
        <f t="shared" si="10"/>
        <v>1150</v>
      </c>
      <c r="Y25" s="7">
        <f t="shared" si="10"/>
        <v>5100</v>
      </c>
      <c r="Z25" s="9">
        <f t="shared" si="2"/>
        <v>-1.7410678223785485</v>
      </c>
      <c r="AA25" s="9">
        <f t="shared" si="11"/>
        <v>0.47</v>
      </c>
      <c r="AB25" s="9">
        <f t="shared" si="2"/>
        <v>2.9868028148990202</v>
      </c>
      <c r="AC25" s="9">
        <f t="shared" si="2"/>
        <v>1.575721758965533</v>
      </c>
      <c r="AD25" s="9">
        <f t="shared" si="12"/>
        <v>3.8</v>
      </c>
      <c r="AE25" s="9">
        <f t="shared" si="12"/>
        <v>1150</v>
      </c>
      <c r="AF25" s="9">
        <f t="shared" si="12"/>
        <v>5100</v>
      </c>
      <c r="AG25" s="18">
        <f t="shared" si="5"/>
        <v>893.87020810735521</v>
      </c>
      <c r="AH25" s="19">
        <f t="shared" si="6"/>
        <v>5100</v>
      </c>
      <c r="AI25" s="20">
        <f t="shared" si="7"/>
        <v>799003.94894188654</v>
      </c>
      <c r="AJ25" s="20">
        <f t="shared" si="7"/>
        <v>26010000</v>
      </c>
      <c r="AK25" s="21">
        <f t="shared" si="8"/>
        <v>3661.2159147571374</v>
      </c>
      <c r="AL25" s="194" t="str">
        <f t="shared" si="9"/>
        <v>berat</v>
      </c>
    </row>
    <row r="26" spans="1:38" ht="16.5" x14ac:dyDescent="0.3">
      <c r="A26" s="13">
        <v>19</v>
      </c>
      <c r="B26" s="63" t="s">
        <v>30</v>
      </c>
      <c r="C26" s="196" t="s">
        <v>99</v>
      </c>
      <c r="D26" s="193" t="s">
        <v>177</v>
      </c>
      <c r="E26" s="198">
        <v>22.97</v>
      </c>
      <c r="F26" s="25">
        <v>2.65</v>
      </c>
      <c r="G26" s="25">
        <v>12.01</v>
      </c>
      <c r="H26" s="25">
        <v>61.49</v>
      </c>
      <c r="I26" s="25">
        <v>1.04</v>
      </c>
      <c r="J26" s="201">
        <f>9.3*1000000</f>
        <v>9300000</v>
      </c>
      <c r="K26" s="201">
        <f>1.01*10000000</f>
        <v>10100000</v>
      </c>
      <c r="L26" s="6">
        <v>50</v>
      </c>
      <c r="M26" s="6">
        <v>4</v>
      </c>
      <c r="N26" s="6">
        <v>3</v>
      </c>
      <c r="O26" s="6">
        <v>25</v>
      </c>
      <c r="P26" s="6">
        <v>0.2</v>
      </c>
      <c r="Q26" s="6">
        <v>1000</v>
      </c>
      <c r="R26" s="6">
        <v>5000</v>
      </c>
      <c r="S26" s="7">
        <f t="shared" si="0"/>
        <v>0.45939999999999998</v>
      </c>
      <c r="T26" s="7">
        <f t="shared" si="4"/>
        <v>0.36249999999999999</v>
      </c>
      <c r="U26" s="7">
        <f t="shared" si="10"/>
        <v>4.003333333333333</v>
      </c>
      <c r="V26" s="7">
        <f>H26/O26</f>
        <v>2.4596</v>
      </c>
      <c r="W26" s="8">
        <f t="shared" si="10"/>
        <v>5.2</v>
      </c>
      <c r="X26" s="7">
        <f t="shared" si="10"/>
        <v>9300</v>
      </c>
      <c r="Y26" s="7">
        <f t="shared" si="10"/>
        <v>2020</v>
      </c>
      <c r="Z26" s="9">
        <f t="shared" si="2"/>
        <v>-0.68904504570496394</v>
      </c>
      <c r="AA26" s="9">
        <f t="shared" si="11"/>
        <v>0.36249999999999999</v>
      </c>
      <c r="AB26" s="9">
        <f t="shared" si="2"/>
        <v>4.0121087634162178</v>
      </c>
      <c r="AC26" s="9">
        <f t="shared" si="2"/>
        <v>2.9543224218630537</v>
      </c>
      <c r="AD26" s="9">
        <f t="shared" si="12"/>
        <v>5.2</v>
      </c>
      <c r="AE26" s="9">
        <f t="shared" si="12"/>
        <v>9300</v>
      </c>
      <c r="AF26" s="9">
        <f t="shared" si="12"/>
        <v>2020</v>
      </c>
      <c r="AG26" s="18">
        <f t="shared" si="5"/>
        <v>1618.8342694485107</v>
      </c>
      <c r="AH26" s="19">
        <f t="shared" si="6"/>
        <v>9300</v>
      </c>
      <c r="AI26" s="20">
        <f t="shared" si="7"/>
        <v>2620624.3919408931</v>
      </c>
      <c r="AJ26" s="20">
        <f t="shared" si="7"/>
        <v>86490000</v>
      </c>
      <c r="AK26" s="21">
        <f t="shared" si="8"/>
        <v>6674.9765689454252</v>
      </c>
      <c r="AL26" s="194" t="str">
        <f t="shared" si="9"/>
        <v>berat</v>
      </c>
    </row>
    <row r="27" spans="1:38" ht="16.5" x14ac:dyDescent="0.3">
      <c r="A27" s="13">
        <v>20</v>
      </c>
      <c r="B27" s="63" t="s">
        <v>31</v>
      </c>
      <c r="C27" s="196" t="s">
        <v>100</v>
      </c>
      <c r="D27" s="193" t="s">
        <v>177</v>
      </c>
      <c r="E27" s="198">
        <v>17.98</v>
      </c>
      <c r="F27" s="25">
        <v>2.65</v>
      </c>
      <c r="G27" s="25">
        <v>29.49</v>
      </c>
      <c r="H27" s="25">
        <v>76.930000000000007</v>
      </c>
      <c r="I27" s="25">
        <v>0.39</v>
      </c>
      <c r="J27" s="201">
        <f>8.7*1000000</f>
        <v>8700000</v>
      </c>
      <c r="K27" s="201">
        <f>8.9*10000000</f>
        <v>89000000</v>
      </c>
      <c r="L27" s="6">
        <v>50</v>
      </c>
      <c r="M27" s="6">
        <v>4</v>
      </c>
      <c r="N27" s="6">
        <v>3</v>
      </c>
      <c r="O27" s="6">
        <v>25</v>
      </c>
      <c r="P27" s="6">
        <v>0.2</v>
      </c>
      <c r="Q27" s="6">
        <v>1000</v>
      </c>
      <c r="R27" s="6">
        <v>5000</v>
      </c>
      <c r="S27" s="7">
        <f t="shared" si="0"/>
        <v>0.35960000000000003</v>
      </c>
      <c r="T27" s="7">
        <f t="shared" si="4"/>
        <v>0.36249999999999999</v>
      </c>
      <c r="U27" s="7">
        <f t="shared" si="10"/>
        <v>9.83</v>
      </c>
      <c r="V27" s="7">
        <f>H27/O27</f>
        <v>3.0772000000000004</v>
      </c>
      <c r="W27" s="8">
        <f t="shared" si="10"/>
        <v>1.95</v>
      </c>
      <c r="X27" s="7">
        <f t="shared" si="10"/>
        <v>8700</v>
      </c>
      <c r="Y27" s="7">
        <f t="shared" si="10"/>
        <v>17800</v>
      </c>
      <c r="Z27" s="9">
        <f t="shared" si="2"/>
        <v>-1.2209015846940443</v>
      </c>
      <c r="AA27" s="9">
        <f t="shared" si="11"/>
        <v>0.36249999999999999</v>
      </c>
      <c r="AB27" s="9">
        <f t="shared" si="2"/>
        <v>5.962767589160678</v>
      </c>
      <c r="AC27" s="9">
        <f>1+(5*(LOG10(H27/O27)))</f>
        <v>3.4407786188285492</v>
      </c>
      <c r="AD27" s="9">
        <f t="shared" si="12"/>
        <v>1.95</v>
      </c>
      <c r="AE27" s="9">
        <f t="shared" si="12"/>
        <v>8700</v>
      </c>
      <c r="AF27" s="9">
        <f t="shared" si="12"/>
        <v>17800</v>
      </c>
      <c r="AG27" s="18">
        <f t="shared" si="5"/>
        <v>3787.2135920890423</v>
      </c>
      <c r="AH27" s="19">
        <f t="shared" si="6"/>
        <v>17800</v>
      </c>
      <c r="AI27" s="20">
        <f t="shared" si="7"/>
        <v>14342986.792103987</v>
      </c>
      <c r="AJ27" s="20">
        <f t="shared" si="7"/>
        <v>316840000</v>
      </c>
      <c r="AK27" s="21">
        <f t="shared" si="8"/>
        <v>12868.235830759864</v>
      </c>
      <c r="AL27" s="194" t="str">
        <f t="shared" si="9"/>
        <v>berat</v>
      </c>
    </row>
    <row r="28" spans="1:38" ht="16.5" x14ac:dyDescent="0.3">
      <c r="A28" s="13">
        <v>21</v>
      </c>
      <c r="B28" s="63" t="s">
        <v>32</v>
      </c>
      <c r="C28" s="196" t="s">
        <v>101</v>
      </c>
      <c r="D28" s="193" t="s">
        <v>177</v>
      </c>
      <c r="E28" s="198">
        <v>19.57</v>
      </c>
      <c r="F28" s="25">
        <v>2.82</v>
      </c>
      <c r="G28" s="25">
        <v>5.45</v>
      </c>
      <c r="H28" s="25">
        <v>18.25</v>
      </c>
      <c r="I28" s="25">
        <v>0.47</v>
      </c>
      <c r="J28" s="201">
        <f>3.1*100000</f>
        <v>310000</v>
      </c>
      <c r="K28" s="201">
        <f>6.5*1000000</f>
        <v>6500000</v>
      </c>
      <c r="L28" s="6">
        <v>50</v>
      </c>
      <c r="M28" s="6">
        <v>4</v>
      </c>
      <c r="N28" s="6">
        <v>3</v>
      </c>
      <c r="O28" s="6">
        <v>25</v>
      </c>
      <c r="P28" s="6">
        <v>0.2</v>
      </c>
      <c r="Q28" s="6">
        <v>1000</v>
      </c>
      <c r="R28" s="6">
        <v>5000</v>
      </c>
      <c r="S28" s="7">
        <f t="shared" si="0"/>
        <v>0.39140000000000003</v>
      </c>
      <c r="T28" s="7">
        <f t="shared" si="4"/>
        <v>0.34833333333333333</v>
      </c>
      <c r="U28" s="7">
        <f t="shared" si="10"/>
        <v>1.8166666666666667</v>
      </c>
      <c r="V28" s="7">
        <f t="shared" si="10"/>
        <v>0.73</v>
      </c>
      <c r="W28" s="8">
        <f t="shared" si="10"/>
        <v>2.3499999999999996</v>
      </c>
      <c r="X28" s="7">
        <f t="shared" si="10"/>
        <v>310</v>
      </c>
      <c r="Y28" s="7">
        <f t="shared" si="10"/>
        <v>1300</v>
      </c>
      <c r="Z28" s="9">
        <f t="shared" si="2"/>
        <v>-1.036895893390088</v>
      </c>
      <c r="AA28" s="9">
        <f t="shared" si="11"/>
        <v>0.34833333333333333</v>
      </c>
      <c r="AB28" s="9">
        <f t="shared" si="2"/>
        <v>2.2963762377848997</v>
      </c>
      <c r="AC28" s="9">
        <f>1+(5*(LOG10(H28/O28)))</f>
        <v>0.31661430060227946</v>
      </c>
      <c r="AD28" s="9">
        <f t="shared" si="12"/>
        <v>2.3499999999999996</v>
      </c>
      <c r="AE28" s="9">
        <f t="shared" si="12"/>
        <v>310</v>
      </c>
      <c r="AF28" s="9">
        <f t="shared" si="12"/>
        <v>1300</v>
      </c>
      <c r="AG28" s="18">
        <f t="shared" si="5"/>
        <v>230.61063256833293</v>
      </c>
      <c r="AH28" s="19">
        <f t="shared" si="6"/>
        <v>1300</v>
      </c>
      <c r="AI28" s="20">
        <f t="shared" si="7"/>
        <v>53181.263853566656</v>
      </c>
      <c r="AJ28" s="20">
        <f t="shared" si="7"/>
        <v>1690000</v>
      </c>
      <c r="AK28" s="21">
        <f t="shared" si="8"/>
        <v>933.59018414226239</v>
      </c>
      <c r="AL28" s="194" t="str">
        <f t="shared" si="9"/>
        <v>berat</v>
      </c>
    </row>
    <row r="29" spans="1:38" ht="16.5" x14ac:dyDescent="0.3">
      <c r="A29" s="13">
        <v>22</v>
      </c>
      <c r="B29" s="63" t="s">
        <v>24</v>
      </c>
      <c r="C29" s="196" t="s">
        <v>102</v>
      </c>
      <c r="D29" s="193" t="s">
        <v>181</v>
      </c>
      <c r="E29" s="198">
        <v>8.66</v>
      </c>
      <c r="F29" s="25">
        <v>1.6</v>
      </c>
      <c r="G29" s="25">
        <v>13.66</v>
      </c>
      <c r="H29" s="25">
        <v>49.19</v>
      </c>
      <c r="I29" s="25">
        <v>0.2</v>
      </c>
      <c r="J29" s="201">
        <f>7*100000</f>
        <v>700000</v>
      </c>
      <c r="K29" s="201">
        <f>3.5*10000000</f>
        <v>35000000</v>
      </c>
      <c r="L29" s="6">
        <v>50</v>
      </c>
      <c r="M29" s="6">
        <v>4</v>
      </c>
      <c r="N29" s="6">
        <v>3</v>
      </c>
      <c r="O29" s="6">
        <v>25</v>
      </c>
      <c r="P29" s="6">
        <v>0.2</v>
      </c>
      <c r="Q29" s="6">
        <v>1000</v>
      </c>
      <c r="R29" s="6">
        <v>5000</v>
      </c>
      <c r="S29" s="7">
        <f t="shared" si="0"/>
        <v>0.17319999999999999</v>
      </c>
      <c r="T29" s="7">
        <f t="shared" si="4"/>
        <v>0.45</v>
      </c>
      <c r="U29" s="7">
        <f t="shared" si="10"/>
        <v>4.5533333333333337</v>
      </c>
      <c r="V29" s="7">
        <f t="shared" si="10"/>
        <v>1.9676</v>
      </c>
      <c r="W29" s="8">
        <f t="shared" si="10"/>
        <v>1</v>
      </c>
      <c r="X29" s="7">
        <f t="shared" si="10"/>
        <v>700</v>
      </c>
      <c r="Y29" s="7">
        <f t="shared" si="10"/>
        <v>7000</v>
      </c>
      <c r="Z29" s="9">
        <f t="shared" si="2"/>
        <v>-2.8072605615933606</v>
      </c>
      <c r="AA29" s="9">
        <f t="shared" si="11"/>
        <v>0.45</v>
      </c>
      <c r="AB29" s="9">
        <f t="shared" si="2"/>
        <v>4.2916472231292566</v>
      </c>
      <c r="AC29" s="9">
        <f t="shared" si="2"/>
        <v>2.4696840694364686</v>
      </c>
      <c r="AD29" s="9">
        <f t="shared" si="12"/>
        <v>1</v>
      </c>
      <c r="AE29" s="9">
        <f t="shared" si="12"/>
        <v>700</v>
      </c>
      <c r="AF29" s="9">
        <f t="shared" si="12"/>
        <v>7000</v>
      </c>
      <c r="AG29" s="18">
        <f t="shared" si="5"/>
        <v>1100.7720101044247</v>
      </c>
      <c r="AH29" s="19">
        <f t="shared" si="6"/>
        <v>7000</v>
      </c>
      <c r="AI29" s="20">
        <f t="shared" si="7"/>
        <v>1211699.0182293355</v>
      </c>
      <c r="AJ29" s="20">
        <f t="shared" si="7"/>
        <v>49000000</v>
      </c>
      <c r="AK29" s="21">
        <f t="shared" si="8"/>
        <v>5010.5737704493149</v>
      </c>
      <c r="AL29" s="194" t="str">
        <f t="shared" si="9"/>
        <v>berat</v>
      </c>
    </row>
    <row r="30" spans="1:38" ht="16.5" x14ac:dyDescent="0.3">
      <c r="A30" s="13">
        <v>23</v>
      </c>
      <c r="B30" s="63" t="s">
        <v>25</v>
      </c>
      <c r="C30" s="196" t="s">
        <v>103</v>
      </c>
      <c r="D30" s="197" t="s">
        <v>178</v>
      </c>
      <c r="E30" s="198">
        <v>28.46</v>
      </c>
      <c r="F30" s="25">
        <v>3.56</v>
      </c>
      <c r="G30" s="25">
        <v>33.770000000000003</v>
      </c>
      <c r="H30" s="25">
        <v>128.62</v>
      </c>
      <c r="I30" s="25">
        <v>1.39</v>
      </c>
      <c r="J30" s="201">
        <f>5.1*1000000</f>
        <v>5100000</v>
      </c>
      <c r="K30" s="201">
        <f>3.7*10000000</f>
        <v>37000000</v>
      </c>
      <c r="L30" s="6">
        <v>50</v>
      </c>
      <c r="M30" s="6">
        <v>4</v>
      </c>
      <c r="N30" s="6">
        <v>3</v>
      </c>
      <c r="O30" s="6">
        <v>25</v>
      </c>
      <c r="P30" s="6">
        <v>0.2</v>
      </c>
      <c r="Q30" s="6">
        <v>1000</v>
      </c>
      <c r="R30" s="6">
        <v>5000</v>
      </c>
      <c r="S30" s="7">
        <f t="shared" si="0"/>
        <v>0.56920000000000004</v>
      </c>
      <c r="T30" s="7">
        <f t="shared" si="4"/>
        <v>0.28666666666666668</v>
      </c>
      <c r="U30" s="7">
        <f t="shared" si="10"/>
        <v>11.256666666666668</v>
      </c>
      <c r="V30" s="7">
        <f t="shared" si="10"/>
        <v>5.1448</v>
      </c>
      <c r="W30" s="8">
        <f t="shared" si="10"/>
        <v>6.9499999999999993</v>
      </c>
      <c r="X30" s="7">
        <f t="shared" si="10"/>
        <v>5100</v>
      </c>
      <c r="Y30" s="7">
        <f t="shared" si="10"/>
        <v>7400</v>
      </c>
      <c r="Z30" s="9">
        <f t="shared" si="2"/>
        <v>-0.22367554293876624</v>
      </c>
      <c r="AA30" s="9">
        <f t="shared" si="11"/>
        <v>0.28666666666666668</v>
      </c>
      <c r="AB30" s="9">
        <f t="shared" si="2"/>
        <v>6.2570490295787451</v>
      </c>
      <c r="AC30" s="9">
        <f t="shared" si="2"/>
        <v>4.5568424828735576</v>
      </c>
      <c r="AD30" s="9">
        <f t="shared" si="12"/>
        <v>6.9499999999999993</v>
      </c>
      <c r="AE30" s="9">
        <f t="shared" si="12"/>
        <v>5100</v>
      </c>
      <c r="AF30" s="9">
        <f t="shared" si="12"/>
        <v>7400</v>
      </c>
      <c r="AG30" s="18">
        <f t="shared" si="5"/>
        <v>1788.26098323374</v>
      </c>
      <c r="AH30" s="19">
        <f t="shared" si="6"/>
        <v>7400</v>
      </c>
      <c r="AI30" s="20">
        <f t="shared" si="7"/>
        <v>3197877.3441561027</v>
      </c>
      <c r="AJ30" s="20">
        <f t="shared" si="7"/>
        <v>54760000</v>
      </c>
      <c r="AK30" s="21">
        <f t="shared" si="8"/>
        <v>5383.2089567541452</v>
      </c>
      <c r="AL30" s="194" t="str">
        <f t="shared" si="9"/>
        <v>berat</v>
      </c>
    </row>
    <row r="31" spans="1:38" s="210" customFormat="1" ht="16.5" x14ac:dyDescent="0.3">
      <c r="A31" s="36">
        <v>24</v>
      </c>
      <c r="B31" s="94" t="s">
        <v>26</v>
      </c>
      <c r="C31" s="203" t="s">
        <v>104</v>
      </c>
      <c r="D31" s="204" t="s">
        <v>181</v>
      </c>
      <c r="E31" s="198">
        <v>25.97</v>
      </c>
      <c r="F31" s="25">
        <v>1.42</v>
      </c>
      <c r="G31" s="25">
        <v>20.71</v>
      </c>
      <c r="H31" s="25">
        <v>76.86</v>
      </c>
      <c r="I31" s="25">
        <v>0.25</v>
      </c>
      <c r="J31" s="201">
        <f>6.7*1000000</f>
        <v>6700000</v>
      </c>
      <c r="K31" s="201">
        <f>7.8*100000000</f>
        <v>780000000</v>
      </c>
      <c r="L31" s="17">
        <v>50</v>
      </c>
      <c r="M31" s="17">
        <v>4</v>
      </c>
      <c r="N31" s="17">
        <v>3</v>
      </c>
      <c r="O31" s="17">
        <v>25</v>
      </c>
      <c r="P31" s="17">
        <v>0.2</v>
      </c>
      <c r="Q31" s="17">
        <v>1000</v>
      </c>
      <c r="R31" s="17">
        <v>5000</v>
      </c>
      <c r="S31" s="24">
        <f t="shared" si="0"/>
        <v>0.51939999999999997</v>
      </c>
      <c r="T31" s="24">
        <f t="shared" si="4"/>
        <v>0.46500000000000002</v>
      </c>
      <c r="U31" s="24">
        <f t="shared" si="10"/>
        <v>6.9033333333333333</v>
      </c>
      <c r="V31" s="24">
        <f t="shared" si="10"/>
        <v>3.0743999999999998</v>
      </c>
      <c r="W31" s="205">
        <f t="shared" si="10"/>
        <v>1.25</v>
      </c>
      <c r="X31" s="24">
        <f t="shared" si="10"/>
        <v>6700</v>
      </c>
      <c r="Y31" s="24">
        <f t="shared" si="10"/>
        <v>156000</v>
      </c>
      <c r="Z31" s="24">
        <f t="shared" si="2"/>
        <v>-0.42249027353358071</v>
      </c>
      <c r="AA31" s="24">
        <f t="shared" si="11"/>
        <v>0.46500000000000002</v>
      </c>
      <c r="AB31" s="24">
        <f t="shared" si="2"/>
        <v>5.1952942208689512</v>
      </c>
      <c r="AC31" s="24">
        <f t="shared" si="2"/>
        <v>3.4388018572814616</v>
      </c>
      <c r="AD31" s="24">
        <f t="shared" si="12"/>
        <v>1.25</v>
      </c>
      <c r="AE31" s="24">
        <f t="shared" si="12"/>
        <v>6700</v>
      </c>
      <c r="AF31" s="24">
        <f t="shared" si="12"/>
        <v>156000</v>
      </c>
      <c r="AG31" s="206">
        <f t="shared" si="5"/>
        <v>23244.27522940066</v>
      </c>
      <c r="AH31" s="207">
        <f t="shared" si="6"/>
        <v>156000</v>
      </c>
      <c r="AI31" s="208">
        <f t="shared" si="7"/>
        <v>540296330.94012916</v>
      </c>
      <c r="AJ31" s="208">
        <f t="shared" si="7"/>
        <v>24336000000</v>
      </c>
      <c r="AK31" s="209">
        <f t="shared" si="8"/>
        <v>111526.44603622078</v>
      </c>
      <c r="AL31" s="194" t="str">
        <f t="shared" si="9"/>
        <v>berat</v>
      </c>
    </row>
    <row r="32" spans="1:38" ht="16.5" x14ac:dyDescent="0.3">
      <c r="A32" s="13">
        <v>25</v>
      </c>
      <c r="B32" s="63" t="s">
        <v>33</v>
      </c>
      <c r="C32" s="196" t="s">
        <v>105</v>
      </c>
      <c r="D32" s="193" t="s">
        <v>181</v>
      </c>
      <c r="E32" s="198">
        <v>29.96</v>
      </c>
      <c r="F32" s="25">
        <v>1.42</v>
      </c>
      <c r="G32" s="25">
        <v>20.48</v>
      </c>
      <c r="H32" s="25">
        <v>57.61</v>
      </c>
      <c r="I32" s="25">
        <v>0.28999999999999998</v>
      </c>
      <c r="J32" s="201">
        <f>5.25*1000000</f>
        <v>5250000</v>
      </c>
      <c r="K32" s="201">
        <f>7.95*10000000</f>
        <v>79500000</v>
      </c>
      <c r="L32" s="6">
        <v>50</v>
      </c>
      <c r="M32" s="6">
        <v>4</v>
      </c>
      <c r="N32" s="6">
        <v>3</v>
      </c>
      <c r="O32" s="6">
        <v>25</v>
      </c>
      <c r="P32" s="6">
        <v>0.2</v>
      </c>
      <c r="Q32" s="6">
        <v>1000</v>
      </c>
      <c r="R32" s="6">
        <v>5000</v>
      </c>
      <c r="S32" s="7">
        <f t="shared" si="0"/>
        <v>0.59920000000000007</v>
      </c>
      <c r="T32" s="7">
        <f t="shared" si="4"/>
        <v>0.46500000000000002</v>
      </c>
      <c r="U32" s="7">
        <f t="shared" si="10"/>
        <v>6.8266666666666671</v>
      </c>
      <c r="V32" s="7">
        <f t="shared" si="10"/>
        <v>2.3043999999999998</v>
      </c>
      <c r="W32" s="8">
        <f t="shared" si="10"/>
        <v>1.4499999999999997</v>
      </c>
      <c r="X32" s="7">
        <f t="shared" si="10"/>
        <v>5250</v>
      </c>
      <c r="Y32" s="7">
        <f t="shared" si="10"/>
        <v>15900</v>
      </c>
      <c r="Z32" s="9">
        <f t="shared" si="2"/>
        <v>-0.11214097654294952</v>
      </c>
      <c r="AA32" s="9">
        <f t="shared" si="11"/>
        <v>0.46500000000000002</v>
      </c>
      <c r="AB32" s="9">
        <f t="shared" si="2"/>
        <v>5.1710434879206542</v>
      </c>
      <c r="AC32" s="9">
        <f t="shared" si="2"/>
        <v>2.8127893327724451</v>
      </c>
      <c r="AD32" s="9">
        <f t="shared" si="12"/>
        <v>1.4499999999999997</v>
      </c>
      <c r="AE32" s="9">
        <f t="shared" si="12"/>
        <v>5250</v>
      </c>
      <c r="AF32" s="9">
        <f t="shared" si="12"/>
        <v>15900</v>
      </c>
      <c r="AG32" s="18">
        <f t="shared" si="5"/>
        <v>3022.8266702634501</v>
      </c>
      <c r="AH32" s="19">
        <f t="shared" si="6"/>
        <v>15900</v>
      </c>
      <c r="AI32" s="20">
        <f t="shared" si="7"/>
        <v>9137481.0784560163</v>
      </c>
      <c r="AJ32" s="20">
        <f t="shared" si="7"/>
        <v>252810000</v>
      </c>
      <c r="AK32" s="21">
        <f t="shared" si="8"/>
        <v>11444.375934896058</v>
      </c>
      <c r="AL32" s="194" t="str">
        <f t="shared" si="9"/>
        <v>berat</v>
      </c>
    </row>
    <row r="33" spans="1:38" ht="16.5" x14ac:dyDescent="0.3">
      <c r="A33" s="13">
        <v>26</v>
      </c>
      <c r="B33" s="63" t="s">
        <v>34</v>
      </c>
      <c r="C33" s="196" t="s">
        <v>106</v>
      </c>
      <c r="D33" s="197" t="s">
        <v>178</v>
      </c>
      <c r="E33" s="198">
        <v>52.93</v>
      </c>
      <c r="F33" s="25">
        <v>0.49</v>
      </c>
      <c r="G33" s="25">
        <v>35.71</v>
      </c>
      <c r="H33" s="25">
        <v>80.47</v>
      </c>
      <c r="I33" s="25">
        <v>0.59</v>
      </c>
      <c r="J33" s="201">
        <f>3.2*1000000</f>
        <v>3200000</v>
      </c>
      <c r="K33" s="201">
        <f>6.1*10000000</f>
        <v>61000000</v>
      </c>
      <c r="L33" s="6">
        <v>50</v>
      </c>
      <c r="M33" s="6">
        <v>4</v>
      </c>
      <c r="N33" s="6">
        <v>3</v>
      </c>
      <c r="O33" s="6">
        <v>25</v>
      </c>
      <c r="P33" s="6">
        <v>0.2</v>
      </c>
      <c r="Q33" s="6">
        <v>1000</v>
      </c>
      <c r="R33" s="6">
        <v>5000</v>
      </c>
      <c r="S33" s="7">
        <f t="shared" si="0"/>
        <v>1.0586</v>
      </c>
      <c r="T33" s="7">
        <f t="shared" si="4"/>
        <v>0.54249999999999998</v>
      </c>
      <c r="U33" s="7">
        <f t="shared" si="10"/>
        <v>11.903333333333334</v>
      </c>
      <c r="V33" s="7">
        <f t="shared" si="10"/>
        <v>3.2187999999999999</v>
      </c>
      <c r="W33" s="8">
        <f t="shared" si="10"/>
        <v>2.9499999999999997</v>
      </c>
      <c r="X33" s="7">
        <f t="shared" si="10"/>
        <v>3200</v>
      </c>
      <c r="Y33" s="7">
        <f t="shared" si="10"/>
        <v>12200</v>
      </c>
      <c r="Z33" s="9">
        <f t="shared" si="2"/>
        <v>1.1236594482762452</v>
      </c>
      <c r="AA33" s="9">
        <f t="shared" si="11"/>
        <v>0.54249999999999998</v>
      </c>
      <c r="AB33" s="9">
        <f t="shared" si="2"/>
        <v>6.3783429773655982</v>
      </c>
      <c r="AC33" s="9">
        <f t="shared" si="2"/>
        <v>3.5384699632745855</v>
      </c>
      <c r="AD33" s="9">
        <f t="shared" si="12"/>
        <v>2.9499999999999997</v>
      </c>
      <c r="AE33" s="9">
        <f t="shared" si="12"/>
        <v>3200</v>
      </c>
      <c r="AF33" s="9">
        <f t="shared" si="12"/>
        <v>12200</v>
      </c>
      <c r="AG33" s="18">
        <f t="shared" si="5"/>
        <v>2202.0761389127024</v>
      </c>
      <c r="AH33" s="19">
        <f t="shared" si="6"/>
        <v>12200</v>
      </c>
      <c r="AI33" s="20">
        <f t="shared" si="7"/>
        <v>4849139.3215686753</v>
      </c>
      <c r="AJ33" s="20">
        <f t="shared" si="7"/>
        <v>148840000</v>
      </c>
      <c r="AK33" s="21">
        <f t="shared" si="8"/>
        <v>8766.1034479855607</v>
      </c>
      <c r="AL33" s="194" t="str">
        <f t="shared" si="9"/>
        <v>berat</v>
      </c>
    </row>
    <row r="34" spans="1:38" ht="16.5" x14ac:dyDescent="0.3">
      <c r="A34" s="13">
        <v>27</v>
      </c>
      <c r="B34" s="63" t="s">
        <v>54</v>
      </c>
      <c r="C34" s="196" t="s">
        <v>107</v>
      </c>
      <c r="D34" s="197" t="s">
        <v>178</v>
      </c>
      <c r="E34" s="198">
        <v>39.549999999999997</v>
      </c>
      <c r="F34" s="25">
        <v>0.83</v>
      </c>
      <c r="G34" s="25">
        <v>103.25</v>
      </c>
      <c r="H34" s="25">
        <v>180.61</v>
      </c>
      <c r="I34" s="25">
        <v>1.6</v>
      </c>
      <c r="J34" s="201">
        <f>8.4*1000000</f>
        <v>8400000</v>
      </c>
      <c r="K34" s="201">
        <f>7.1*10000000</f>
        <v>71000000</v>
      </c>
      <c r="L34" s="6">
        <v>50</v>
      </c>
      <c r="M34" s="6">
        <v>4</v>
      </c>
      <c r="N34" s="6">
        <v>3</v>
      </c>
      <c r="O34" s="6">
        <v>25</v>
      </c>
      <c r="P34" s="6">
        <v>0.2</v>
      </c>
      <c r="Q34" s="6">
        <v>1000</v>
      </c>
      <c r="R34" s="6">
        <v>5000</v>
      </c>
      <c r="S34" s="7">
        <f t="shared" si="0"/>
        <v>0.79099999999999993</v>
      </c>
      <c r="T34" s="7">
        <f t="shared" si="4"/>
        <v>0.51416666666666666</v>
      </c>
      <c r="U34" s="7">
        <f t="shared" si="10"/>
        <v>34.416666666666664</v>
      </c>
      <c r="V34" s="7">
        <f t="shared" si="10"/>
        <v>7.2244000000000002</v>
      </c>
      <c r="W34" s="8">
        <f t="shared" si="10"/>
        <v>8</v>
      </c>
      <c r="X34" s="7">
        <f t="shared" si="10"/>
        <v>8400</v>
      </c>
      <c r="Y34" s="7">
        <f t="shared" si="10"/>
        <v>14200</v>
      </c>
      <c r="Z34" s="9">
        <f t="shared" si="2"/>
        <v>0.49088241748838257</v>
      </c>
      <c r="AA34" s="9">
        <f t="shared" si="11"/>
        <v>0.51416666666666666</v>
      </c>
      <c r="AB34" s="9">
        <f t="shared" si="2"/>
        <v>8.6838440280438824</v>
      </c>
      <c r="AC34" s="9">
        <f t="shared" si="2"/>
        <v>5.2940089197660871</v>
      </c>
      <c r="AD34" s="9">
        <f t="shared" si="12"/>
        <v>8</v>
      </c>
      <c r="AE34" s="9">
        <f t="shared" si="12"/>
        <v>8400</v>
      </c>
      <c r="AF34" s="9">
        <f t="shared" si="12"/>
        <v>14200</v>
      </c>
      <c r="AG34" s="18">
        <f t="shared" si="5"/>
        <v>3231.854700290281</v>
      </c>
      <c r="AH34" s="19">
        <f t="shared" si="6"/>
        <v>14200</v>
      </c>
      <c r="AI34" s="20">
        <f t="shared" si="7"/>
        <v>10444884.803788383</v>
      </c>
      <c r="AJ34" s="20">
        <f t="shared" si="7"/>
        <v>201640000</v>
      </c>
      <c r="AK34" s="21">
        <f t="shared" si="8"/>
        <v>10297.691119949859</v>
      </c>
      <c r="AL34" s="194" t="str">
        <f t="shared" si="9"/>
        <v>berat</v>
      </c>
    </row>
    <row r="35" spans="1:38" ht="16.5" x14ac:dyDescent="0.3">
      <c r="A35" s="13">
        <v>28</v>
      </c>
      <c r="B35" s="63" t="s">
        <v>27</v>
      </c>
      <c r="C35" s="196" t="s">
        <v>108</v>
      </c>
      <c r="D35" s="193" t="s">
        <v>177</v>
      </c>
      <c r="E35" s="198">
        <v>29.56</v>
      </c>
      <c r="F35" s="25">
        <v>1.1299999999999999</v>
      </c>
      <c r="G35" s="25">
        <v>4.97</v>
      </c>
      <c r="H35" s="25">
        <v>37.75</v>
      </c>
      <c r="I35" s="25">
        <v>0.16</v>
      </c>
      <c r="J35" s="201">
        <f>5.3*1000000</f>
        <v>5300000</v>
      </c>
      <c r="K35" s="201">
        <f>8.1*10000000</f>
        <v>81000000</v>
      </c>
      <c r="L35" s="6">
        <v>50</v>
      </c>
      <c r="M35" s="6">
        <v>4</v>
      </c>
      <c r="N35" s="6">
        <v>3</v>
      </c>
      <c r="O35" s="6">
        <v>25</v>
      </c>
      <c r="P35" s="6">
        <v>0.2</v>
      </c>
      <c r="Q35" s="6">
        <v>1000</v>
      </c>
      <c r="R35" s="6">
        <v>5000</v>
      </c>
      <c r="S35" s="7">
        <f t="shared" si="0"/>
        <v>0.59119999999999995</v>
      </c>
      <c r="T35" s="7">
        <f t="shared" si="4"/>
        <v>0.48916666666666669</v>
      </c>
      <c r="U35" s="7">
        <f t="shared" si="10"/>
        <v>1.6566666666666665</v>
      </c>
      <c r="V35" s="7">
        <f t="shared" si="10"/>
        <v>1.51</v>
      </c>
      <c r="W35" s="8">
        <f t="shared" si="10"/>
        <v>0.79999999999999993</v>
      </c>
      <c r="X35" s="7">
        <f t="shared" si="10"/>
        <v>5300</v>
      </c>
      <c r="Y35" s="7">
        <f t="shared" si="10"/>
        <v>16200</v>
      </c>
      <c r="Z35" s="9">
        <f t="shared" si="2"/>
        <v>-0.14132787306615358</v>
      </c>
      <c r="AA35" s="9">
        <f t="shared" si="11"/>
        <v>0.48916666666666669</v>
      </c>
      <c r="AB35" s="9">
        <f t="shared" si="2"/>
        <v>2.096175670068348</v>
      </c>
      <c r="AC35" s="9">
        <f t="shared" si="2"/>
        <v>1.8948847364658472</v>
      </c>
      <c r="AD35" s="9">
        <f t="shared" si="12"/>
        <v>0.79999999999999993</v>
      </c>
      <c r="AE35" s="9">
        <f t="shared" si="12"/>
        <v>5300</v>
      </c>
      <c r="AF35" s="9">
        <f t="shared" si="12"/>
        <v>16200</v>
      </c>
      <c r="AG35" s="18">
        <f t="shared" si="5"/>
        <v>3072.1626998857332</v>
      </c>
      <c r="AH35" s="19">
        <f t="shared" si="6"/>
        <v>16200</v>
      </c>
      <c r="AI35" s="20">
        <f t="shared" si="7"/>
        <v>9438183.6545691974</v>
      </c>
      <c r="AJ35" s="20">
        <f t="shared" si="7"/>
        <v>262440000</v>
      </c>
      <c r="AK35" s="21">
        <f t="shared" si="8"/>
        <v>11659.292080880579</v>
      </c>
      <c r="AL35" s="194" t="str">
        <f t="shared" si="9"/>
        <v>berat</v>
      </c>
    </row>
    <row r="36" spans="1:38" ht="16.5" x14ac:dyDescent="0.3">
      <c r="A36" s="13">
        <v>29</v>
      </c>
      <c r="B36" s="63" t="s">
        <v>28</v>
      </c>
      <c r="C36" s="196" t="s">
        <v>109</v>
      </c>
      <c r="D36" s="197" t="s">
        <v>178</v>
      </c>
      <c r="E36" s="198">
        <v>35.950000000000003</v>
      </c>
      <c r="F36" s="25">
        <v>0.66</v>
      </c>
      <c r="G36" s="25">
        <v>37.409999999999997</v>
      </c>
      <c r="H36" s="25">
        <v>94.55</v>
      </c>
      <c r="I36" s="25">
        <v>0.33</v>
      </c>
      <c r="J36" s="201">
        <f>3.2*1000000</f>
        <v>3200000</v>
      </c>
      <c r="K36" s="201">
        <f>4.4*10000000</f>
        <v>44000000</v>
      </c>
      <c r="L36" s="6">
        <v>50</v>
      </c>
      <c r="M36" s="6">
        <v>4</v>
      </c>
      <c r="N36" s="6">
        <v>3</v>
      </c>
      <c r="O36" s="6">
        <v>25</v>
      </c>
      <c r="P36" s="6">
        <v>0.2</v>
      </c>
      <c r="Q36" s="6">
        <v>1000</v>
      </c>
      <c r="R36" s="6">
        <v>5000</v>
      </c>
      <c r="S36" s="7">
        <f t="shared" si="0"/>
        <v>0.71900000000000008</v>
      </c>
      <c r="T36" s="7">
        <f t="shared" si="4"/>
        <v>0.52833333333333332</v>
      </c>
      <c r="U36" s="7">
        <f t="shared" si="10"/>
        <v>12.469999999999999</v>
      </c>
      <c r="V36" s="7">
        <f t="shared" si="10"/>
        <v>3.782</v>
      </c>
      <c r="W36" s="8">
        <f t="shared" si="10"/>
        <v>1.65</v>
      </c>
      <c r="X36" s="7">
        <f t="shared" si="10"/>
        <v>3200</v>
      </c>
      <c r="Y36" s="7">
        <f t="shared" si="10"/>
        <v>8800</v>
      </c>
      <c r="Z36" s="9">
        <f t="shared" si="2"/>
        <v>0.28364445191441334</v>
      </c>
      <c r="AA36" s="9">
        <f t="shared" si="11"/>
        <v>0.52833333333333332</v>
      </c>
      <c r="AB36" s="9">
        <f t="shared" si="2"/>
        <v>6.4793322673927127</v>
      </c>
      <c r="AC36" s="9">
        <f t="shared" si="2"/>
        <v>3.8886076225451047</v>
      </c>
      <c r="AD36" s="9">
        <f t="shared" si="12"/>
        <v>1.65</v>
      </c>
      <c r="AE36" s="9">
        <f t="shared" si="12"/>
        <v>3200</v>
      </c>
      <c r="AF36" s="9">
        <f t="shared" si="12"/>
        <v>8800</v>
      </c>
      <c r="AG36" s="18">
        <f t="shared" si="5"/>
        <v>1716.1185596678838</v>
      </c>
      <c r="AH36" s="19">
        <f t="shared" si="6"/>
        <v>8800</v>
      </c>
      <c r="AI36" s="20">
        <f t="shared" si="7"/>
        <v>2945062.9108365718</v>
      </c>
      <c r="AJ36" s="20">
        <f t="shared" si="7"/>
        <v>77440000</v>
      </c>
      <c r="AK36" s="21">
        <f t="shared" si="8"/>
        <v>6339.7579965972118</v>
      </c>
      <c r="AL36" s="194" t="str">
        <f t="shared" si="9"/>
        <v>berat</v>
      </c>
    </row>
    <row r="37" spans="1:38" ht="16.5" x14ac:dyDescent="0.3">
      <c r="A37" s="13">
        <v>30</v>
      </c>
      <c r="B37" s="63" t="s">
        <v>29</v>
      </c>
      <c r="C37" s="196" t="s">
        <v>113</v>
      </c>
      <c r="D37" s="193" t="s">
        <v>178</v>
      </c>
      <c r="E37" s="198">
        <v>35.29</v>
      </c>
      <c r="F37" s="25">
        <v>0.65</v>
      </c>
      <c r="G37" s="25">
        <v>42.03</v>
      </c>
      <c r="H37" s="25">
        <v>80.91</v>
      </c>
      <c r="I37" s="25">
        <v>0.81</v>
      </c>
      <c r="J37" s="201">
        <f>4.3*1000000</f>
        <v>4300000</v>
      </c>
      <c r="K37" s="201">
        <f>4.1*10000000</f>
        <v>41000000</v>
      </c>
      <c r="L37" s="6">
        <v>50</v>
      </c>
      <c r="M37" s="6">
        <v>4</v>
      </c>
      <c r="N37" s="6">
        <v>3</v>
      </c>
      <c r="O37" s="6">
        <v>25</v>
      </c>
      <c r="P37" s="6">
        <v>0.2</v>
      </c>
      <c r="Q37" s="6">
        <v>1000</v>
      </c>
      <c r="R37" s="6">
        <v>5000</v>
      </c>
      <c r="S37" s="7">
        <f t="shared" si="0"/>
        <v>0.70579999999999998</v>
      </c>
      <c r="T37" s="7">
        <f t="shared" si="4"/>
        <v>0.52916666666666667</v>
      </c>
      <c r="U37" s="7">
        <f t="shared" si="10"/>
        <v>14.01</v>
      </c>
      <c r="V37" s="7">
        <f t="shared" si="10"/>
        <v>3.2363999999999997</v>
      </c>
      <c r="W37" s="8">
        <f t="shared" si="10"/>
        <v>4.05</v>
      </c>
      <c r="X37" s="7">
        <f t="shared" si="10"/>
        <v>4300</v>
      </c>
      <c r="Y37" s="7">
        <f t="shared" si="10"/>
        <v>8200</v>
      </c>
      <c r="Z37" s="9">
        <f t="shared" si="2"/>
        <v>0.24340827011975186</v>
      </c>
      <c r="AA37" s="9">
        <f t="shared" si="11"/>
        <v>0.52916666666666667</v>
      </c>
      <c r="AB37" s="9">
        <f t="shared" si="2"/>
        <v>6.732190676428873</v>
      </c>
      <c r="AC37" s="9">
        <f t="shared" si="2"/>
        <v>3.5503109625025799</v>
      </c>
      <c r="AD37" s="9">
        <f t="shared" si="12"/>
        <v>4.05</v>
      </c>
      <c r="AE37" s="9">
        <f t="shared" si="12"/>
        <v>4300</v>
      </c>
      <c r="AF37" s="9">
        <f t="shared" si="12"/>
        <v>8200</v>
      </c>
      <c r="AG37" s="18">
        <f t="shared" si="5"/>
        <v>1787.8721537965309</v>
      </c>
      <c r="AH37" s="19">
        <f t="shared" si="6"/>
        <v>8200</v>
      </c>
      <c r="AI37" s="20">
        <f t="shared" si="7"/>
        <v>3196486.8383210464</v>
      </c>
      <c r="AJ37" s="20">
        <f t="shared" si="7"/>
        <v>67240000</v>
      </c>
      <c r="AK37" s="21">
        <f t="shared" si="8"/>
        <v>5934.4960543554598</v>
      </c>
      <c r="AL37" s="194" t="str">
        <f t="shared" si="9"/>
        <v>berat</v>
      </c>
    </row>
    <row r="39" spans="1:38" x14ac:dyDescent="0.25">
      <c r="A39" s="1" t="s">
        <v>36</v>
      </c>
    </row>
    <row r="40" spans="1:38" x14ac:dyDescent="0.25">
      <c r="A40" s="26" t="s">
        <v>37</v>
      </c>
      <c r="B40" s="1" t="s">
        <v>38</v>
      </c>
    </row>
    <row r="41" spans="1:38" x14ac:dyDescent="0.25">
      <c r="A41" s="26" t="s">
        <v>39</v>
      </c>
      <c r="B41" s="1" t="s">
        <v>40</v>
      </c>
    </row>
    <row r="43" spans="1:38" ht="16.5" x14ac:dyDescent="0.3">
      <c r="A43" s="26" t="s">
        <v>41</v>
      </c>
      <c r="B43" s="27" t="s">
        <v>42</v>
      </c>
      <c r="D43" s="28"/>
    </row>
    <row r="44" spans="1:38" ht="16.5" x14ac:dyDescent="0.3">
      <c r="B44" s="29" t="s">
        <v>43</v>
      </c>
      <c r="C44" s="30" t="s">
        <v>44</v>
      </c>
      <c r="D44" s="30" t="s">
        <v>45</v>
      </c>
      <c r="E44" s="30" t="s">
        <v>46</v>
      </c>
      <c r="F44" s="31" t="s">
        <v>47</v>
      </c>
    </row>
    <row r="45" spans="1:38" x14ac:dyDescent="0.25">
      <c r="B45" s="13" t="s">
        <v>48</v>
      </c>
      <c r="C45" s="13">
        <v>0</v>
      </c>
      <c r="D45" s="32">
        <f>C45/C49</f>
        <v>0</v>
      </c>
      <c r="E45" s="13">
        <v>70</v>
      </c>
      <c r="F45" s="33">
        <f>E45*D45</f>
        <v>0</v>
      </c>
    </row>
    <row r="46" spans="1:38" x14ac:dyDescent="0.25">
      <c r="B46" s="13" t="s">
        <v>49</v>
      </c>
      <c r="C46" s="13">
        <v>1</v>
      </c>
      <c r="D46" s="32">
        <f>C46/C49</f>
        <v>3.3333333333333333E-2</v>
      </c>
      <c r="E46" s="13">
        <v>50</v>
      </c>
      <c r="F46" s="33">
        <f>D46*E46</f>
        <v>1.6666666666666667</v>
      </c>
    </row>
    <row r="47" spans="1:38" x14ac:dyDescent="0.25">
      <c r="B47" s="13" t="s">
        <v>50</v>
      </c>
      <c r="C47" s="13">
        <v>0</v>
      </c>
      <c r="D47" s="32">
        <f>C47/C49</f>
        <v>0</v>
      </c>
      <c r="E47" s="13">
        <v>30</v>
      </c>
      <c r="F47" s="33">
        <f>E47*D47</f>
        <v>0</v>
      </c>
    </row>
    <row r="48" spans="1:38" x14ac:dyDescent="0.25">
      <c r="B48" s="13" t="s">
        <v>51</v>
      </c>
      <c r="C48" s="13">
        <v>29</v>
      </c>
      <c r="D48" s="32">
        <f>C48/C49</f>
        <v>0.96666666666666667</v>
      </c>
      <c r="E48" s="13">
        <v>10</v>
      </c>
      <c r="F48" s="33">
        <f>E48*D48</f>
        <v>9.6666666666666661</v>
      </c>
    </row>
    <row r="49" spans="2:6" x14ac:dyDescent="0.25">
      <c r="B49" s="202" t="s">
        <v>44</v>
      </c>
      <c r="C49" s="13">
        <f>SUM(C45:C48)</f>
        <v>30</v>
      </c>
      <c r="D49" s="34"/>
      <c r="E49" s="13"/>
      <c r="F49" s="35"/>
    </row>
    <row r="50" spans="2:6" x14ac:dyDescent="0.25">
      <c r="B50" s="36" t="s">
        <v>52</v>
      </c>
      <c r="C50" s="37"/>
      <c r="D50" s="37"/>
      <c r="E50" s="37"/>
      <c r="F50" s="38">
        <f>SUM(F45:F49)</f>
        <v>11.333333333333332</v>
      </c>
    </row>
  </sheetData>
  <pageMargins left="0.7" right="0.7" top="0.75" bottom="0.75" header="0.3" footer="0.3"/>
  <pageSetup paperSize="9" scale="85" orientation="portrait" horizontalDpi="0" verticalDpi="0" r:id="rId1"/>
  <colBreaks count="1" manualBreakCount="1">
    <brk id="6" max="1048575" man="1"/>
  </col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3:R52"/>
  <sheetViews>
    <sheetView showGridLines="0" zoomScale="130" zoomScaleNormal="130" zoomScaleSheetLayoutView="145" workbookViewId="0">
      <selection activeCell="L3" sqref="L3"/>
    </sheetView>
  </sheetViews>
  <sheetFormatPr defaultColWidth="9.140625" defaultRowHeight="15" x14ac:dyDescent="0.25"/>
  <cols>
    <col min="1" max="1" width="3.42578125" style="39" bestFit="1" customWidth="1"/>
    <col min="2" max="2" width="9.140625" style="39"/>
    <col min="3" max="3" width="17.28515625" style="39" customWidth="1"/>
    <col min="4" max="4" width="19.42578125" style="39" customWidth="1"/>
    <col min="5" max="5" width="19.42578125" style="39" hidden="1" customWidth="1"/>
    <col min="6" max="6" width="9.140625" style="39"/>
    <col min="7" max="7" width="9.140625" style="39" customWidth="1"/>
    <col min="8" max="16384" width="9.140625" style="39"/>
  </cols>
  <sheetData>
    <row r="3" spans="1:13" ht="51" x14ac:dyDescent="0.35">
      <c r="A3" s="506" t="s">
        <v>4</v>
      </c>
      <c r="B3" s="506" t="s">
        <v>90</v>
      </c>
      <c r="C3" s="506" t="s">
        <v>89</v>
      </c>
      <c r="D3" s="507" t="s">
        <v>88</v>
      </c>
      <c r="E3" s="511" t="s">
        <v>250</v>
      </c>
      <c r="F3" s="214" t="s">
        <v>87</v>
      </c>
      <c r="G3" s="214" t="s">
        <v>86</v>
      </c>
      <c r="H3" s="214" t="s">
        <v>85</v>
      </c>
      <c r="I3" s="52" t="s">
        <v>84</v>
      </c>
      <c r="J3" s="214" t="s">
        <v>83</v>
      </c>
      <c r="K3" s="214" t="s">
        <v>82</v>
      </c>
      <c r="L3" s="214" t="s">
        <v>81</v>
      </c>
      <c r="M3" s="50" t="s">
        <v>80</v>
      </c>
    </row>
    <row r="4" spans="1:13" ht="39.75" customHeight="1" x14ac:dyDescent="0.25">
      <c r="A4" s="506"/>
      <c r="B4" s="506"/>
      <c r="C4" s="506"/>
      <c r="D4" s="507"/>
      <c r="E4" s="512"/>
      <c r="F4" s="48" t="s">
        <v>79</v>
      </c>
      <c r="G4" s="48" t="s">
        <v>79</v>
      </c>
      <c r="H4" s="48" t="s">
        <v>79</v>
      </c>
      <c r="I4" s="48" t="s">
        <v>79</v>
      </c>
      <c r="J4" s="48" t="s">
        <v>79</v>
      </c>
      <c r="K4" s="48" t="s">
        <v>79</v>
      </c>
      <c r="L4" s="47" t="s">
        <v>78</v>
      </c>
      <c r="M4" s="46" t="s">
        <v>78</v>
      </c>
    </row>
    <row r="5" spans="1:13" ht="16.5" x14ac:dyDescent="0.3">
      <c r="A5" s="508">
        <v>1</v>
      </c>
      <c r="B5" s="509" t="s">
        <v>77</v>
      </c>
      <c r="C5" s="509" t="s">
        <v>76</v>
      </c>
      <c r="D5" s="215" t="s">
        <v>75</v>
      </c>
      <c r="E5" s="338" t="s">
        <v>242</v>
      </c>
      <c r="F5" s="313">
        <v>2.57</v>
      </c>
      <c r="G5" s="313">
        <v>7.19</v>
      </c>
      <c r="H5" s="313">
        <v>17.399999999999999</v>
      </c>
      <c r="I5" s="313">
        <v>33.200000000000003</v>
      </c>
      <c r="J5" s="45">
        <f>AVERAGE(F5:G12)</f>
        <v>14.938125000000003</v>
      </c>
      <c r="K5" s="45">
        <f>AVERAGE(H5:I12)</f>
        <v>20.99</v>
      </c>
      <c r="L5" s="44">
        <f>((J5/20)+(K5/40))/2</f>
        <v>0.63582812499999997</v>
      </c>
      <c r="M5" s="43">
        <f>100-(50/0.9*(L5-0.1))</f>
        <v>70.231770833333329</v>
      </c>
    </row>
    <row r="6" spans="1:13" ht="16.5" x14ac:dyDescent="0.3">
      <c r="A6" s="508"/>
      <c r="B6" s="509"/>
      <c r="C6" s="509"/>
      <c r="D6" s="215" t="s">
        <v>241</v>
      </c>
      <c r="E6" s="338" t="s">
        <v>243</v>
      </c>
      <c r="F6" s="313">
        <v>23.97</v>
      </c>
      <c r="G6" s="313">
        <v>27.81</v>
      </c>
      <c r="H6" s="313">
        <v>21.1</v>
      </c>
      <c r="I6" s="313">
        <v>34.299999999999997</v>
      </c>
      <c r="J6" s="505"/>
      <c r="K6" s="505"/>
      <c r="L6" s="505"/>
      <c r="M6" s="505"/>
    </row>
    <row r="7" spans="1:13" ht="16.5" x14ac:dyDescent="0.3">
      <c r="A7" s="508"/>
      <c r="B7" s="509"/>
      <c r="C7" s="509"/>
      <c r="D7" s="215" t="s">
        <v>73</v>
      </c>
      <c r="E7" s="338" t="s">
        <v>244</v>
      </c>
      <c r="F7" s="313">
        <v>6.57</v>
      </c>
      <c r="G7" s="313">
        <v>9.3699999999999992</v>
      </c>
      <c r="H7" s="313">
        <v>18.7</v>
      </c>
      <c r="I7" s="313">
        <v>16.5</v>
      </c>
      <c r="J7" s="505"/>
      <c r="K7" s="505"/>
      <c r="L7" s="505"/>
      <c r="M7" s="505"/>
    </row>
    <row r="8" spans="1:13" ht="17.25" thickBot="1" x14ac:dyDescent="0.35">
      <c r="A8" s="508"/>
      <c r="B8" s="509"/>
      <c r="C8" s="509"/>
      <c r="D8" s="341" t="s">
        <v>72</v>
      </c>
      <c r="E8" s="341" t="s">
        <v>245</v>
      </c>
      <c r="F8" s="342">
        <v>8.0299999999999994</v>
      </c>
      <c r="G8" s="342">
        <v>7.04</v>
      </c>
      <c r="H8" s="342">
        <v>16.600000000000001</v>
      </c>
      <c r="I8" s="342">
        <v>16.350000000000001</v>
      </c>
      <c r="J8" s="505"/>
      <c r="K8" s="505"/>
      <c r="L8" s="505"/>
      <c r="M8" s="505"/>
    </row>
    <row r="9" spans="1:13" ht="16.5" x14ac:dyDescent="0.3">
      <c r="A9" s="508"/>
      <c r="B9" s="509"/>
      <c r="C9" s="509"/>
      <c r="D9" s="339" t="s">
        <v>75</v>
      </c>
      <c r="E9" s="339" t="s">
        <v>246</v>
      </c>
      <c r="F9" s="340">
        <v>2.62</v>
      </c>
      <c r="G9" s="340">
        <v>3.65</v>
      </c>
      <c r="H9" s="340">
        <v>18.7</v>
      </c>
      <c r="I9" s="340">
        <v>20.79</v>
      </c>
      <c r="J9" s="505"/>
      <c r="K9" s="505"/>
      <c r="L9" s="505"/>
      <c r="M9" s="505"/>
    </row>
    <row r="10" spans="1:13" ht="33" x14ac:dyDescent="0.3">
      <c r="A10" s="508"/>
      <c r="B10" s="509"/>
      <c r="C10" s="509"/>
      <c r="D10" s="335" t="s">
        <v>241</v>
      </c>
      <c r="E10" s="338" t="s">
        <v>247</v>
      </c>
      <c r="F10" s="313">
        <v>34.159999999999997</v>
      </c>
      <c r="G10" s="313">
        <v>31.49</v>
      </c>
      <c r="H10" s="313">
        <v>21.2</v>
      </c>
      <c r="I10" s="313">
        <v>24.24</v>
      </c>
      <c r="J10" s="505"/>
      <c r="K10" s="505"/>
      <c r="L10" s="505"/>
      <c r="M10" s="505"/>
    </row>
    <row r="11" spans="1:13" ht="16.5" x14ac:dyDescent="0.3">
      <c r="A11" s="508"/>
      <c r="B11" s="509"/>
      <c r="C11" s="509"/>
      <c r="D11" s="335" t="s">
        <v>73</v>
      </c>
      <c r="E11" s="338" t="s">
        <v>248</v>
      </c>
      <c r="F11" s="313">
        <v>25.79</v>
      </c>
      <c r="G11" s="313">
        <v>29.58</v>
      </c>
      <c r="H11" s="313">
        <v>18.100000000000001</v>
      </c>
      <c r="I11" s="313">
        <v>16.3</v>
      </c>
      <c r="J11" s="505"/>
      <c r="K11" s="505"/>
      <c r="L11" s="505"/>
      <c r="M11" s="505"/>
    </row>
    <row r="12" spans="1:13" ht="16.5" x14ac:dyDescent="0.3">
      <c r="A12" s="508"/>
      <c r="B12" s="509"/>
      <c r="C12" s="509"/>
      <c r="D12" s="335" t="s">
        <v>72</v>
      </c>
      <c r="E12" s="338" t="s">
        <v>249</v>
      </c>
      <c r="F12" s="313">
        <v>10.49</v>
      </c>
      <c r="G12" s="313">
        <v>8.68</v>
      </c>
      <c r="H12" s="313">
        <v>19</v>
      </c>
      <c r="I12" s="313">
        <v>23.36</v>
      </c>
      <c r="J12" s="505"/>
      <c r="K12" s="505"/>
      <c r="L12" s="505"/>
      <c r="M12" s="505"/>
    </row>
    <row r="13" spans="1:13" ht="16.5" x14ac:dyDescent="0.3">
      <c r="A13" s="336" t="s">
        <v>239</v>
      </c>
      <c r="B13" s="40"/>
      <c r="D13" s="40"/>
      <c r="E13" s="40"/>
      <c r="F13" s="40"/>
      <c r="G13" s="40"/>
      <c r="H13" s="40"/>
      <c r="I13" s="40"/>
    </row>
    <row r="14" spans="1:13" ht="16.5" x14ac:dyDescent="0.3">
      <c r="A14" s="336" t="s">
        <v>240</v>
      </c>
      <c r="B14" s="40"/>
      <c r="D14" s="40"/>
      <c r="E14" s="40"/>
      <c r="F14" s="40"/>
      <c r="G14" s="40"/>
      <c r="H14" s="40"/>
      <c r="I14" s="40"/>
    </row>
    <row r="15" spans="1:13" ht="16.5" x14ac:dyDescent="0.3">
      <c r="A15" s="40"/>
      <c r="B15" s="40"/>
      <c r="C15" s="40"/>
      <c r="D15" s="40"/>
      <c r="E15" s="40"/>
      <c r="F15" s="40"/>
      <c r="G15" s="40"/>
      <c r="H15" s="40"/>
      <c r="I15" s="40"/>
    </row>
    <row r="19" spans="2:6" x14ac:dyDescent="0.25">
      <c r="B19" s="39" t="s">
        <v>67</v>
      </c>
    </row>
    <row r="20" spans="2:6" x14ac:dyDescent="0.25">
      <c r="B20" s="39" t="s">
        <v>64</v>
      </c>
      <c r="C20" s="39" t="s">
        <v>63</v>
      </c>
      <c r="D20" s="39" t="s">
        <v>66</v>
      </c>
      <c r="F20" s="39" t="s">
        <v>20</v>
      </c>
    </row>
    <row r="21" spans="2:6" x14ac:dyDescent="0.25">
      <c r="B21" s="39">
        <v>1</v>
      </c>
      <c r="C21" s="39" t="s">
        <v>21</v>
      </c>
      <c r="D21" s="39">
        <v>-21</v>
      </c>
      <c r="F21" s="39" t="s">
        <v>58</v>
      </c>
    </row>
    <row r="22" spans="2:6" x14ac:dyDescent="0.25">
      <c r="B22" s="39">
        <v>2</v>
      </c>
      <c r="C22" s="39" t="s">
        <v>61</v>
      </c>
      <c r="D22" s="39">
        <v>-21</v>
      </c>
      <c r="F22" s="39" t="s">
        <v>58</v>
      </c>
    </row>
    <row r="23" spans="2:6" x14ac:dyDescent="0.25">
      <c r="B23" s="39">
        <v>3</v>
      </c>
      <c r="C23" s="39" t="s">
        <v>60</v>
      </c>
      <c r="D23" s="39">
        <v>-36</v>
      </c>
      <c r="F23" s="39" t="s">
        <v>53</v>
      </c>
    </row>
    <row r="24" spans="2:6" x14ac:dyDescent="0.25">
      <c r="B24" s="39">
        <v>4</v>
      </c>
      <c r="C24" s="39" t="s">
        <v>30</v>
      </c>
      <c r="D24" s="39">
        <v>-48</v>
      </c>
      <c r="F24" s="39" t="s">
        <v>53</v>
      </c>
    </row>
    <row r="25" spans="2:6" x14ac:dyDescent="0.25">
      <c r="B25" s="39">
        <v>5</v>
      </c>
      <c r="C25" s="39" t="s">
        <v>31</v>
      </c>
      <c r="D25" s="39">
        <v>-48</v>
      </c>
      <c r="F25" s="39" t="s">
        <v>53</v>
      </c>
    </row>
    <row r="26" spans="2:6" x14ac:dyDescent="0.25">
      <c r="B26" s="39">
        <v>6</v>
      </c>
      <c r="C26" s="39" t="s">
        <v>32</v>
      </c>
      <c r="D26" s="39">
        <v>-54</v>
      </c>
      <c r="F26" s="39" t="s">
        <v>53</v>
      </c>
    </row>
    <row r="27" spans="2:6" x14ac:dyDescent="0.25">
      <c r="B27" s="39">
        <v>7</v>
      </c>
      <c r="C27" s="39" t="s">
        <v>24</v>
      </c>
      <c r="D27" s="39">
        <v>-36</v>
      </c>
      <c r="F27" s="39" t="s">
        <v>53</v>
      </c>
    </row>
    <row r="28" spans="2:6" x14ac:dyDescent="0.25">
      <c r="B28" s="39">
        <v>8</v>
      </c>
      <c r="C28" s="39" t="s">
        <v>65</v>
      </c>
      <c r="D28" s="39">
        <v>-51</v>
      </c>
      <c r="F28" s="39" t="s">
        <v>53</v>
      </c>
    </row>
    <row r="29" spans="2:6" x14ac:dyDescent="0.25">
      <c r="B29" s="39">
        <v>9</v>
      </c>
      <c r="C29" s="39" t="s">
        <v>26</v>
      </c>
      <c r="D29" s="39">
        <v>-60</v>
      </c>
      <c r="F29" s="39" t="s">
        <v>53</v>
      </c>
    </row>
    <row r="30" spans="2:6" x14ac:dyDescent="0.25">
      <c r="B30" s="39">
        <v>10</v>
      </c>
      <c r="C30" s="39" t="s">
        <v>33</v>
      </c>
      <c r="F30" s="39" t="s">
        <v>53</v>
      </c>
    </row>
    <row r="31" spans="2:6" x14ac:dyDescent="0.25">
      <c r="B31" s="39">
        <v>11</v>
      </c>
      <c r="C31" s="39" t="s">
        <v>34</v>
      </c>
      <c r="D31" s="39">
        <v>-51</v>
      </c>
      <c r="F31" s="39" t="s">
        <v>53</v>
      </c>
    </row>
    <row r="32" spans="2:6" x14ac:dyDescent="0.25">
      <c r="B32" s="39">
        <v>12</v>
      </c>
      <c r="C32" s="39" t="s">
        <v>54</v>
      </c>
      <c r="D32" s="39">
        <v>-54</v>
      </c>
      <c r="F32" s="39" t="s">
        <v>53</v>
      </c>
    </row>
    <row r="33" spans="2:18" x14ac:dyDescent="0.25">
      <c r="B33" s="39">
        <v>13</v>
      </c>
      <c r="C33" s="39" t="s">
        <v>27</v>
      </c>
      <c r="D33" s="39">
        <v>-51</v>
      </c>
      <c r="F33" s="39" t="s">
        <v>53</v>
      </c>
    </row>
    <row r="34" spans="2:18" x14ac:dyDescent="0.25">
      <c r="B34" s="39">
        <v>14</v>
      </c>
      <c r="C34" s="39" t="s">
        <v>28</v>
      </c>
      <c r="D34" s="39">
        <v>-45</v>
      </c>
      <c r="F34" s="39" t="s">
        <v>53</v>
      </c>
    </row>
    <row r="35" spans="2:18" x14ac:dyDescent="0.25">
      <c r="B35" s="39">
        <v>15</v>
      </c>
      <c r="C35" s="39" t="s">
        <v>29</v>
      </c>
      <c r="D35" s="39">
        <v>-36</v>
      </c>
      <c r="F35" s="39" t="s">
        <v>53</v>
      </c>
    </row>
    <row r="37" spans="2:18" x14ac:dyDescent="0.25">
      <c r="B37" s="39" t="s">
        <v>64</v>
      </c>
      <c r="C37" s="39" t="s">
        <v>63</v>
      </c>
      <c r="D37" s="39" t="s">
        <v>62</v>
      </c>
      <c r="F37" s="39" t="s">
        <v>20</v>
      </c>
    </row>
    <row r="38" spans="2:18" x14ac:dyDescent="0.25">
      <c r="B38" s="39">
        <v>1</v>
      </c>
      <c r="C38" s="39" t="s">
        <v>21</v>
      </c>
      <c r="D38" s="39">
        <v>1.5534067121083099</v>
      </c>
      <c r="F38" s="39" t="s">
        <v>55</v>
      </c>
    </row>
    <row r="39" spans="2:18" x14ac:dyDescent="0.25">
      <c r="B39" s="39">
        <v>2</v>
      </c>
      <c r="C39" s="39" t="s">
        <v>61</v>
      </c>
      <c r="D39" s="39">
        <v>3.193255044621397</v>
      </c>
      <c r="F39" s="39" t="s">
        <v>55</v>
      </c>
      <c r="R39" s="99" t="s">
        <v>115</v>
      </c>
    </row>
    <row r="40" spans="2:18" x14ac:dyDescent="0.25">
      <c r="B40" s="39">
        <v>3</v>
      </c>
      <c r="C40" s="39" t="s">
        <v>60</v>
      </c>
      <c r="D40" s="39">
        <v>130.81780551275889</v>
      </c>
      <c r="F40" s="39" t="s">
        <v>53</v>
      </c>
    </row>
    <row r="41" spans="2:18" x14ac:dyDescent="0.25">
      <c r="B41" s="39">
        <v>4</v>
      </c>
      <c r="C41" s="39" t="s">
        <v>30</v>
      </c>
      <c r="D41" s="39">
        <v>13.207565114489205</v>
      </c>
      <c r="F41" s="39" t="s">
        <v>53</v>
      </c>
    </row>
    <row r="42" spans="2:18" x14ac:dyDescent="0.25">
      <c r="B42" s="39">
        <v>5</v>
      </c>
      <c r="C42" s="39" t="s">
        <v>31</v>
      </c>
      <c r="D42" s="39">
        <v>130.64535341165239</v>
      </c>
      <c r="F42" s="39" t="s">
        <v>53</v>
      </c>
    </row>
    <row r="43" spans="2:18" x14ac:dyDescent="0.25">
      <c r="B43" s="39">
        <v>6</v>
      </c>
      <c r="C43" s="39" t="s">
        <v>32</v>
      </c>
      <c r="D43" s="39">
        <v>130.86717160156678</v>
      </c>
      <c r="F43" s="39" t="s">
        <v>53</v>
      </c>
    </row>
    <row r="44" spans="2:18" x14ac:dyDescent="0.25">
      <c r="B44" s="39">
        <v>7</v>
      </c>
      <c r="C44" s="39" t="s">
        <v>59</v>
      </c>
      <c r="D44" s="39">
        <v>5.0009579252518108</v>
      </c>
      <c r="F44" s="39" t="s">
        <v>58</v>
      </c>
    </row>
    <row r="45" spans="2:18" x14ac:dyDescent="0.25">
      <c r="B45" s="39">
        <v>8</v>
      </c>
      <c r="C45" s="39" t="s">
        <v>57</v>
      </c>
      <c r="D45" s="39">
        <v>13.521459066286079</v>
      </c>
      <c r="F45" s="39" t="s">
        <v>53</v>
      </c>
    </row>
    <row r="46" spans="2:18" x14ac:dyDescent="0.25">
      <c r="B46" s="39">
        <v>9</v>
      </c>
      <c r="C46" s="39" t="s">
        <v>56</v>
      </c>
      <c r="D46" s="39">
        <v>280.86230240218975</v>
      </c>
      <c r="F46" s="39" t="s">
        <v>53</v>
      </c>
    </row>
    <row r="47" spans="2:18" x14ac:dyDescent="0.25">
      <c r="B47" s="39">
        <v>10</v>
      </c>
      <c r="C47" s="39" t="s">
        <v>33</v>
      </c>
      <c r="D47" s="39">
        <v>4.9547042979188891</v>
      </c>
      <c r="F47" s="39" t="s">
        <v>55</v>
      </c>
    </row>
    <row r="48" spans="2:18" x14ac:dyDescent="0.25">
      <c r="B48" s="39">
        <v>11</v>
      </c>
      <c r="C48" s="39" t="s">
        <v>34</v>
      </c>
      <c r="D48" s="39">
        <v>281.02586144487987</v>
      </c>
      <c r="F48" s="39" t="s">
        <v>53</v>
      </c>
    </row>
    <row r="49" spans="2:6" x14ac:dyDescent="0.25">
      <c r="B49" s="39">
        <v>12</v>
      </c>
      <c r="C49" s="39" t="s">
        <v>54</v>
      </c>
      <c r="D49" s="39">
        <v>351.36250577374619</v>
      </c>
      <c r="F49" s="39" t="s">
        <v>53</v>
      </c>
    </row>
    <row r="50" spans="2:6" x14ac:dyDescent="0.25">
      <c r="B50" s="39">
        <v>13</v>
      </c>
      <c r="C50" s="39" t="s">
        <v>27</v>
      </c>
      <c r="D50" s="39">
        <v>13.2219531415699</v>
      </c>
      <c r="F50" s="39" t="s">
        <v>53</v>
      </c>
    </row>
    <row r="51" spans="2:6" x14ac:dyDescent="0.25">
      <c r="B51" s="39">
        <v>14</v>
      </c>
      <c r="C51" s="39" t="s">
        <v>28</v>
      </c>
      <c r="D51" s="39">
        <v>22.302861675746211</v>
      </c>
      <c r="F51" s="39" t="s">
        <v>53</v>
      </c>
    </row>
    <row r="52" spans="2:6" x14ac:dyDescent="0.25">
      <c r="B52" s="39">
        <v>15</v>
      </c>
      <c r="C52" s="39" t="s">
        <v>29</v>
      </c>
      <c r="D52" s="39">
        <v>28.141726608196358</v>
      </c>
      <c r="F52" s="39" t="s">
        <v>53</v>
      </c>
    </row>
  </sheetData>
  <mergeCells count="9">
    <mergeCell ref="J6:M12"/>
    <mergeCell ref="A3:A4"/>
    <mergeCell ref="B3:B4"/>
    <mergeCell ref="C3:C4"/>
    <mergeCell ref="D3:D4"/>
    <mergeCell ref="A5:A12"/>
    <mergeCell ref="B5:B12"/>
    <mergeCell ref="C5:C12"/>
    <mergeCell ref="E3:E4"/>
  </mergeCells>
  <pageMargins left="0.7" right="0.7" top="0.75" bottom="0.75" header="0.3" footer="0.3"/>
  <pageSetup paperSize="10000" scale="68" orientation="portrait" horizontalDpi="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2"/>
  <sheetViews>
    <sheetView topLeftCell="W57" zoomScale="115" zoomScaleNormal="115" workbookViewId="0">
      <selection activeCell="AQ60" sqref="AQ60"/>
    </sheetView>
  </sheetViews>
  <sheetFormatPr defaultColWidth="9.140625" defaultRowHeight="12.75" x14ac:dyDescent="0.2"/>
  <cols>
    <col min="1" max="1" width="3.7109375" style="237" bestFit="1" customWidth="1"/>
    <col min="2" max="2" width="17.7109375" style="237" customWidth="1"/>
    <col min="3" max="3" width="26.42578125" style="237" customWidth="1"/>
    <col min="4" max="4" width="13.42578125" style="237" customWidth="1"/>
    <col min="5" max="5" width="8.42578125" style="237" bestFit="1" customWidth="1"/>
    <col min="6" max="6" width="9.140625" style="237" customWidth="1"/>
    <col min="7" max="7" width="5" style="237" bestFit="1" customWidth="1"/>
    <col min="8" max="8" width="7.7109375" style="237" bestFit="1" customWidth="1"/>
    <col min="9" max="9" width="7" style="237" bestFit="1" customWidth="1"/>
    <col min="10" max="10" width="8.42578125" style="237" bestFit="1" customWidth="1"/>
    <col min="11" max="11" width="8" style="237" bestFit="1" customWidth="1"/>
    <col min="12" max="12" width="8" style="237" customWidth="1"/>
    <col min="13" max="13" width="6.28515625" style="237" customWidth="1"/>
    <col min="14" max="14" width="3.42578125" style="237" bestFit="1" customWidth="1"/>
    <col min="15" max="15" width="4.7109375" style="237" bestFit="1" customWidth="1"/>
    <col min="16" max="16" width="4.42578125" style="237" bestFit="1" customWidth="1"/>
    <col min="17" max="17" width="6.42578125" style="237" bestFit="1" customWidth="1"/>
    <col min="18" max="18" width="7.7109375" style="237" customWidth="1"/>
    <col min="19" max="19" width="4.42578125" style="237" bestFit="1" customWidth="1"/>
    <col min="20" max="20" width="2" style="237" bestFit="1" customWidth="1"/>
    <col min="21" max="21" width="1.7109375" style="237" customWidth="1"/>
    <col min="22" max="22" width="2" style="237" bestFit="1" customWidth="1"/>
    <col min="23" max="23" width="5.42578125" style="237" bestFit="1" customWidth="1"/>
    <col min="24" max="24" width="6.140625" style="237" bestFit="1" customWidth="1"/>
    <col min="25" max="26" width="6.28515625" style="237" bestFit="1" customWidth="1"/>
    <col min="27" max="27" width="7" style="237" bestFit="1" customWidth="1"/>
    <col min="28" max="28" width="9.7109375" style="237" bestFit="1" customWidth="1"/>
    <col min="29" max="30" width="5.28515625" style="237" bestFit="1" customWidth="1"/>
    <col min="31" max="32" width="6.140625" style="237" bestFit="1" customWidth="1"/>
    <col min="33" max="33" width="5.42578125" style="237" bestFit="1" customWidth="1"/>
    <col min="34" max="34" width="6.140625" style="237" bestFit="1" customWidth="1"/>
    <col min="35" max="35" width="6.28515625" style="237" bestFit="1" customWidth="1"/>
    <col min="36" max="36" width="6.140625" style="237" customWidth="1"/>
    <col min="37" max="38" width="5.28515625" style="237" bestFit="1" customWidth="1"/>
    <col min="39" max="39" width="9.7109375" style="237" bestFit="1" customWidth="1"/>
    <col min="40" max="40" width="8.7109375" style="237" bestFit="1" customWidth="1"/>
    <col min="41" max="41" width="10.7109375" style="237" bestFit="1" customWidth="1"/>
    <col min="42" max="42" width="12.42578125" style="237" bestFit="1" customWidth="1"/>
    <col min="43" max="43" width="8.42578125" style="237" bestFit="1" customWidth="1"/>
    <col min="44" max="44" width="9.42578125" style="237" customWidth="1"/>
    <col min="45" max="46" width="9.140625" style="237"/>
    <col min="47" max="47" width="9.140625" style="239"/>
    <col min="48" max="48" width="9.140625" style="240"/>
    <col min="49" max="49" width="9.140625" style="241"/>
    <col min="50" max="50" width="9.140625" style="242"/>
    <col min="51" max="256" width="9.140625" style="237"/>
    <col min="257" max="257" width="3.7109375" style="237" bestFit="1" customWidth="1"/>
    <col min="258" max="258" width="17.7109375" style="237" customWidth="1"/>
    <col min="259" max="259" width="26.42578125" style="237" customWidth="1"/>
    <col min="260" max="260" width="13.42578125" style="237" customWidth="1"/>
    <col min="261" max="261" width="8.42578125" style="237" bestFit="1" customWidth="1"/>
    <col min="262" max="262" width="9.140625" style="237" customWidth="1"/>
    <col min="263" max="263" width="5" style="237" bestFit="1" customWidth="1"/>
    <col min="264" max="264" width="7.7109375" style="237" bestFit="1" customWidth="1"/>
    <col min="265" max="265" width="7" style="237" bestFit="1" customWidth="1"/>
    <col min="266" max="266" width="8.42578125" style="237" bestFit="1" customWidth="1"/>
    <col min="267" max="267" width="8" style="237" bestFit="1" customWidth="1"/>
    <col min="268" max="268" width="8" style="237" customWidth="1"/>
    <col min="269" max="269" width="6.28515625" style="237" customWidth="1"/>
    <col min="270" max="270" width="3.42578125" style="237" bestFit="1" customWidth="1"/>
    <col min="271" max="271" width="4.7109375" style="237" bestFit="1" customWidth="1"/>
    <col min="272" max="272" width="4.42578125" style="237" bestFit="1" customWidth="1"/>
    <col min="273" max="273" width="6.42578125" style="237" bestFit="1" customWidth="1"/>
    <col min="274" max="274" width="7.7109375" style="237" customWidth="1"/>
    <col min="275" max="275" width="4.42578125" style="237" bestFit="1" customWidth="1"/>
    <col min="276" max="276" width="2" style="237" bestFit="1" customWidth="1"/>
    <col min="277" max="277" width="1.7109375" style="237" customWidth="1"/>
    <col min="278" max="278" width="2" style="237" bestFit="1" customWidth="1"/>
    <col min="279" max="279" width="5.42578125" style="237" bestFit="1" customWidth="1"/>
    <col min="280" max="280" width="6.140625" style="237" bestFit="1" customWidth="1"/>
    <col min="281" max="282" width="6.28515625" style="237" bestFit="1" customWidth="1"/>
    <col min="283" max="283" width="7" style="237" bestFit="1" customWidth="1"/>
    <col min="284" max="284" width="9.7109375" style="237" bestFit="1" customWidth="1"/>
    <col min="285" max="286" width="5.28515625" style="237" bestFit="1" customWidth="1"/>
    <col min="287" max="288" width="6.140625" style="237" bestFit="1" customWidth="1"/>
    <col min="289" max="289" width="5.42578125" style="237" bestFit="1" customWidth="1"/>
    <col min="290" max="290" width="6.140625" style="237" bestFit="1" customWidth="1"/>
    <col min="291" max="291" width="6.28515625" style="237" bestFit="1" customWidth="1"/>
    <col min="292" max="292" width="6.140625" style="237" customWidth="1"/>
    <col min="293" max="294" width="5.28515625" style="237" bestFit="1" customWidth="1"/>
    <col min="295" max="295" width="9.7109375" style="237" bestFit="1" customWidth="1"/>
    <col min="296" max="296" width="8.7109375" style="237" bestFit="1" customWidth="1"/>
    <col min="297" max="297" width="10.7109375" style="237" bestFit="1" customWidth="1"/>
    <col min="298" max="298" width="12.42578125" style="237" bestFit="1" customWidth="1"/>
    <col min="299" max="299" width="8.42578125" style="237" bestFit="1" customWidth="1"/>
    <col min="300" max="300" width="9.42578125" style="237" customWidth="1"/>
    <col min="301" max="512" width="9.140625" style="237"/>
    <col min="513" max="513" width="3.7109375" style="237" bestFit="1" customWidth="1"/>
    <col min="514" max="514" width="17.7109375" style="237" customWidth="1"/>
    <col min="515" max="515" width="26.42578125" style="237" customWidth="1"/>
    <col min="516" max="516" width="13.42578125" style="237" customWidth="1"/>
    <col min="517" max="517" width="8.42578125" style="237" bestFit="1" customWidth="1"/>
    <col min="518" max="518" width="9.140625" style="237" customWidth="1"/>
    <col min="519" max="519" width="5" style="237" bestFit="1" customWidth="1"/>
    <col min="520" max="520" width="7.7109375" style="237" bestFit="1" customWidth="1"/>
    <col min="521" max="521" width="7" style="237" bestFit="1" customWidth="1"/>
    <col min="522" max="522" width="8.42578125" style="237" bestFit="1" customWidth="1"/>
    <col min="523" max="523" width="8" style="237" bestFit="1" customWidth="1"/>
    <col min="524" max="524" width="8" style="237" customWidth="1"/>
    <col min="525" max="525" width="6.28515625" style="237" customWidth="1"/>
    <col min="526" max="526" width="3.42578125" style="237" bestFit="1" customWidth="1"/>
    <col min="527" max="527" width="4.7109375" style="237" bestFit="1" customWidth="1"/>
    <col min="528" max="528" width="4.42578125" style="237" bestFit="1" customWidth="1"/>
    <col min="529" max="529" width="6.42578125" style="237" bestFit="1" customWidth="1"/>
    <col min="530" max="530" width="7.7109375" style="237" customWidth="1"/>
    <col min="531" max="531" width="4.42578125" style="237" bestFit="1" customWidth="1"/>
    <col min="532" max="532" width="2" style="237" bestFit="1" customWidth="1"/>
    <col min="533" max="533" width="1.7109375" style="237" customWidth="1"/>
    <col min="534" max="534" width="2" style="237" bestFit="1" customWidth="1"/>
    <col min="535" max="535" width="5.42578125" style="237" bestFit="1" customWidth="1"/>
    <col min="536" max="536" width="6.140625" style="237" bestFit="1" customWidth="1"/>
    <col min="537" max="538" width="6.28515625" style="237" bestFit="1" customWidth="1"/>
    <col min="539" max="539" width="7" style="237" bestFit="1" customWidth="1"/>
    <col min="540" max="540" width="9.7109375" style="237" bestFit="1" customWidth="1"/>
    <col min="541" max="542" width="5.28515625" style="237" bestFit="1" customWidth="1"/>
    <col min="543" max="544" width="6.140625" style="237" bestFit="1" customWidth="1"/>
    <col min="545" max="545" width="5.42578125" style="237" bestFit="1" customWidth="1"/>
    <col min="546" max="546" width="6.140625" style="237" bestFit="1" customWidth="1"/>
    <col min="547" max="547" width="6.28515625" style="237" bestFit="1" customWidth="1"/>
    <col min="548" max="548" width="6.140625" style="237" customWidth="1"/>
    <col min="549" max="550" width="5.28515625" style="237" bestFit="1" customWidth="1"/>
    <col min="551" max="551" width="9.7109375" style="237" bestFit="1" customWidth="1"/>
    <col min="552" max="552" width="8.7109375" style="237" bestFit="1" customWidth="1"/>
    <col min="553" max="553" width="10.7109375" style="237" bestFit="1" customWidth="1"/>
    <col min="554" max="554" width="12.42578125" style="237" bestFit="1" customWidth="1"/>
    <col min="555" max="555" width="8.42578125" style="237" bestFit="1" customWidth="1"/>
    <col min="556" max="556" width="9.42578125" style="237" customWidth="1"/>
    <col min="557" max="768" width="9.140625" style="237"/>
    <col min="769" max="769" width="3.7109375" style="237" bestFit="1" customWidth="1"/>
    <col min="770" max="770" width="17.7109375" style="237" customWidth="1"/>
    <col min="771" max="771" width="26.42578125" style="237" customWidth="1"/>
    <col min="772" max="772" width="13.42578125" style="237" customWidth="1"/>
    <col min="773" max="773" width="8.42578125" style="237" bestFit="1" customWidth="1"/>
    <col min="774" max="774" width="9.140625" style="237" customWidth="1"/>
    <col min="775" max="775" width="5" style="237" bestFit="1" customWidth="1"/>
    <col min="776" max="776" width="7.7109375" style="237" bestFit="1" customWidth="1"/>
    <col min="777" max="777" width="7" style="237" bestFit="1" customWidth="1"/>
    <col min="778" max="778" width="8.42578125" style="237" bestFit="1" customWidth="1"/>
    <col min="779" max="779" width="8" style="237" bestFit="1" customWidth="1"/>
    <col min="780" max="780" width="8" style="237" customWidth="1"/>
    <col min="781" max="781" width="6.28515625" style="237" customWidth="1"/>
    <col min="782" max="782" width="3.42578125" style="237" bestFit="1" customWidth="1"/>
    <col min="783" max="783" width="4.7109375" style="237" bestFit="1" customWidth="1"/>
    <col min="784" max="784" width="4.42578125" style="237" bestFit="1" customWidth="1"/>
    <col min="785" max="785" width="6.42578125" style="237" bestFit="1" customWidth="1"/>
    <col min="786" max="786" width="7.7109375" style="237" customWidth="1"/>
    <col min="787" max="787" width="4.42578125" style="237" bestFit="1" customWidth="1"/>
    <col min="788" max="788" width="2" style="237" bestFit="1" customWidth="1"/>
    <col min="789" max="789" width="1.7109375" style="237" customWidth="1"/>
    <col min="790" max="790" width="2" style="237" bestFit="1" customWidth="1"/>
    <col min="791" max="791" width="5.42578125" style="237" bestFit="1" customWidth="1"/>
    <col min="792" max="792" width="6.140625" style="237" bestFit="1" customWidth="1"/>
    <col min="793" max="794" width="6.28515625" style="237" bestFit="1" customWidth="1"/>
    <col min="795" max="795" width="7" style="237" bestFit="1" customWidth="1"/>
    <col min="796" max="796" width="9.7109375" style="237" bestFit="1" customWidth="1"/>
    <col min="797" max="798" width="5.28515625" style="237" bestFit="1" customWidth="1"/>
    <col min="799" max="800" width="6.140625" style="237" bestFit="1" customWidth="1"/>
    <col min="801" max="801" width="5.42578125" style="237" bestFit="1" customWidth="1"/>
    <col min="802" max="802" width="6.140625" style="237" bestFit="1" customWidth="1"/>
    <col min="803" max="803" width="6.28515625" style="237" bestFit="1" customWidth="1"/>
    <col min="804" max="804" width="6.140625" style="237" customWidth="1"/>
    <col min="805" max="806" width="5.28515625" style="237" bestFit="1" customWidth="1"/>
    <col min="807" max="807" width="9.7109375" style="237" bestFit="1" customWidth="1"/>
    <col min="808" max="808" width="8.7109375" style="237" bestFit="1" customWidth="1"/>
    <col min="809" max="809" width="10.7109375" style="237" bestFit="1" customWidth="1"/>
    <col min="810" max="810" width="12.42578125" style="237" bestFit="1" customWidth="1"/>
    <col min="811" max="811" width="8.42578125" style="237" bestFit="1" customWidth="1"/>
    <col min="812" max="812" width="9.42578125" style="237" customWidth="1"/>
    <col min="813" max="1024" width="9.140625" style="237"/>
    <col min="1025" max="1025" width="3.7109375" style="237" bestFit="1" customWidth="1"/>
    <col min="1026" max="1026" width="17.7109375" style="237" customWidth="1"/>
    <col min="1027" max="1027" width="26.42578125" style="237" customWidth="1"/>
    <col min="1028" max="1028" width="13.42578125" style="237" customWidth="1"/>
    <col min="1029" max="1029" width="8.42578125" style="237" bestFit="1" customWidth="1"/>
    <col min="1030" max="1030" width="9.140625" style="237" customWidth="1"/>
    <col min="1031" max="1031" width="5" style="237" bestFit="1" customWidth="1"/>
    <col min="1032" max="1032" width="7.7109375" style="237" bestFit="1" customWidth="1"/>
    <col min="1033" max="1033" width="7" style="237" bestFit="1" customWidth="1"/>
    <col min="1034" max="1034" width="8.42578125" style="237" bestFit="1" customWidth="1"/>
    <col min="1035" max="1035" width="8" style="237" bestFit="1" customWidth="1"/>
    <col min="1036" max="1036" width="8" style="237" customWidth="1"/>
    <col min="1037" max="1037" width="6.28515625" style="237" customWidth="1"/>
    <col min="1038" max="1038" width="3.42578125" style="237" bestFit="1" customWidth="1"/>
    <col min="1039" max="1039" width="4.7109375" style="237" bestFit="1" customWidth="1"/>
    <col min="1040" max="1040" width="4.42578125" style="237" bestFit="1" customWidth="1"/>
    <col min="1041" max="1041" width="6.42578125" style="237" bestFit="1" customWidth="1"/>
    <col min="1042" max="1042" width="7.7109375" style="237" customWidth="1"/>
    <col min="1043" max="1043" width="4.42578125" style="237" bestFit="1" customWidth="1"/>
    <col min="1044" max="1044" width="2" style="237" bestFit="1" customWidth="1"/>
    <col min="1045" max="1045" width="1.7109375" style="237" customWidth="1"/>
    <col min="1046" max="1046" width="2" style="237" bestFit="1" customWidth="1"/>
    <col min="1047" max="1047" width="5.42578125" style="237" bestFit="1" customWidth="1"/>
    <col min="1048" max="1048" width="6.140625" style="237" bestFit="1" customWidth="1"/>
    <col min="1049" max="1050" width="6.28515625" style="237" bestFit="1" customWidth="1"/>
    <col min="1051" max="1051" width="7" style="237" bestFit="1" customWidth="1"/>
    <col min="1052" max="1052" width="9.7109375" style="237" bestFit="1" customWidth="1"/>
    <col min="1053" max="1054" width="5.28515625" style="237" bestFit="1" customWidth="1"/>
    <col min="1055" max="1056" width="6.140625" style="237" bestFit="1" customWidth="1"/>
    <col min="1057" max="1057" width="5.42578125" style="237" bestFit="1" customWidth="1"/>
    <col min="1058" max="1058" width="6.140625" style="237" bestFit="1" customWidth="1"/>
    <col min="1059" max="1059" width="6.28515625" style="237" bestFit="1" customWidth="1"/>
    <col min="1060" max="1060" width="6.140625" style="237" customWidth="1"/>
    <col min="1061" max="1062" width="5.28515625" style="237" bestFit="1" customWidth="1"/>
    <col min="1063" max="1063" width="9.7109375" style="237" bestFit="1" customWidth="1"/>
    <col min="1064" max="1064" width="8.7109375" style="237" bestFit="1" customWidth="1"/>
    <col min="1065" max="1065" width="10.7109375" style="237" bestFit="1" customWidth="1"/>
    <col min="1066" max="1066" width="12.42578125" style="237" bestFit="1" customWidth="1"/>
    <col min="1067" max="1067" width="8.42578125" style="237" bestFit="1" customWidth="1"/>
    <col min="1068" max="1068" width="9.42578125" style="237" customWidth="1"/>
    <col min="1069" max="1280" width="9.140625" style="237"/>
    <col min="1281" max="1281" width="3.7109375" style="237" bestFit="1" customWidth="1"/>
    <col min="1282" max="1282" width="17.7109375" style="237" customWidth="1"/>
    <col min="1283" max="1283" width="26.42578125" style="237" customWidth="1"/>
    <col min="1284" max="1284" width="13.42578125" style="237" customWidth="1"/>
    <col min="1285" max="1285" width="8.42578125" style="237" bestFit="1" customWidth="1"/>
    <col min="1286" max="1286" width="9.140625" style="237" customWidth="1"/>
    <col min="1287" max="1287" width="5" style="237" bestFit="1" customWidth="1"/>
    <col min="1288" max="1288" width="7.7109375" style="237" bestFit="1" customWidth="1"/>
    <col min="1289" max="1289" width="7" style="237" bestFit="1" customWidth="1"/>
    <col min="1290" max="1290" width="8.42578125" style="237" bestFit="1" customWidth="1"/>
    <col min="1291" max="1291" width="8" style="237" bestFit="1" customWidth="1"/>
    <col min="1292" max="1292" width="8" style="237" customWidth="1"/>
    <col min="1293" max="1293" width="6.28515625" style="237" customWidth="1"/>
    <col min="1294" max="1294" width="3.42578125" style="237" bestFit="1" customWidth="1"/>
    <col min="1295" max="1295" width="4.7109375" style="237" bestFit="1" customWidth="1"/>
    <col min="1296" max="1296" width="4.42578125" style="237" bestFit="1" customWidth="1"/>
    <col min="1297" max="1297" width="6.42578125" style="237" bestFit="1" customWidth="1"/>
    <col min="1298" max="1298" width="7.7109375" style="237" customWidth="1"/>
    <col min="1299" max="1299" width="4.42578125" style="237" bestFit="1" customWidth="1"/>
    <col min="1300" max="1300" width="2" style="237" bestFit="1" customWidth="1"/>
    <col min="1301" max="1301" width="1.7109375" style="237" customWidth="1"/>
    <col min="1302" max="1302" width="2" style="237" bestFit="1" customWidth="1"/>
    <col min="1303" max="1303" width="5.42578125" style="237" bestFit="1" customWidth="1"/>
    <col min="1304" max="1304" width="6.140625" style="237" bestFit="1" customWidth="1"/>
    <col min="1305" max="1306" width="6.28515625" style="237" bestFit="1" customWidth="1"/>
    <col min="1307" max="1307" width="7" style="237" bestFit="1" customWidth="1"/>
    <col min="1308" max="1308" width="9.7109375" style="237" bestFit="1" customWidth="1"/>
    <col min="1309" max="1310" width="5.28515625" style="237" bestFit="1" customWidth="1"/>
    <col min="1311" max="1312" width="6.140625" style="237" bestFit="1" customWidth="1"/>
    <col min="1313" max="1313" width="5.42578125" style="237" bestFit="1" customWidth="1"/>
    <col min="1314" max="1314" width="6.140625" style="237" bestFit="1" customWidth="1"/>
    <col min="1315" max="1315" width="6.28515625" style="237" bestFit="1" customWidth="1"/>
    <col min="1316" max="1316" width="6.140625" style="237" customWidth="1"/>
    <col min="1317" max="1318" width="5.28515625" style="237" bestFit="1" customWidth="1"/>
    <col min="1319" max="1319" width="9.7109375" style="237" bestFit="1" customWidth="1"/>
    <col min="1320" max="1320" width="8.7109375" style="237" bestFit="1" customWidth="1"/>
    <col min="1321" max="1321" width="10.7109375" style="237" bestFit="1" customWidth="1"/>
    <col min="1322" max="1322" width="12.42578125" style="237" bestFit="1" customWidth="1"/>
    <col min="1323" max="1323" width="8.42578125" style="237" bestFit="1" customWidth="1"/>
    <col min="1324" max="1324" width="9.42578125" style="237" customWidth="1"/>
    <col min="1325" max="1536" width="9.140625" style="237"/>
    <col min="1537" max="1537" width="3.7109375" style="237" bestFit="1" customWidth="1"/>
    <col min="1538" max="1538" width="17.7109375" style="237" customWidth="1"/>
    <col min="1539" max="1539" width="26.42578125" style="237" customWidth="1"/>
    <col min="1540" max="1540" width="13.42578125" style="237" customWidth="1"/>
    <col min="1541" max="1541" width="8.42578125" style="237" bestFit="1" customWidth="1"/>
    <col min="1542" max="1542" width="9.140625" style="237" customWidth="1"/>
    <col min="1543" max="1543" width="5" style="237" bestFit="1" customWidth="1"/>
    <col min="1544" max="1544" width="7.7109375" style="237" bestFit="1" customWidth="1"/>
    <col min="1545" max="1545" width="7" style="237" bestFit="1" customWidth="1"/>
    <col min="1546" max="1546" width="8.42578125" style="237" bestFit="1" customWidth="1"/>
    <col min="1547" max="1547" width="8" style="237" bestFit="1" customWidth="1"/>
    <col min="1548" max="1548" width="8" style="237" customWidth="1"/>
    <col min="1549" max="1549" width="6.28515625" style="237" customWidth="1"/>
    <col min="1550" max="1550" width="3.42578125" style="237" bestFit="1" customWidth="1"/>
    <col min="1551" max="1551" width="4.7109375" style="237" bestFit="1" customWidth="1"/>
    <col min="1552" max="1552" width="4.42578125" style="237" bestFit="1" customWidth="1"/>
    <col min="1553" max="1553" width="6.42578125" style="237" bestFit="1" customWidth="1"/>
    <col min="1554" max="1554" width="7.7109375" style="237" customWidth="1"/>
    <col min="1555" max="1555" width="4.42578125" style="237" bestFit="1" customWidth="1"/>
    <col min="1556" max="1556" width="2" style="237" bestFit="1" customWidth="1"/>
    <col min="1557" max="1557" width="1.7109375" style="237" customWidth="1"/>
    <col min="1558" max="1558" width="2" style="237" bestFit="1" customWidth="1"/>
    <col min="1559" max="1559" width="5.42578125" style="237" bestFit="1" customWidth="1"/>
    <col min="1560" max="1560" width="6.140625" style="237" bestFit="1" customWidth="1"/>
    <col min="1561" max="1562" width="6.28515625" style="237" bestFit="1" customWidth="1"/>
    <col min="1563" max="1563" width="7" style="237" bestFit="1" customWidth="1"/>
    <col min="1564" max="1564" width="9.7109375" style="237" bestFit="1" customWidth="1"/>
    <col min="1565" max="1566" width="5.28515625" style="237" bestFit="1" customWidth="1"/>
    <col min="1567" max="1568" width="6.140625" style="237" bestFit="1" customWidth="1"/>
    <col min="1569" max="1569" width="5.42578125" style="237" bestFit="1" customWidth="1"/>
    <col min="1570" max="1570" width="6.140625" style="237" bestFit="1" customWidth="1"/>
    <col min="1571" max="1571" width="6.28515625" style="237" bestFit="1" customWidth="1"/>
    <col min="1572" max="1572" width="6.140625" style="237" customWidth="1"/>
    <col min="1573" max="1574" width="5.28515625" style="237" bestFit="1" customWidth="1"/>
    <col min="1575" max="1575" width="9.7109375" style="237" bestFit="1" customWidth="1"/>
    <col min="1576" max="1576" width="8.7109375" style="237" bestFit="1" customWidth="1"/>
    <col min="1577" max="1577" width="10.7109375" style="237" bestFit="1" customWidth="1"/>
    <col min="1578" max="1578" width="12.42578125" style="237" bestFit="1" customWidth="1"/>
    <col min="1579" max="1579" width="8.42578125" style="237" bestFit="1" customWidth="1"/>
    <col min="1580" max="1580" width="9.42578125" style="237" customWidth="1"/>
    <col min="1581" max="1792" width="9.140625" style="237"/>
    <col min="1793" max="1793" width="3.7109375" style="237" bestFit="1" customWidth="1"/>
    <col min="1794" max="1794" width="17.7109375" style="237" customWidth="1"/>
    <col min="1795" max="1795" width="26.42578125" style="237" customWidth="1"/>
    <col min="1796" max="1796" width="13.42578125" style="237" customWidth="1"/>
    <col min="1797" max="1797" width="8.42578125" style="237" bestFit="1" customWidth="1"/>
    <col min="1798" max="1798" width="9.140625" style="237" customWidth="1"/>
    <col min="1799" max="1799" width="5" style="237" bestFit="1" customWidth="1"/>
    <col min="1800" max="1800" width="7.7109375" style="237" bestFit="1" customWidth="1"/>
    <col min="1801" max="1801" width="7" style="237" bestFit="1" customWidth="1"/>
    <col min="1802" max="1802" width="8.42578125" style="237" bestFit="1" customWidth="1"/>
    <col min="1803" max="1803" width="8" style="237" bestFit="1" customWidth="1"/>
    <col min="1804" max="1804" width="8" style="237" customWidth="1"/>
    <col min="1805" max="1805" width="6.28515625" style="237" customWidth="1"/>
    <col min="1806" max="1806" width="3.42578125" style="237" bestFit="1" customWidth="1"/>
    <col min="1807" max="1807" width="4.7109375" style="237" bestFit="1" customWidth="1"/>
    <col min="1808" max="1808" width="4.42578125" style="237" bestFit="1" customWidth="1"/>
    <col min="1809" max="1809" width="6.42578125" style="237" bestFit="1" customWidth="1"/>
    <col min="1810" max="1810" width="7.7109375" style="237" customWidth="1"/>
    <col min="1811" max="1811" width="4.42578125" style="237" bestFit="1" customWidth="1"/>
    <col min="1812" max="1812" width="2" style="237" bestFit="1" customWidth="1"/>
    <col min="1813" max="1813" width="1.7109375" style="237" customWidth="1"/>
    <col min="1814" max="1814" width="2" style="237" bestFit="1" customWidth="1"/>
    <col min="1815" max="1815" width="5.42578125" style="237" bestFit="1" customWidth="1"/>
    <col min="1816" max="1816" width="6.140625" style="237" bestFit="1" customWidth="1"/>
    <col min="1817" max="1818" width="6.28515625" style="237" bestFit="1" customWidth="1"/>
    <col min="1819" max="1819" width="7" style="237" bestFit="1" customWidth="1"/>
    <col min="1820" max="1820" width="9.7109375" style="237" bestFit="1" customWidth="1"/>
    <col min="1821" max="1822" width="5.28515625" style="237" bestFit="1" customWidth="1"/>
    <col min="1823" max="1824" width="6.140625" style="237" bestFit="1" customWidth="1"/>
    <col min="1825" max="1825" width="5.42578125" style="237" bestFit="1" customWidth="1"/>
    <col min="1826" max="1826" width="6.140625" style="237" bestFit="1" customWidth="1"/>
    <col min="1827" max="1827" width="6.28515625" style="237" bestFit="1" customWidth="1"/>
    <col min="1828" max="1828" width="6.140625" style="237" customWidth="1"/>
    <col min="1829" max="1830" width="5.28515625" style="237" bestFit="1" customWidth="1"/>
    <col min="1831" max="1831" width="9.7109375" style="237" bestFit="1" customWidth="1"/>
    <col min="1832" max="1832" width="8.7109375" style="237" bestFit="1" customWidth="1"/>
    <col min="1833" max="1833" width="10.7109375" style="237" bestFit="1" customWidth="1"/>
    <col min="1834" max="1834" width="12.42578125" style="237" bestFit="1" customWidth="1"/>
    <col min="1835" max="1835" width="8.42578125" style="237" bestFit="1" customWidth="1"/>
    <col min="1836" max="1836" width="9.42578125" style="237" customWidth="1"/>
    <col min="1837" max="2048" width="9.140625" style="237"/>
    <col min="2049" max="2049" width="3.7109375" style="237" bestFit="1" customWidth="1"/>
    <col min="2050" max="2050" width="17.7109375" style="237" customWidth="1"/>
    <col min="2051" max="2051" width="26.42578125" style="237" customWidth="1"/>
    <col min="2052" max="2052" width="13.42578125" style="237" customWidth="1"/>
    <col min="2053" max="2053" width="8.42578125" style="237" bestFit="1" customWidth="1"/>
    <col min="2054" max="2054" width="9.140625" style="237" customWidth="1"/>
    <col min="2055" max="2055" width="5" style="237" bestFit="1" customWidth="1"/>
    <col min="2056" max="2056" width="7.7109375" style="237" bestFit="1" customWidth="1"/>
    <col min="2057" max="2057" width="7" style="237" bestFit="1" customWidth="1"/>
    <col min="2058" max="2058" width="8.42578125" style="237" bestFit="1" customWidth="1"/>
    <col min="2059" max="2059" width="8" style="237" bestFit="1" customWidth="1"/>
    <col min="2060" max="2060" width="8" style="237" customWidth="1"/>
    <col min="2061" max="2061" width="6.28515625" style="237" customWidth="1"/>
    <col min="2062" max="2062" width="3.42578125" style="237" bestFit="1" customWidth="1"/>
    <col min="2063" max="2063" width="4.7109375" style="237" bestFit="1" customWidth="1"/>
    <col min="2064" max="2064" width="4.42578125" style="237" bestFit="1" customWidth="1"/>
    <col min="2065" max="2065" width="6.42578125" style="237" bestFit="1" customWidth="1"/>
    <col min="2066" max="2066" width="7.7109375" style="237" customWidth="1"/>
    <col min="2067" max="2067" width="4.42578125" style="237" bestFit="1" customWidth="1"/>
    <col min="2068" max="2068" width="2" style="237" bestFit="1" customWidth="1"/>
    <col min="2069" max="2069" width="1.7109375" style="237" customWidth="1"/>
    <col min="2070" max="2070" width="2" style="237" bestFit="1" customWidth="1"/>
    <col min="2071" max="2071" width="5.42578125" style="237" bestFit="1" customWidth="1"/>
    <col min="2072" max="2072" width="6.140625" style="237" bestFit="1" customWidth="1"/>
    <col min="2073" max="2074" width="6.28515625" style="237" bestFit="1" customWidth="1"/>
    <col min="2075" max="2075" width="7" style="237" bestFit="1" customWidth="1"/>
    <col min="2076" max="2076" width="9.7109375" style="237" bestFit="1" customWidth="1"/>
    <col min="2077" max="2078" width="5.28515625" style="237" bestFit="1" customWidth="1"/>
    <col min="2079" max="2080" width="6.140625" style="237" bestFit="1" customWidth="1"/>
    <col min="2081" max="2081" width="5.42578125" style="237" bestFit="1" customWidth="1"/>
    <col min="2082" max="2082" width="6.140625" style="237" bestFit="1" customWidth="1"/>
    <col min="2083" max="2083" width="6.28515625" style="237" bestFit="1" customWidth="1"/>
    <col min="2084" max="2084" width="6.140625" style="237" customWidth="1"/>
    <col min="2085" max="2086" width="5.28515625" style="237" bestFit="1" customWidth="1"/>
    <col min="2087" max="2087" width="9.7109375" style="237" bestFit="1" customWidth="1"/>
    <col min="2088" max="2088" width="8.7109375" style="237" bestFit="1" customWidth="1"/>
    <col min="2089" max="2089" width="10.7109375" style="237" bestFit="1" customWidth="1"/>
    <col min="2090" max="2090" width="12.42578125" style="237" bestFit="1" customWidth="1"/>
    <col min="2091" max="2091" width="8.42578125" style="237" bestFit="1" customWidth="1"/>
    <col min="2092" max="2092" width="9.42578125" style="237" customWidth="1"/>
    <col min="2093" max="2304" width="9.140625" style="237"/>
    <col min="2305" max="2305" width="3.7109375" style="237" bestFit="1" customWidth="1"/>
    <col min="2306" max="2306" width="17.7109375" style="237" customWidth="1"/>
    <col min="2307" max="2307" width="26.42578125" style="237" customWidth="1"/>
    <col min="2308" max="2308" width="13.42578125" style="237" customWidth="1"/>
    <col min="2309" max="2309" width="8.42578125" style="237" bestFit="1" customWidth="1"/>
    <col min="2310" max="2310" width="9.140625" style="237" customWidth="1"/>
    <col min="2311" max="2311" width="5" style="237" bestFit="1" customWidth="1"/>
    <col min="2312" max="2312" width="7.7109375" style="237" bestFit="1" customWidth="1"/>
    <col min="2313" max="2313" width="7" style="237" bestFit="1" customWidth="1"/>
    <col min="2314" max="2314" width="8.42578125" style="237" bestFit="1" customWidth="1"/>
    <col min="2315" max="2315" width="8" style="237" bestFit="1" customWidth="1"/>
    <col min="2316" max="2316" width="8" style="237" customWidth="1"/>
    <col min="2317" max="2317" width="6.28515625" style="237" customWidth="1"/>
    <col min="2318" max="2318" width="3.42578125" style="237" bestFit="1" customWidth="1"/>
    <col min="2319" max="2319" width="4.7109375" style="237" bestFit="1" customWidth="1"/>
    <col min="2320" max="2320" width="4.42578125" style="237" bestFit="1" customWidth="1"/>
    <col min="2321" max="2321" width="6.42578125" style="237" bestFit="1" customWidth="1"/>
    <col min="2322" max="2322" width="7.7109375" style="237" customWidth="1"/>
    <col min="2323" max="2323" width="4.42578125" style="237" bestFit="1" customWidth="1"/>
    <col min="2324" max="2324" width="2" style="237" bestFit="1" customWidth="1"/>
    <col min="2325" max="2325" width="1.7109375" style="237" customWidth="1"/>
    <col min="2326" max="2326" width="2" style="237" bestFit="1" customWidth="1"/>
    <col min="2327" max="2327" width="5.42578125" style="237" bestFit="1" customWidth="1"/>
    <col min="2328" max="2328" width="6.140625" style="237" bestFit="1" customWidth="1"/>
    <col min="2329" max="2330" width="6.28515625" style="237" bestFit="1" customWidth="1"/>
    <col min="2331" max="2331" width="7" style="237" bestFit="1" customWidth="1"/>
    <col min="2332" max="2332" width="9.7109375" style="237" bestFit="1" customWidth="1"/>
    <col min="2333" max="2334" width="5.28515625" style="237" bestFit="1" customWidth="1"/>
    <col min="2335" max="2336" width="6.140625" style="237" bestFit="1" customWidth="1"/>
    <col min="2337" max="2337" width="5.42578125" style="237" bestFit="1" customWidth="1"/>
    <col min="2338" max="2338" width="6.140625" style="237" bestFit="1" customWidth="1"/>
    <col min="2339" max="2339" width="6.28515625" style="237" bestFit="1" customWidth="1"/>
    <col min="2340" max="2340" width="6.140625" style="237" customWidth="1"/>
    <col min="2341" max="2342" width="5.28515625" style="237" bestFit="1" customWidth="1"/>
    <col min="2343" max="2343" width="9.7109375" style="237" bestFit="1" customWidth="1"/>
    <col min="2344" max="2344" width="8.7109375" style="237" bestFit="1" customWidth="1"/>
    <col min="2345" max="2345" width="10.7109375" style="237" bestFit="1" customWidth="1"/>
    <col min="2346" max="2346" width="12.42578125" style="237" bestFit="1" customWidth="1"/>
    <col min="2347" max="2347" width="8.42578125" style="237" bestFit="1" customWidth="1"/>
    <col min="2348" max="2348" width="9.42578125" style="237" customWidth="1"/>
    <col min="2349" max="2560" width="9.140625" style="237"/>
    <col min="2561" max="2561" width="3.7109375" style="237" bestFit="1" customWidth="1"/>
    <col min="2562" max="2562" width="17.7109375" style="237" customWidth="1"/>
    <col min="2563" max="2563" width="26.42578125" style="237" customWidth="1"/>
    <col min="2564" max="2564" width="13.42578125" style="237" customWidth="1"/>
    <col min="2565" max="2565" width="8.42578125" style="237" bestFit="1" customWidth="1"/>
    <col min="2566" max="2566" width="9.140625" style="237" customWidth="1"/>
    <col min="2567" max="2567" width="5" style="237" bestFit="1" customWidth="1"/>
    <col min="2568" max="2568" width="7.7109375" style="237" bestFit="1" customWidth="1"/>
    <col min="2569" max="2569" width="7" style="237" bestFit="1" customWidth="1"/>
    <col min="2570" max="2570" width="8.42578125" style="237" bestFit="1" customWidth="1"/>
    <col min="2571" max="2571" width="8" style="237" bestFit="1" customWidth="1"/>
    <col min="2572" max="2572" width="8" style="237" customWidth="1"/>
    <col min="2573" max="2573" width="6.28515625" style="237" customWidth="1"/>
    <col min="2574" max="2574" width="3.42578125" style="237" bestFit="1" customWidth="1"/>
    <col min="2575" max="2575" width="4.7109375" style="237" bestFit="1" customWidth="1"/>
    <col min="2576" max="2576" width="4.42578125" style="237" bestFit="1" customWidth="1"/>
    <col min="2577" max="2577" width="6.42578125" style="237" bestFit="1" customWidth="1"/>
    <col min="2578" max="2578" width="7.7109375" style="237" customWidth="1"/>
    <col min="2579" max="2579" width="4.42578125" style="237" bestFit="1" customWidth="1"/>
    <col min="2580" max="2580" width="2" style="237" bestFit="1" customWidth="1"/>
    <col min="2581" max="2581" width="1.7109375" style="237" customWidth="1"/>
    <col min="2582" max="2582" width="2" style="237" bestFit="1" customWidth="1"/>
    <col min="2583" max="2583" width="5.42578125" style="237" bestFit="1" customWidth="1"/>
    <col min="2584" max="2584" width="6.140625" style="237" bestFit="1" customWidth="1"/>
    <col min="2585" max="2586" width="6.28515625" style="237" bestFit="1" customWidth="1"/>
    <col min="2587" max="2587" width="7" style="237" bestFit="1" customWidth="1"/>
    <col min="2588" max="2588" width="9.7109375" style="237" bestFit="1" customWidth="1"/>
    <col min="2589" max="2590" width="5.28515625" style="237" bestFit="1" customWidth="1"/>
    <col min="2591" max="2592" width="6.140625" style="237" bestFit="1" customWidth="1"/>
    <col min="2593" max="2593" width="5.42578125" style="237" bestFit="1" customWidth="1"/>
    <col min="2594" max="2594" width="6.140625" style="237" bestFit="1" customWidth="1"/>
    <col min="2595" max="2595" width="6.28515625" style="237" bestFit="1" customWidth="1"/>
    <col min="2596" max="2596" width="6.140625" style="237" customWidth="1"/>
    <col min="2597" max="2598" width="5.28515625" style="237" bestFit="1" customWidth="1"/>
    <col min="2599" max="2599" width="9.7109375" style="237" bestFit="1" customWidth="1"/>
    <col min="2600" max="2600" width="8.7109375" style="237" bestFit="1" customWidth="1"/>
    <col min="2601" max="2601" width="10.7109375" style="237" bestFit="1" customWidth="1"/>
    <col min="2602" max="2602" width="12.42578125" style="237" bestFit="1" customWidth="1"/>
    <col min="2603" max="2603" width="8.42578125" style="237" bestFit="1" customWidth="1"/>
    <col min="2604" max="2604" width="9.42578125" style="237" customWidth="1"/>
    <col min="2605" max="2816" width="9.140625" style="237"/>
    <col min="2817" max="2817" width="3.7109375" style="237" bestFit="1" customWidth="1"/>
    <col min="2818" max="2818" width="17.7109375" style="237" customWidth="1"/>
    <col min="2819" max="2819" width="26.42578125" style="237" customWidth="1"/>
    <col min="2820" max="2820" width="13.42578125" style="237" customWidth="1"/>
    <col min="2821" max="2821" width="8.42578125" style="237" bestFit="1" customWidth="1"/>
    <col min="2822" max="2822" width="9.140625" style="237" customWidth="1"/>
    <col min="2823" max="2823" width="5" style="237" bestFit="1" customWidth="1"/>
    <col min="2824" max="2824" width="7.7109375" style="237" bestFit="1" customWidth="1"/>
    <col min="2825" max="2825" width="7" style="237" bestFit="1" customWidth="1"/>
    <col min="2826" max="2826" width="8.42578125" style="237" bestFit="1" customWidth="1"/>
    <col min="2827" max="2827" width="8" style="237" bestFit="1" customWidth="1"/>
    <col min="2828" max="2828" width="8" style="237" customWidth="1"/>
    <col min="2829" max="2829" width="6.28515625" style="237" customWidth="1"/>
    <col min="2830" max="2830" width="3.42578125" style="237" bestFit="1" customWidth="1"/>
    <col min="2831" max="2831" width="4.7109375" style="237" bestFit="1" customWidth="1"/>
    <col min="2832" max="2832" width="4.42578125" style="237" bestFit="1" customWidth="1"/>
    <col min="2833" max="2833" width="6.42578125" style="237" bestFit="1" customWidth="1"/>
    <col min="2834" max="2834" width="7.7109375" style="237" customWidth="1"/>
    <col min="2835" max="2835" width="4.42578125" style="237" bestFit="1" customWidth="1"/>
    <col min="2836" max="2836" width="2" style="237" bestFit="1" customWidth="1"/>
    <col min="2837" max="2837" width="1.7109375" style="237" customWidth="1"/>
    <col min="2838" max="2838" width="2" style="237" bestFit="1" customWidth="1"/>
    <col min="2839" max="2839" width="5.42578125" style="237" bestFit="1" customWidth="1"/>
    <col min="2840" max="2840" width="6.140625" style="237" bestFit="1" customWidth="1"/>
    <col min="2841" max="2842" width="6.28515625" style="237" bestFit="1" customWidth="1"/>
    <col min="2843" max="2843" width="7" style="237" bestFit="1" customWidth="1"/>
    <col min="2844" max="2844" width="9.7109375" style="237" bestFit="1" customWidth="1"/>
    <col min="2845" max="2846" width="5.28515625" style="237" bestFit="1" customWidth="1"/>
    <col min="2847" max="2848" width="6.140625" style="237" bestFit="1" customWidth="1"/>
    <col min="2849" max="2849" width="5.42578125" style="237" bestFit="1" customWidth="1"/>
    <col min="2850" max="2850" width="6.140625" style="237" bestFit="1" customWidth="1"/>
    <col min="2851" max="2851" width="6.28515625" style="237" bestFit="1" customWidth="1"/>
    <col min="2852" max="2852" width="6.140625" style="237" customWidth="1"/>
    <col min="2853" max="2854" width="5.28515625" style="237" bestFit="1" customWidth="1"/>
    <col min="2855" max="2855" width="9.7109375" style="237" bestFit="1" customWidth="1"/>
    <col min="2856" max="2856" width="8.7109375" style="237" bestFit="1" customWidth="1"/>
    <col min="2857" max="2857" width="10.7109375" style="237" bestFit="1" customWidth="1"/>
    <col min="2858" max="2858" width="12.42578125" style="237" bestFit="1" customWidth="1"/>
    <col min="2859" max="2859" width="8.42578125" style="237" bestFit="1" customWidth="1"/>
    <col min="2860" max="2860" width="9.42578125" style="237" customWidth="1"/>
    <col min="2861" max="3072" width="9.140625" style="237"/>
    <col min="3073" max="3073" width="3.7109375" style="237" bestFit="1" customWidth="1"/>
    <col min="3074" max="3074" width="17.7109375" style="237" customWidth="1"/>
    <col min="3075" max="3075" width="26.42578125" style="237" customWidth="1"/>
    <col min="3076" max="3076" width="13.42578125" style="237" customWidth="1"/>
    <col min="3077" max="3077" width="8.42578125" style="237" bestFit="1" customWidth="1"/>
    <col min="3078" max="3078" width="9.140625" style="237" customWidth="1"/>
    <col min="3079" max="3079" width="5" style="237" bestFit="1" customWidth="1"/>
    <col min="3080" max="3080" width="7.7109375" style="237" bestFit="1" customWidth="1"/>
    <col min="3081" max="3081" width="7" style="237" bestFit="1" customWidth="1"/>
    <col min="3082" max="3082" width="8.42578125" style="237" bestFit="1" customWidth="1"/>
    <col min="3083" max="3083" width="8" style="237" bestFit="1" customWidth="1"/>
    <col min="3084" max="3084" width="8" style="237" customWidth="1"/>
    <col min="3085" max="3085" width="6.28515625" style="237" customWidth="1"/>
    <col min="3086" max="3086" width="3.42578125" style="237" bestFit="1" customWidth="1"/>
    <col min="3087" max="3087" width="4.7109375" style="237" bestFit="1" customWidth="1"/>
    <col min="3088" max="3088" width="4.42578125" style="237" bestFit="1" customWidth="1"/>
    <col min="3089" max="3089" width="6.42578125" style="237" bestFit="1" customWidth="1"/>
    <col min="3090" max="3090" width="7.7109375" style="237" customWidth="1"/>
    <col min="3091" max="3091" width="4.42578125" style="237" bestFit="1" customWidth="1"/>
    <col min="3092" max="3092" width="2" style="237" bestFit="1" customWidth="1"/>
    <col min="3093" max="3093" width="1.7109375" style="237" customWidth="1"/>
    <col min="3094" max="3094" width="2" style="237" bestFit="1" customWidth="1"/>
    <col min="3095" max="3095" width="5.42578125" style="237" bestFit="1" customWidth="1"/>
    <col min="3096" max="3096" width="6.140625" style="237" bestFit="1" customWidth="1"/>
    <col min="3097" max="3098" width="6.28515625" style="237" bestFit="1" customWidth="1"/>
    <col min="3099" max="3099" width="7" style="237" bestFit="1" customWidth="1"/>
    <col min="3100" max="3100" width="9.7109375" style="237" bestFit="1" customWidth="1"/>
    <col min="3101" max="3102" width="5.28515625" style="237" bestFit="1" customWidth="1"/>
    <col min="3103" max="3104" width="6.140625" style="237" bestFit="1" customWidth="1"/>
    <col min="3105" max="3105" width="5.42578125" style="237" bestFit="1" customWidth="1"/>
    <col min="3106" max="3106" width="6.140625" style="237" bestFit="1" customWidth="1"/>
    <col min="3107" max="3107" width="6.28515625" style="237" bestFit="1" customWidth="1"/>
    <col min="3108" max="3108" width="6.140625" style="237" customWidth="1"/>
    <col min="3109" max="3110" width="5.28515625" style="237" bestFit="1" customWidth="1"/>
    <col min="3111" max="3111" width="9.7109375" style="237" bestFit="1" customWidth="1"/>
    <col min="3112" max="3112" width="8.7109375" style="237" bestFit="1" customWidth="1"/>
    <col min="3113" max="3113" width="10.7109375" style="237" bestFit="1" customWidth="1"/>
    <col min="3114" max="3114" width="12.42578125" style="237" bestFit="1" customWidth="1"/>
    <col min="3115" max="3115" width="8.42578125" style="237" bestFit="1" customWidth="1"/>
    <col min="3116" max="3116" width="9.42578125" style="237" customWidth="1"/>
    <col min="3117" max="3328" width="9.140625" style="237"/>
    <col min="3329" max="3329" width="3.7109375" style="237" bestFit="1" customWidth="1"/>
    <col min="3330" max="3330" width="17.7109375" style="237" customWidth="1"/>
    <col min="3331" max="3331" width="26.42578125" style="237" customWidth="1"/>
    <col min="3332" max="3332" width="13.42578125" style="237" customWidth="1"/>
    <col min="3333" max="3333" width="8.42578125" style="237" bestFit="1" customWidth="1"/>
    <col min="3334" max="3334" width="9.140625" style="237" customWidth="1"/>
    <col min="3335" max="3335" width="5" style="237" bestFit="1" customWidth="1"/>
    <col min="3336" max="3336" width="7.7109375" style="237" bestFit="1" customWidth="1"/>
    <col min="3337" max="3337" width="7" style="237" bestFit="1" customWidth="1"/>
    <col min="3338" max="3338" width="8.42578125" style="237" bestFit="1" customWidth="1"/>
    <col min="3339" max="3339" width="8" style="237" bestFit="1" customWidth="1"/>
    <col min="3340" max="3340" width="8" style="237" customWidth="1"/>
    <col min="3341" max="3341" width="6.28515625" style="237" customWidth="1"/>
    <col min="3342" max="3342" width="3.42578125" style="237" bestFit="1" customWidth="1"/>
    <col min="3343" max="3343" width="4.7109375" style="237" bestFit="1" customWidth="1"/>
    <col min="3344" max="3344" width="4.42578125" style="237" bestFit="1" customWidth="1"/>
    <col min="3345" max="3345" width="6.42578125" style="237" bestFit="1" customWidth="1"/>
    <col min="3346" max="3346" width="7.7109375" style="237" customWidth="1"/>
    <col min="3347" max="3347" width="4.42578125" style="237" bestFit="1" customWidth="1"/>
    <col min="3348" max="3348" width="2" style="237" bestFit="1" customWidth="1"/>
    <col min="3349" max="3349" width="1.7109375" style="237" customWidth="1"/>
    <col min="3350" max="3350" width="2" style="237" bestFit="1" customWidth="1"/>
    <col min="3351" max="3351" width="5.42578125" style="237" bestFit="1" customWidth="1"/>
    <col min="3352" max="3352" width="6.140625" style="237" bestFit="1" customWidth="1"/>
    <col min="3353" max="3354" width="6.28515625" style="237" bestFit="1" customWidth="1"/>
    <col min="3355" max="3355" width="7" style="237" bestFit="1" customWidth="1"/>
    <col min="3356" max="3356" width="9.7109375" style="237" bestFit="1" customWidth="1"/>
    <col min="3357" max="3358" width="5.28515625" style="237" bestFit="1" customWidth="1"/>
    <col min="3359" max="3360" width="6.140625" style="237" bestFit="1" customWidth="1"/>
    <col min="3361" max="3361" width="5.42578125" style="237" bestFit="1" customWidth="1"/>
    <col min="3362" max="3362" width="6.140625" style="237" bestFit="1" customWidth="1"/>
    <col min="3363" max="3363" width="6.28515625" style="237" bestFit="1" customWidth="1"/>
    <col min="3364" max="3364" width="6.140625" style="237" customWidth="1"/>
    <col min="3365" max="3366" width="5.28515625" style="237" bestFit="1" customWidth="1"/>
    <col min="3367" max="3367" width="9.7109375" style="237" bestFit="1" customWidth="1"/>
    <col min="3368" max="3368" width="8.7109375" style="237" bestFit="1" customWidth="1"/>
    <col min="3369" max="3369" width="10.7109375" style="237" bestFit="1" customWidth="1"/>
    <col min="3370" max="3370" width="12.42578125" style="237" bestFit="1" customWidth="1"/>
    <col min="3371" max="3371" width="8.42578125" style="237" bestFit="1" customWidth="1"/>
    <col min="3372" max="3372" width="9.42578125" style="237" customWidth="1"/>
    <col min="3373" max="3584" width="9.140625" style="237"/>
    <col min="3585" max="3585" width="3.7109375" style="237" bestFit="1" customWidth="1"/>
    <col min="3586" max="3586" width="17.7109375" style="237" customWidth="1"/>
    <col min="3587" max="3587" width="26.42578125" style="237" customWidth="1"/>
    <col min="3588" max="3588" width="13.42578125" style="237" customWidth="1"/>
    <col min="3589" max="3589" width="8.42578125" style="237" bestFit="1" customWidth="1"/>
    <col min="3590" max="3590" width="9.140625" style="237" customWidth="1"/>
    <col min="3591" max="3591" width="5" style="237" bestFit="1" customWidth="1"/>
    <col min="3592" max="3592" width="7.7109375" style="237" bestFit="1" customWidth="1"/>
    <col min="3593" max="3593" width="7" style="237" bestFit="1" customWidth="1"/>
    <col min="3594" max="3594" width="8.42578125" style="237" bestFit="1" customWidth="1"/>
    <col min="3595" max="3595" width="8" style="237" bestFit="1" customWidth="1"/>
    <col min="3596" max="3596" width="8" style="237" customWidth="1"/>
    <col min="3597" max="3597" width="6.28515625" style="237" customWidth="1"/>
    <col min="3598" max="3598" width="3.42578125" style="237" bestFit="1" customWidth="1"/>
    <col min="3599" max="3599" width="4.7109375" style="237" bestFit="1" customWidth="1"/>
    <col min="3600" max="3600" width="4.42578125" style="237" bestFit="1" customWidth="1"/>
    <col min="3601" max="3601" width="6.42578125" style="237" bestFit="1" customWidth="1"/>
    <col min="3602" max="3602" width="7.7109375" style="237" customWidth="1"/>
    <col min="3603" max="3603" width="4.42578125" style="237" bestFit="1" customWidth="1"/>
    <col min="3604" max="3604" width="2" style="237" bestFit="1" customWidth="1"/>
    <col min="3605" max="3605" width="1.7109375" style="237" customWidth="1"/>
    <col min="3606" max="3606" width="2" style="237" bestFit="1" customWidth="1"/>
    <col min="3607" max="3607" width="5.42578125" style="237" bestFit="1" customWidth="1"/>
    <col min="3608" max="3608" width="6.140625" style="237" bestFit="1" customWidth="1"/>
    <col min="3609" max="3610" width="6.28515625" style="237" bestFit="1" customWidth="1"/>
    <col min="3611" max="3611" width="7" style="237" bestFit="1" customWidth="1"/>
    <col min="3612" max="3612" width="9.7109375" style="237" bestFit="1" customWidth="1"/>
    <col min="3613" max="3614" width="5.28515625" style="237" bestFit="1" customWidth="1"/>
    <col min="3615" max="3616" width="6.140625" style="237" bestFit="1" customWidth="1"/>
    <col min="3617" max="3617" width="5.42578125" style="237" bestFit="1" customWidth="1"/>
    <col min="3618" max="3618" width="6.140625" style="237" bestFit="1" customWidth="1"/>
    <col min="3619" max="3619" width="6.28515625" style="237" bestFit="1" customWidth="1"/>
    <col min="3620" max="3620" width="6.140625" style="237" customWidth="1"/>
    <col min="3621" max="3622" width="5.28515625" style="237" bestFit="1" customWidth="1"/>
    <col min="3623" max="3623" width="9.7109375" style="237" bestFit="1" customWidth="1"/>
    <col min="3624" max="3624" width="8.7109375" style="237" bestFit="1" customWidth="1"/>
    <col min="3625" max="3625" width="10.7109375" style="237" bestFit="1" customWidth="1"/>
    <col min="3626" max="3626" width="12.42578125" style="237" bestFit="1" customWidth="1"/>
    <col min="3627" max="3627" width="8.42578125" style="237" bestFit="1" customWidth="1"/>
    <col min="3628" max="3628" width="9.42578125" style="237" customWidth="1"/>
    <col min="3629" max="3840" width="9.140625" style="237"/>
    <col min="3841" max="3841" width="3.7109375" style="237" bestFit="1" customWidth="1"/>
    <col min="3842" max="3842" width="17.7109375" style="237" customWidth="1"/>
    <col min="3843" max="3843" width="26.42578125" style="237" customWidth="1"/>
    <col min="3844" max="3844" width="13.42578125" style="237" customWidth="1"/>
    <col min="3845" max="3845" width="8.42578125" style="237" bestFit="1" customWidth="1"/>
    <col min="3846" max="3846" width="9.140625" style="237" customWidth="1"/>
    <col min="3847" max="3847" width="5" style="237" bestFit="1" customWidth="1"/>
    <col min="3848" max="3848" width="7.7109375" style="237" bestFit="1" customWidth="1"/>
    <col min="3849" max="3849" width="7" style="237" bestFit="1" customWidth="1"/>
    <col min="3850" max="3850" width="8.42578125" style="237" bestFit="1" customWidth="1"/>
    <col min="3851" max="3851" width="8" style="237" bestFit="1" customWidth="1"/>
    <col min="3852" max="3852" width="8" style="237" customWidth="1"/>
    <col min="3853" max="3853" width="6.28515625" style="237" customWidth="1"/>
    <col min="3854" max="3854" width="3.42578125" style="237" bestFit="1" customWidth="1"/>
    <col min="3855" max="3855" width="4.7109375" style="237" bestFit="1" customWidth="1"/>
    <col min="3856" max="3856" width="4.42578125" style="237" bestFit="1" customWidth="1"/>
    <col min="3857" max="3857" width="6.42578125" style="237" bestFit="1" customWidth="1"/>
    <col min="3858" max="3858" width="7.7109375" style="237" customWidth="1"/>
    <col min="3859" max="3859" width="4.42578125" style="237" bestFit="1" customWidth="1"/>
    <col min="3860" max="3860" width="2" style="237" bestFit="1" customWidth="1"/>
    <col min="3861" max="3861" width="1.7109375" style="237" customWidth="1"/>
    <col min="3862" max="3862" width="2" style="237" bestFit="1" customWidth="1"/>
    <col min="3863" max="3863" width="5.42578125" style="237" bestFit="1" customWidth="1"/>
    <col min="3864" max="3864" width="6.140625" style="237" bestFit="1" customWidth="1"/>
    <col min="3865" max="3866" width="6.28515625" style="237" bestFit="1" customWidth="1"/>
    <col min="3867" max="3867" width="7" style="237" bestFit="1" customWidth="1"/>
    <col min="3868" max="3868" width="9.7109375" style="237" bestFit="1" customWidth="1"/>
    <col min="3869" max="3870" width="5.28515625" style="237" bestFit="1" customWidth="1"/>
    <col min="3871" max="3872" width="6.140625" style="237" bestFit="1" customWidth="1"/>
    <col min="3873" max="3873" width="5.42578125" style="237" bestFit="1" customWidth="1"/>
    <col min="3874" max="3874" width="6.140625" style="237" bestFit="1" customWidth="1"/>
    <col min="3875" max="3875" width="6.28515625" style="237" bestFit="1" customWidth="1"/>
    <col min="3876" max="3876" width="6.140625" style="237" customWidth="1"/>
    <col min="3877" max="3878" width="5.28515625" style="237" bestFit="1" customWidth="1"/>
    <col min="3879" max="3879" width="9.7109375" style="237" bestFit="1" customWidth="1"/>
    <col min="3880" max="3880" width="8.7109375" style="237" bestFit="1" customWidth="1"/>
    <col min="3881" max="3881" width="10.7109375" style="237" bestFit="1" customWidth="1"/>
    <col min="3882" max="3882" width="12.42578125" style="237" bestFit="1" customWidth="1"/>
    <col min="3883" max="3883" width="8.42578125" style="237" bestFit="1" customWidth="1"/>
    <col min="3884" max="3884" width="9.42578125" style="237" customWidth="1"/>
    <col min="3885" max="4096" width="9.140625" style="237"/>
    <col min="4097" max="4097" width="3.7109375" style="237" bestFit="1" customWidth="1"/>
    <col min="4098" max="4098" width="17.7109375" style="237" customWidth="1"/>
    <col min="4099" max="4099" width="26.42578125" style="237" customWidth="1"/>
    <col min="4100" max="4100" width="13.42578125" style="237" customWidth="1"/>
    <col min="4101" max="4101" width="8.42578125" style="237" bestFit="1" customWidth="1"/>
    <col min="4102" max="4102" width="9.140625" style="237" customWidth="1"/>
    <col min="4103" max="4103" width="5" style="237" bestFit="1" customWidth="1"/>
    <col min="4104" max="4104" width="7.7109375" style="237" bestFit="1" customWidth="1"/>
    <col min="4105" max="4105" width="7" style="237" bestFit="1" customWidth="1"/>
    <col min="4106" max="4106" width="8.42578125" style="237" bestFit="1" customWidth="1"/>
    <col min="4107" max="4107" width="8" style="237" bestFit="1" customWidth="1"/>
    <col min="4108" max="4108" width="8" style="237" customWidth="1"/>
    <col min="4109" max="4109" width="6.28515625" style="237" customWidth="1"/>
    <col min="4110" max="4110" width="3.42578125" style="237" bestFit="1" customWidth="1"/>
    <col min="4111" max="4111" width="4.7109375" style="237" bestFit="1" customWidth="1"/>
    <col min="4112" max="4112" width="4.42578125" style="237" bestFit="1" customWidth="1"/>
    <col min="4113" max="4113" width="6.42578125" style="237" bestFit="1" customWidth="1"/>
    <col min="4114" max="4114" width="7.7109375" style="237" customWidth="1"/>
    <col min="4115" max="4115" width="4.42578125" style="237" bestFit="1" customWidth="1"/>
    <col min="4116" max="4116" width="2" style="237" bestFit="1" customWidth="1"/>
    <col min="4117" max="4117" width="1.7109375" style="237" customWidth="1"/>
    <col min="4118" max="4118" width="2" style="237" bestFit="1" customWidth="1"/>
    <col min="4119" max="4119" width="5.42578125" style="237" bestFit="1" customWidth="1"/>
    <col min="4120" max="4120" width="6.140625" style="237" bestFit="1" customWidth="1"/>
    <col min="4121" max="4122" width="6.28515625" style="237" bestFit="1" customWidth="1"/>
    <col min="4123" max="4123" width="7" style="237" bestFit="1" customWidth="1"/>
    <col min="4124" max="4124" width="9.7109375" style="237" bestFit="1" customWidth="1"/>
    <col min="4125" max="4126" width="5.28515625" style="237" bestFit="1" customWidth="1"/>
    <col min="4127" max="4128" width="6.140625" style="237" bestFit="1" customWidth="1"/>
    <col min="4129" max="4129" width="5.42578125" style="237" bestFit="1" customWidth="1"/>
    <col min="4130" max="4130" width="6.140625" style="237" bestFit="1" customWidth="1"/>
    <col min="4131" max="4131" width="6.28515625" style="237" bestFit="1" customWidth="1"/>
    <col min="4132" max="4132" width="6.140625" style="237" customWidth="1"/>
    <col min="4133" max="4134" width="5.28515625" style="237" bestFit="1" customWidth="1"/>
    <col min="4135" max="4135" width="9.7109375" style="237" bestFit="1" customWidth="1"/>
    <col min="4136" max="4136" width="8.7109375" style="237" bestFit="1" customWidth="1"/>
    <col min="4137" max="4137" width="10.7109375" style="237" bestFit="1" customWidth="1"/>
    <col min="4138" max="4138" width="12.42578125" style="237" bestFit="1" customWidth="1"/>
    <col min="4139" max="4139" width="8.42578125" style="237" bestFit="1" customWidth="1"/>
    <col min="4140" max="4140" width="9.42578125" style="237" customWidth="1"/>
    <col min="4141" max="4352" width="9.140625" style="237"/>
    <col min="4353" max="4353" width="3.7109375" style="237" bestFit="1" customWidth="1"/>
    <col min="4354" max="4354" width="17.7109375" style="237" customWidth="1"/>
    <col min="4355" max="4355" width="26.42578125" style="237" customWidth="1"/>
    <col min="4356" max="4356" width="13.42578125" style="237" customWidth="1"/>
    <col min="4357" max="4357" width="8.42578125" style="237" bestFit="1" customWidth="1"/>
    <col min="4358" max="4358" width="9.140625" style="237" customWidth="1"/>
    <col min="4359" max="4359" width="5" style="237" bestFit="1" customWidth="1"/>
    <col min="4360" max="4360" width="7.7109375" style="237" bestFit="1" customWidth="1"/>
    <col min="4361" max="4361" width="7" style="237" bestFit="1" customWidth="1"/>
    <col min="4362" max="4362" width="8.42578125" style="237" bestFit="1" customWidth="1"/>
    <col min="4363" max="4363" width="8" style="237" bestFit="1" customWidth="1"/>
    <col min="4364" max="4364" width="8" style="237" customWidth="1"/>
    <col min="4365" max="4365" width="6.28515625" style="237" customWidth="1"/>
    <col min="4366" max="4366" width="3.42578125" style="237" bestFit="1" customWidth="1"/>
    <col min="4367" max="4367" width="4.7109375" style="237" bestFit="1" customWidth="1"/>
    <col min="4368" max="4368" width="4.42578125" style="237" bestFit="1" customWidth="1"/>
    <col min="4369" max="4369" width="6.42578125" style="237" bestFit="1" customWidth="1"/>
    <col min="4370" max="4370" width="7.7109375" style="237" customWidth="1"/>
    <col min="4371" max="4371" width="4.42578125" style="237" bestFit="1" customWidth="1"/>
    <col min="4372" max="4372" width="2" style="237" bestFit="1" customWidth="1"/>
    <col min="4373" max="4373" width="1.7109375" style="237" customWidth="1"/>
    <col min="4374" max="4374" width="2" style="237" bestFit="1" customWidth="1"/>
    <col min="4375" max="4375" width="5.42578125" style="237" bestFit="1" customWidth="1"/>
    <col min="4376" max="4376" width="6.140625" style="237" bestFit="1" customWidth="1"/>
    <col min="4377" max="4378" width="6.28515625" style="237" bestFit="1" customWidth="1"/>
    <col min="4379" max="4379" width="7" style="237" bestFit="1" customWidth="1"/>
    <col min="4380" max="4380" width="9.7109375" style="237" bestFit="1" customWidth="1"/>
    <col min="4381" max="4382" width="5.28515625" style="237" bestFit="1" customWidth="1"/>
    <col min="4383" max="4384" width="6.140625" style="237" bestFit="1" customWidth="1"/>
    <col min="4385" max="4385" width="5.42578125" style="237" bestFit="1" customWidth="1"/>
    <col min="4386" max="4386" width="6.140625" style="237" bestFit="1" customWidth="1"/>
    <col min="4387" max="4387" width="6.28515625" style="237" bestFit="1" customWidth="1"/>
    <col min="4388" max="4388" width="6.140625" style="237" customWidth="1"/>
    <col min="4389" max="4390" width="5.28515625" style="237" bestFit="1" customWidth="1"/>
    <col min="4391" max="4391" width="9.7109375" style="237" bestFit="1" customWidth="1"/>
    <col min="4392" max="4392" width="8.7109375" style="237" bestFit="1" customWidth="1"/>
    <col min="4393" max="4393" width="10.7109375" style="237" bestFit="1" customWidth="1"/>
    <col min="4394" max="4394" width="12.42578125" style="237" bestFit="1" customWidth="1"/>
    <col min="4395" max="4395" width="8.42578125" style="237" bestFit="1" customWidth="1"/>
    <col min="4396" max="4396" width="9.42578125" style="237" customWidth="1"/>
    <col min="4397" max="4608" width="9.140625" style="237"/>
    <col min="4609" max="4609" width="3.7109375" style="237" bestFit="1" customWidth="1"/>
    <col min="4610" max="4610" width="17.7109375" style="237" customWidth="1"/>
    <col min="4611" max="4611" width="26.42578125" style="237" customWidth="1"/>
    <col min="4612" max="4612" width="13.42578125" style="237" customWidth="1"/>
    <col min="4613" max="4613" width="8.42578125" style="237" bestFit="1" customWidth="1"/>
    <col min="4614" max="4614" width="9.140625" style="237" customWidth="1"/>
    <col min="4615" max="4615" width="5" style="237" bestFit="1" customWidth="1"/>
    <col min="4616" max="4616" width="7.7109375" style="237" bestFit="1" customWidth="1"/>
    <col min="4617" max="4617" width="7" style="237" bestFit="1" customWidth="1"/>
    <col min="4618" max="4618" width="8.42578125" style="237" bestFit="1" customWidth="1"/>
    <col min="4619" max="4619" width="8" style="237" bestFit="1" customWidth="1"/>
    <col min="4620" max="4620" width="8" style="237" customWidth="1"/>
    <col min="4621" max="4621" width="6.28515625" style="237" customWidth="1"/>
    <col min="4622" max="4622" width="3.42578125" style="237" bestFit="1" customWidth="1"/>
    <col min="4623" max="4623" width="4.7109375" style="237" bestFit="1" customWidth="1"/>
    <col min="4624" max="4624" width="4.42578125" style="237" bestFit="1" customWidth="1"/>
    <col min="4625" max="4625" width="6.42578125" style="237" bestFit="1" customWidth="1"/>
    <col min="4626" max="4626" width="7.7109375" style="237" customWidth="1"/>
    <col min="4627" max="4627" width="4.42578125" style="237" bestFit="1" customWidth="1"/>
    <col min="4628" max="4628" width="2" style="237" bestFit="1" customWidth="1"/>
    <col min="4629" max="4629" width="1.7109375" style="237" customWidth="1"/>
    <col min="4630" max="4630" width="2" style="237" bestFit="1" customWidth="1"/>
    <col min="4631" max="4631" width="5.42578125" style="237" bestFit="1" customWidth="1"/>
    <col min="4632" max="4632" width="6.140625" style="237" bestFit="1" customWidth="1"/>
    <col min="4633" max="4634" width="6.28515625" style="237" bestFit="1" customWidth="1"/>
    <col min="4635" max="4635" width="7" style="237" bestFit="1" customWidth="1"/>
    <col min="4636" max="4636" width="9.7109375" style="237" bestFit="1" customWidth="1"/>
    <col min="4637" max="4638" width="5.28515625" style="237" bestFit="1" customWidth="1"/>
    <col min="4639" max="4640" width="6.140625" style="237" bestFit="1" customWidth="1"/>
    <col min="4641" max="4641" width="5.42578125" style="237" bestFit="1" customWidth="1"/>
    <col min="4642" max="4642" width="6.140625" style="237" bestFit="1" customWidth="1"/>
    <col min="4643" max="4643" width="6.28515625" style="237" bestFit="1" customWidth="1"/>
    <col min="4644" max="4644" width="6.140625" style="237" customWidth="1"/>
    <col min="4645" max="4646" width="5.28515625" style="237" bestFit="1" customWidth="1"/>
    <col min="4647" max="4647" width="9.7109375" style="237" bestFit="1" customWidth="1"/>
    <col min="4648" max="4648" width="8.7109375" style="237" bestFit="1" customWidth="1"/>
    <col min="4649" max="4649" width="10.7109375" style="237" bestFit="1" customWidth="1"/>
    <col min="4650" max="4650" width="12.42578125" style="237" bestFit="1" customWidth="1"/>
    <col min="4651" max="4651" width="8.42578125" style="237" bestFit="1" customWidth="1"/>
    <col min="4652" max="4652" width="9.42578125" style="237" customWidth="1"/>
    <col min="4653" max="4864" width="9.140625" style="237"/>
    <col min="4865" max="4865" width="3.7109375" style="237" bestFit="1" customWidth="1"/>
    <col min="4866" max="4866" width="17.7109375" style="237" customWidth="1"/>
    <col min="4867" max="4867" width="26.42578125" style="237" customWidth="1"/>
    <col min="4868" max="4868" width="13.42578125" style="237" customWidth="1"/>
    <col min="4869" max="4869" width="8.42578125" style="237" bestFit="1" customWidth="1"/>
    <col min="4870" max="4870" width="9.140625" style="237" customWidth="1"/>
    <col min="4871" max="4871" width="5" style="237" bestFit="1" customWidth="1"/>
    <col min="4872" max="4872" width="7.7109375" style="237" bestFit="1" customWidth="1"/>
    <col min="4873" max="4873" width="7" style="237" bestFit="1" customWidth="1"/>
    <col min="4874" max="4874" width="8.42578125" style="237" bestFit="1" customWidth="1"/>
    <col min="4875" max="4875" width="8" style="237" bestFit="1" customWidth="1"/>
    <col min="4876" max="4876" width="8" style="237" customWidth="1"/>
    <col min="4877" max="4877" width="6.28515625" style="237" customWidth="1"/>
    <col min="4878" max="4878" width="3.42578125" style="237" bestFit="1" customWidth="1"/>
    <col min="4879" max="4879" width="4.7109375" style="237" bestFit="1" customWidth="1"/>
    <col min="4880" max="4880" width="4.42578125" style="237" bestFit="1" customWidth="1"/>
    <col min="4881" max="4881" width="6.42578125" style="237" bestFit="1" customWidth="1"/>
    <col min="4882" max="4882" width="7.7109375" style="237" customWidth="1"/>
    <col min="4883" max="4883" width="4.42578125" style="237" bestFit="1" customWidth="1"/>
    <col min="4884" max="4884" width="2" style="237" bestFit="1" customWidth="1"/>
    <col min="4885" max="4885" width="1.7109375" style="237" customWidth="1"/>
    <col min="4886" max="4886" width="2" style="237" bestFit="1" customWidth="1"/>
    <col min="4887" max="4887" width="5.42578125" style="237" bestFit="1" customWidth="1"/>
    <col min="4888" max="4888" width="6.140625" style="237" bestFit="1" customWidth="1"/>
    <col min="4889" max="4890" width="6.28515625" style="237" bestFit="1" customWidth="1"/>
    <col min="4891" max="4891" width="7" style="237" bestFit="1" customWidth="1"/>
    <col min="4892" max="4892" width="9.7109375" style="237" bestFit="1" customWidth="1"/>
    <col min="4893" max="4894" width="5.28515625" style="237" bestFit="1" customWidth="1"/>
    <col min="4895" max="4896" width="6.140625" style="237" bestFit="1" customWidth="1"/>
    <col min="4897" max="4897" width="5.42578125" style="237" bestFit="1" customWidth="1"/>
    <col min="4898" max="4898" width="6.140625" style="237" bestFit="1" customWidth="1"/>
    <col min="4899" max="4899" width="6.28515625" style="237" bestFit="1" customWidth="1"/>
    <col min="4900" max="4900" width="6.140625" style="237" customWidth="1"/>
    <col min="4901" max="4902" width="5.28515625" style="237" bestFit="1" customWidth="1"/>
    <col min="4903" max="4903" width="9.7109375" style="237" bestFit="1" customWidth="1"/>
    <col min="4904" max="4904" width="8.7109375" style="237" bestFit="1" customWidth="1"/>
    <col min="4905" max="4905" width="10.7109375" style="237" bestFit="1" customWidth="1"/>
    <col min="4906" max="4906" width="12.42578125" style="237" bestFit="1" customWidth="1"/>
    <col min="4907" max="4907" width="8.42578125" style="237" bestFit="1" customWidth="1"/>
    <col min="4908" max="4908" width="9.42578125" style="237" customWidth="1"/>
    <col min="4909" max="5120" width="9.140625" style="237"/>
    <col min="5121" max="5121" width="3.7109375" style="237" bestFit="1" customWidth="1"/>
    <col min="5122" max="5122" width="17.7109375" style="237" customWidth="1"/>
    <col min="5123" max="5123" width="26.42578125" style="237" customWidth="1"/>
    <col min="5124" max="5124" width="13.42578125" style="237" customWidth="1"/>
    <col min="5125" max="5125" width="8.42578125" style="237" bestFit="1" customWidth="1"/>
    <col min="5126" max="5126" width="9.140625" style="237" customWidth="1"/>
    <col min="5127" max="5127" width="5" style="237" bestFit="1" customWidth="1"/>
    <col min="5128" max="5128" width="7.7109375" style="237" bestFit="1" customWidth="1"/>
    <col min="5129" max="5129" width="7" style="237" bestFit="1" customWidth="1"/>
    <col min="5130" max="5130" width="8.42578125" style="237" bestFit="1" customWidth="1"/>
    <col min="5131" max="5131" width="8" style="237" bestFit="1" customWidth="1"/>
    <col min="5132" max="5132" width="8" style="237" customWidth="1"/>
    <col min="5133" max="5133" width="6.28515625" style="237" customWidth="1"/>
    <col min="5134" max="5134" width="3.42578125" style="237" bestFit="1" customWidth="1"/>
    <col min="5135" max="5135" width="4.7109375" style="237" bestFit="1" customWidth="1"/>
    <col min="5136" max="5136" width="4.42578125" style="237" bestFit="1" customWidth="1"/>
    <col min="5137" max="5137" width="6.42578125" style="237" bestFit="1" customWidth="1"/>
    <col min="5138" max="5138" width="7.7109375" style="237" customWidth="1"/>
    <col min="5139" max="5139" width="4.42578125" style="237" bestFit="1" customWidth="1"/>
    <col min="5140" max="5140" width="2" style="237" bestFit="1" customWidth="1"/>
    <col min="5141" max="5141" width="1.7109375" style="237" customWidth="1"/>
    <col min="5142" max="5142" width="2" style="237" bestFit="1" customWidth="1"/>
    <col min="5143" max="5143" width="5.42578125" style="237" bestFit="1" customWidth="1"/>
    <col min="5144" max="5144" width="6.140625" style="237" bestFit="1" customWidth="1"/>
    <col min="5145" max="5146" width="6.28515625" style="237" bestFit="1" customWidth="1"/>
    <col min="5147" max="5147" width="7" style="237" bestFit="1" customWidth="1"/>
    <col min="5148" max="5148" width="9.7109375" style="237" bestFit="1" customWidth="1"/>
    <col min="5149" max="5150" width="5.28515625" style="237" bestFit="1" customWidth="1"/>
    <col min="5151" max="5152" width="6.140625" style="237" bestFit="1" customWidth="1"/>
    <col min="5153" max="5153" width="5.42578125" style="237" bestFit="1" customWidth="1"/>
    <col min="5154" max="5154" width="6.140625" style="237" bestFit="1" customWidth="1"/>
    <col min="5155" max="5155" width="6.28515625" style="237" bestFit="1" customWidth="1"/>
    <col min="5156" max="5156" width="6.140625" style="237" customWidth="1"/>
    <col min="5157" max="5158" width="5.28515625" style="237" bestFit="1" customWidth="1"/>
    <col min="5159" max="5159" width="9.7109375" style="237" bestFit="1" customWidth="1"/>
    <col min="5160" max="5160" width="8.7109375" style="237" bestFit="1" customWidth="1"/>
    <col min="5161" max="5161" width="10.7109375" style="237" bestFit="1" customWidth="1"/>
    <col min="5162" max="5162" width="12.42578125" style="237" bestFit="1" customWidth="1"/>
    <col min="5163" max="5163" width="8.42578125" style="237" bestFit="1" customWidth="1"/>
    <col min="5164" max="5164" width="9.42578125" style="237" customWidth="1"/>
    <col min="5165" max="5376" width="9.140625" style="237"/>
    <col min="5377" max="5377" width="3.7109375" style="237" bestFit="1" customWidth="1"/>
    <col min="5378" max="5378" width="17.7109375" style="237" customWidth="1"/>
    <col min="5379" max="5379" width="26.42578125" style="237" customWidth="1"/>
    <col min="5380" max="5380" width="13.42578125" style="237" customWidth="1"/>
    <col min="5381" max="5381" width="8.42578125" style="237" bestFit="1" customWidth="1"/>
    <col min="5382" max="5382" width="9.140625" style="237" customWidth="1"/>
    <col min="5383" max="5383" width="5" style="237" bestFit="1" customWidth="1"/>
    <col min="5384" max="5384" width="7.7109375" style="237" bestFit="1" customWidth="1"/>
    <col min="5385" max="5385" width="7" style="237" bestFit="1" customWidth="1"/>
    <col min="5386" max="5386" width="8.42578125" style="237" bestFit="1" customWidth="1"/>
    <col min="5387" max="5387" width="8" style="237" bestFit="1" customWidth="1"/>
    <col min="5388" max="5388" width="8" style="237" customWidth="1"/>
    <col min="5389" max="5389" width="6.28515625" style="237" customWidth="1"/>
    <col min="5390" max="5390" width="3.42578125" style="237" bestFit="1" customWidth="1"/>
    <col min="5391" max="5391" width="4.7109375" style="237" bestFit="1" customWidth="1"/>
    <col min="5392" max="5392" width="4.42578125" style="237" bestFit="1" customWidth="1"/>
    <col min="5393" max="5393" width="6.42578125" style="237" bestFit="1" customWidth="1"/>
    <col min="5394" max="5394" width="7.7109375" style="237" customWidth="1"/>
    <col min="5395" max="5395" width="4.42578125" style="237" bestFit="1" customWidth="1"/>
    <col min="5396" max="5396" width="2" style="237" bestFit="1" customWidth="1"/>
    <col min="5397" max="5397" width="1.7109375" style="237" customWidth="1"/>
    <col min="5398" max="5398" width="2" style="237" bestFit="1" customWidth="1"/>
    <col min="5399" max="5399" width="5.42578125" style="237" bestFit="1" customWidth="1"/>
    <col min="5400" max="5400" width="6.140625" style="237" bestFit="1" customWidth="1"/>
    <col min="5401" max="5402" width="6.28515625" style="237" bestFit="1" customWidth="1"/>
    <col min="5403" max="5403" width="7" style="237" bestFit="1" customWidth="1"/>
    <col min="5404" max="5404" width="9.7109375" style="237" bestFit="1" customWidth="1"/>
    <col min="5405" max="5406" width="5.28515625" style="237" bestFit="1" customWidth="1"/>
    <col min="5407" max="5408" width="6.140625" style="237" bestFit="1" customWidth="1"/>
    <col min="5409" max="5409" width="5.42578125" style="237" bestFit="1" customWidth="1"/>
    <col min="5410" max="5410" width="6.140625" style="237" bestFit="1" customWidth="1"/>
    <col min="5411" max="5411" width="6.28515625" style="237" bestFit="1" customWidth="1"/>
    <col min="5412" max="5412" width="6.140625" style="237" customWidth="1"/>
    <col min="5413" max="5414" width="5.28515625" style="237" bestFit="1" customWidth="1"/>
    <col min="5415" max="5415" width="9.7109375" style="237" bestFit="1" customWidth="1"/>
    <col min="5416" max="5416" width="8.7109375" style="237" bestFit="1" customWidth="1"/>
    <col min="5417" max="5417" width="10.7109375" style="237" bestFit="1" customWidth="1"/>
    <col min="5418" max="5418" width="12.42578125" style="237" bestFit="1" customWidth="1"/>
    <col min="5419" max="5419" width="8.42578125" style="237" bestFit="1" customWidth="1"/>
    <col min="5420" max="5420" width="9.42578125" style="237" customWidth="1"/>
    <col min="5421" max="5632" width="9.140625" style="237"/>
    <col min="5633" max="5633" width="3.7109375" style="237" bestFit="1" customWidth="1"/>
    <col min="5634" max="5634" width="17.7109375" style="237" customWidth="1"/>
    <col min="5635" max="5635" width="26.42578125" style="237" customWidth="1"/>
    <col min="5636" max="5636" width="13.42578125" style="237" customWidth="1"/>
    <col min="5637" max="5637" width="8.42578125" style="237" bestFit="1" customWidth="1"/>
    <col min="5638" max="5638" width="9.140625" style="237" customWidth="1"/>
    <col min="5639" max="5639" width="5" style="237" bestFit="1" customWidth="1"/>
    <col min="5640" max="5640" width="7.7109375" style="237" bestFit="1" customWidth="1"/>
    <col min="5641" max="5641" width="7" style="237" bestFit="1" customWidth="1"/>
    <col min="5642" max="5642" width="8.42578125" style="237" bestFit="1" customWidth="1"/>
    <col min="5643" max="5643" width="8" style="237" bestFit="1" customWidth="1"/>
    <col min="5644" max="5644" width="8" style="237" customWidth="1"/>
    <col min="5645" max="5645" width="6.28515625" style="237" customWidth="1"/>
    <col min="5646" max="5646" width="3.42578125" style="237" bestFit="1" customWidth="1"/>
    <col min="5647" max="5647" width="4.7109375" style="237" bestFit="1" customWidth="1"/>
    <col min="5648" max="5648" width="4.42578125" style="237" bestFit="1" customWidth="1"/>
    <col min="5649" max="5649" width="6.42578125" style="237" bestFit="1" customWidth="1"/>
    <col min="5650" max="5650" width="7.7109375" style="237" customWidth="1"/>
    <col min="5651" max="5651" width="4.42578125" style="237" bestFit="1" customWidth="1"/>
    <col min="5652" max="5652" width="2" style="237" bestFit="1" customWidth="1"/>
    <col min="5653" max="5653" width="1.7109375" style="237" customWidth="1"/>
    <col min="5654" max="5654" width="2" style="237" bestFit="1" customWidth="1"/>
    <col min="5655" max="5655" width="5.42578125" style="237" bestFit="1" customWidth="1"/>
    <col min="5656" max="5656" width="6.140625" style="237" bestFit="1" customWidth="1"/>
    <col min="5657" max="5658" width="6.28515625" style="237" bestFit="1" customWidth="1"/>
    <col min="5659" max="5659" width="7" style="237" bestFit="1" customWidth="1"/>
    <col min="5660" max="5660" width="9.7109375" style="237" bestFit="1" customWidth="1"/>
    <col min="5661" max="5662" width="5.28515625" style="237" bestFit="1" customWidth="1"/>
    <col min="5663" max="5664" width="6.140625" style="237" bestFit="1" customWidth="1"/>
    <col min="5665" max="5665" width="5.42578125" style="237" bestFit="1" customWidth="1"/>
    <col min="5666" max="5666" width="6.140625" style="237" bestFit="1" customWidth="1"/>
    <col min="5667" max="5667" width="6.28515625" style="237" bestFit="1" customWidth="1"/>
    <col min="5668" max="5668" width="6.140625" style="237" customWidth="1"/>
    <col min="5669" max="5670" width="5.28515625" style="237" bestFit="1" customWidth="1"/>
    <col min="5671" max="5671" width="9.7109375" style="237" bestFit="1" customWidth="1"/>
    <col min="5672" max="5672" width="8.7109375" style="237" bestFit="1" customWidth="1"/>
    <col min="5673" max="5673" width="10.7109375" style="237" bestFit="1" customWidth="1"/>
    <col min="5674" max="5674" width="12.42578125" style="237" bestFit="1" customWidth="1"/>
    <col min="5675" max="5675" width="8.42578125" style="237" bestFit="1" customWidth="1"/>
    <col min="5676" max="5676" width="9.42578125" style="237" customWidth="1"/>
    <col min="5677" max="5888" width="9.140625" style="237"/>
    <col min="5889" max="5889" width="3.7109375" style="237" bestFit="1" customWidth="1"/>
    <col min="5890" max="5890" width="17.7109375" style="237" customWidth="1"/>
    <col min="5891" max="5891" width="26.42578125" style="237" customWidth="1"/>
    <col min="5892" max="5892" width="13.42578125" style="237" customWidth="1"/>
    <col min="5893" max="5893" width="8.42578125" style="237" bestFit="1" customWidth="1"/>
    <col min="5894" max="5894" width="9.140625" style="237" customWidth="1"/>
    <col min="5895" max="5895" width="5" style="237" bestFit="1" customWidth="1"/>
    <col min="5896" max="5896" width="7.7109375" style="237" bestFit="1" customWidth="1"/>
    <col min="5897" max="5897" width="7" style="237" bestFit="1" customWidth="1"/>
    <col min="5898" max="5898" width="8.42578125" style="237" bestFit="1" customWidth="1"/>
    <col min="5899" max="5899" width="8" style="237" bestFit="1" customWidth="1"/>
    <col min="5900" max="5900" width="8" style="237" customWidth="1"/>
    <col min="5901" max="5901" width="6.28515625" style="237" customWidth="1"/>
    <col min="5902" max="5902" width="3.42578125" style="237" bestFit="1" customWidth="1"/>
    <col min="5903" max="5903" width="4.7109375" style="237" bestFit="1" customWidth="1"/>
    <col min="5904" max="5904" width="4.42578125" style="237" bestFit="1" customWidth="1"/>
    <col min="5905" max="5905" width="6.42578125" style="237" bestFit="1" customWidth="1"/>
    <col min="5906" max="5906" width="7.7109375" style="237" customWidth="1"/>
    <col min="5907" max="5907" width="4.42578125" style="237" bestFit="1" customWidth="1"/>
    <col min="5908" max="5908" width="2" style="237" bestFit="1" customWidth="1"/>
    <col min="5909" max="5909" width="1.7109375" style="237" customWidth="1"/>
    <col min="5910" max="5910" width="2" style="237" bestFit="1" customWidth="1"/>
    <col min="5911" max="5911" width="5.42578125" style="237" bestFit="1" customWidth="1"/>
    <col min="5912" max="5912" width="6.140625" style="237" bestFit="1" customWidth="1"/>
    <col min="5913" max="5914" width="6.28515625" style="237" bestFit="1" customWidth="1"/>
    <col min="5915" max="5915" width="7" style="237" bestFit="1" customWidth="1"/>
    <col min="5916" max="5916" width="9.7109375" style="237" bestFit="1" customWidth="1"/>
    <col min="5917" max="5918" width="5.28515625" style="237" bestFit="1" customWidth="1"/>
    <col min="5919" max="5920" width="6.140625" style="237" bestFit="1" customWidth="1"/>
    <col min="5921" max="5921" width="5.42578125" style="237" bestFit="1" customWidth="1"/>
    <col min="5922" max="5922" width="6.140625" style="237" bestFit="1" customWidth="1"/>
    <col min="5923" max="5923" width="6.28515625" style="237" bestFit="1" customWidth="1"/>
    <col min="5924" max="5924" width="6.140625" style="237" customWidth="1"/>
    <col min="5925" max="5926" width="5.28515625" style="237" bestFit="1" customWidth="1"/>
    <col min="5927" max="5927" width="9.7109375" style="237" bestFit="1" customWidth="1"/>
    <col min="5928" max="5928" width="8.7109375" style="237" bestFit="1" customWidth="1"/>
    <col min="5929" max="5929" width="10.7109375" style="237" bestFit="1" customWidth="1"/>
    <col min="5930" max="5930" width="12.42578125" style="237" bestFit="1" customWidth="1"/>
    <col min="5931" max="5931" width="8.42578125" style="237" bestFit="1" customWidth="1"/>
    <col min="5932" max="5932" width="9.42578125" style="237" customWidth="1"/>
    <col min="5933" max="6144" width="9.140625" style="237"/>
    <col min="6145" max="6145" width="3.7109375" style="237" bestFit="1" customWidth="1"/>
    <col min="6146" max="6146" width="17.7109375" style="237" customWidth="1"/>
    <col min="6147" max="6147" width="26.42578125" style="237" customWidth="1"/>
    <col min="6148" max="6148" width="13.42578125" style="237" customWidth="1"/>
    <col min="6149" max="6149" width="8.42578125" style="237" bestFit="1" customWidth="1"/>
    <col min="6150" max="6150" width="9.140625" style="237" customWidth="1"/>
    <col min="6151" max="6151" width="5" style="237" bestFit="1" customWidth="1"/>
    <col min="6152" max="6152" width="7.7109375" style="237" bestFit="1" customWidth="1"/>
    <col min="6153" max="6153" width="7" style="237" bestFit="1" customWidth="1"/>
    <col min="6154" max="6154" width="8.42578125" style="237" bestFit="1" customWidth="1"/>
    <col min="6155" max="6155" width="8" style="237" bestFit="1" customWidth="1"/>
    <col min="6156" max="6156" width="8" style="237" customWidth="1"/>
    <col min="6157" max="6157" width="6.28515625" style="237" customWidth="1"/>
    <col min="6158" max="6158" width="3.42578125" style="237" bestFit="1" customWidth="1"/>
    <col min="6159" max="6159" width="4.7109375" style="237" bestFit="1" customWidth="1"/>
    <col min="6160" max="6160" width="4.42578125" style="237" bestFit="1" customWidth="1"/>
    <col min="6161" max="6161" width="6.42578125" style="237" bestFit="1" customWidth="1"/>
    <col min="6162" max="6162" width="7.7109375" style="237" customWidth="1"/>
    <col min="6163" max="6163" width="4.42578125" style="237" bestFit="1" customWidth="1"/>
    <col min="6164" max="6164" width="2" style="237" bestFit="1" customWidth="1"/>
    <col min="6165" max="6165" width="1.7109375" style="237" customWidth="1"/>
    <col min="6166" max="6166" width="2" style="237" bestFit="1" customWidth="1"/>
    <col min="6167" max="6167" width="5.42578125" style="237" bestFit="1" customWidth="1"/>
    <col min="6168" max="6168" width="6.140625" style="237" bestFit="1" customWidth="1"/>
    <col min="6169" max="6170" width="6.28515625" style="237" bestFit="1" customWidth="1"/>
    <col min="6171" max="6171" width="7" style="237" bestFit="1" customWidth="1"/>
    <col min="6172" max="6172" width="9.7109375" style="237" bestFit="1" customWidth="1"/>
    <col min="6173" max="6174" width="5.28515625" style="237" bestFit="1" customWidth="1"/>
    <col min="6175" max="6176" width="6.140625" style="237" bestFit="1" customWidth="1"/>
    <col min="6177" max="6177" width="5.42578125" style="237" bestFit="1" customWidth="1"/>
    <col min="6178" max="6178" width="6.140625" style="237" bestFit="1" customWidth="1"/>
    <col min="6179" max="6179" width="6.28515625" style="237" bestFit="1" customWidth="1"/>
    <col min="6180" max="6180" width="6.140625" style="237" customWidth="1"/>
    <col min="6181" max="6182" width="5.28515625" style="237" bestFit="1" customWidth="1"/>
    <col min="6183" max="6183" width="9.7109375" style="237" bestFit="1" customWidth="1"/>
    <col min="6184" max="6184" width="8.7109375" style="237" bestFit="1" customWidth="1"/>
    <col min="6185" max="6185" width="10.7109375" style="237" bestFit="1" customWidth="1"/>
    <col min="6186" max="6186" width="12.42578125" style="237" bestFit="1" customWidth="1"/>
    <col min="6187" max="6187" width="8.42578125" style="237" bestFit="1" customWidth="1"/>
    <col min="6188" max="6188" width="9.42578125" style="237" customWidth="1"/>
    <col min="6189" max="6400" width="9.140625" style="237"/>
    <col min="6401" max="6401" width="3.7109375" style="237" bestFit="1" customWidth="1"/>
    <col min="6402" max="6402" width="17.7109375" style="237" customWidth="1"/>
    <col min="6403" max="6403" width="26.42578125" style="237" customWidth="1"/>
    <col min="6404" max="6404" width="13.42578125" style="237" customWidth="1"/>
    <col min="6405" max="6405" width="8.42578125" style="237" bestFit="1" customWidth="1"/>
    <col min="6406" max="6406" width="9.140625" style="237" customWidth="1"/>
    <col min="6407" max="6407" width="5" style="237" bestFit="1" customWidth="1"/>
    <col min="6408" max="6408" width="7.7109375" style="237" bestFit="1" customWidth="1"/>
    <col min="6409" max="6409" width="7" style="237" bestFit="1" customWidth="1"/>
    <col min="6410" max="6410" width="8.42578125" style="237" bestFit="1" customWidth="1"/>
    <col min="6411" max="6411" width="8" style="237" bestFit="1" customWidth="1"/>
    <col min="6412" max="6412" width="8" style="237" customWidth="1"/>
    <col min="6413" max="6413" width="6.28515625" style="237" customWidth="1"/>
    <col min="6414" max="6414" width="3.42578125" style="237" bestFit="1" customWidth="1"/>
    <col min="6415" max="6415" width="4.7109375" style="237" bestFit="1" customWidth="1"/>
    <col min="6416" max="6416" width="4.42578125" style="237" bestFit="1" customWidth="1"/>
    <col min="6417" max="6417" width="6.42578125" style="237" bestFit="1" customWidth="1"/>
    <col min="6418" max="6418" width="7.7109375" style="237" customWidth="1"/>
    <col min="6419" max="6419" width="4.42578125" style="237" bestFit="1" customWidth="1"/>
    <col min="6420" max="6420" width="2" style="237" bestFit="1" customWidth="1"/>
    <col min="6421" max="6421" width="1.7109375" style="237" customWidth="1"/>
    <col min="6422" max="6422" width="2" style="237" bestFit="1" customWidth="1"/>
    <col min="6423" max="6423" width="5.42578125" style="237" bestFit="1" customWidth="1"/>
    <col min="6424" max="6424" width="6.140625" style="237" bestFit="1" customWidth="1"/>
    <col min="6425" max="6426" width="6.28515625" style="237" bestFit="1" customWidth="1"/>
    <col min="6427" max="6427" width="7" style="237" bestFit="1" customWidth="1"/>
    <col min="6428" max="6428" width="9.7109375" style="237" bestFit="1" customWidth="1"/>
    <col min="6429" max="6430" width="5.28515625" style="237" bestFit="1" customWidth="1"/>
    <col min="6431" max="6432" width="6.140625" style="237" bestFit="1" customWidth="1"/>
    <col min="6433" max="6433" width="5.42578125" style="237" bestFit="1" customWidth="1"/>
    <col min="6434" max="6434" width="6.140625" style="237" bestFit="1" customWidth="1"/>
    <col min="6435" max="6435" width="6.28515625" style="237" bestFit="1" customWidth="1"/>
    <col min="6436" max="6436" width="6.140625" style="237" customWidth="1"/>
    <col min="6437" max="6438" width="5.28515625" style="237" bestFit="1" customWidth="1"/>
    <col min="6439" max="6439" width="9.7109375" style="237" bestFit="1" customWidth="1"/>
    <col min="6440" max="6440" width="8.7109375" style="237" bestFit="1" customWidth="1"/>
    <col min="6441" max="6441" width="10.7109375" style="237" bestFit="1" customWidth="1"/>
    <col min="6442" max="6442" width="12.42578125" style="237" bestFit="1" customWidth="1"/>
    <col min="6443" max="6443" width="8.42578125" style="237" bestFit="1" customWidth="1"/>
    <col min="6444" max="6444" width="9.42578125" style="237" customWidth="1"/>
    <col min="6445" max="6656" width="9.140625" style="237"/>
    <col min="6657" max="6657" width="3.7109375" style="237" bestFit="1" customWidth="1"/>
    <col min="6658" max="6658" width="17.7109375" style="237" customWidth="1"/>
    <col min="6659" max="6659" width="26.42578125" style="237" customWidth="1"/>
    <col min="6660" max="6660" width="13.42578125" style="237" customWidth="1"/>
    <col min="6661" max="6661" width="8.42578125" style="237" bestFit="1" customWidth="1"/>
    <col min="6662" max="6662" width="9.140625" style="237" customWidth="1"/>
    <col min="6663" max="6663" width="5" style="237" bestFit="1" customWidth="1"/>
    <col min="6664" max="6664" width="7.7109375" style="237" bestFit="1" customWidth="1"/>
    <col min="6665" max="6665" width="7" style="237" bestFit="1" customWidth="1"/>
    <col min="6666" max="6666" width="8.42578125" style="237" bestFit="1" customWidth="1"/>
    <col min="6667" max="6667" width="8" style="237" bestFit="1" customWidth="1"/>
    <col min="6668" max="6668" width="8" style="237" customWidth="1"/>
    <col min="6669" max="6669" width="6.28515625" style="237" customWidth="1"/>
    <col min="6670" max="6670" width="3.42578125" style="237" bestFit="1" customWidth="1"/>
    <col min="6671" max="6671" width="4.7109375" style="237" bestFit="1" customWidth="1"/>
    <col min="6672" max="6672" width="4.42578125" style="237" bestFit="1" customWidth="1"/>
    <col min="6673" max="6673" width="6.42578125" style="237" bestFit="1" customWidth="1"/>
    <col min="6674" max="6674" width="7.7109375" style="237" customWidth="1"/>
    <col min="6675" max="6675" width="4.42578125" style="237" bestFit="1" customWidth="1"/>
    <col min="6676" max="6676" width="2" style="237" bestFit="1" customWidth="1"/>
    <col min="6677" max="6677" width="1.7109375" style="237" customWidth="1"/>
    <col min="6678" max="6678" width="2" style="237" bestFit="1" customWidth="1"/>
    <col min="6679" max="6679" width="5.42578125" style="237" bestFit="1" customWidth="1"/>
    <col min="6680" max="6680" width="6.140625" style="237" bestFit="1" customWidth="1"/>
    <col min="6681" max="6682" width="6.28515625" style="237" bestFit="1" customWidth="1"/>
    <col min="6683" max="6683" width="7" style="237" bestFit="1" customWidth="1"/>
    <col min="6684" max="6684" width="9.7109375" style="237" bestFit="1" customWidth="1"/>
    <col min="6685" max="6686" width="5.28515625" style="237" bestFit="1" customWidth="1"/>
    <col min="6687" max="6688" width="6.140625" style="237" bestFit="1" customWidth="1"/>
    <col min="6689" max="6689" width="5.42578125" style="237" bestFit="1" customWidth="1"/>
    <col min="6690" max="6690" width="6.140625" style="237" bestFit="1" customWidth="1"/>
    <col min="6691" max="6691" width="6.28515625" style="237" bestFit="1" customWidth="1"/>
    <col min="6692" max="6692" width="6.140625" style="237" customWidth="1"/>
    <col min="6693" max="6694" width="5.28515625" style="237" bestFit="1" customWidth="1"/>
    <col min="6695" max="6695" width="9.7109375" style="237" bestFit="1" customWidth="1"/>
    <col min="6696" max="6696" width="8.7109375" style="237" bestFit="1" customWidth="1"/>
    <col min="6697" max="6697" width="10.7109375" style="237" bestFit="1" customWidth="1"/>
    <col min="6698" max="6698" width="12.42578125" style="237" bestFit="1" customWidth="1"/>
    <col min="6699" max="6699" width="8.42578125" style="237" bestFit="1" customWidth="1"/>
    <col min="6700" max="6700" width="9.42578125" style="237" customWidth="1"/>
    <col min="6701" max="6912" width="9.140625" style="237"/>
    <col min="6913" max="6913" width="3.7109375" style="237" bestFit="1" customWidth="1"/>
    <col min="6914" max="6914" width="17.7109375" style="237" customWidth="1"/>
    <col min="6915" max="6915" width="26.42578125" style="237" customWidth="1"/>
    <col min="6916" max="6916" width="13.42578125" style="237" customWidth="1"/>
    <col min="6917" max="6917" width="8.42578125" style="237" bestFit="1" customWidth="1"/>
    <col min="6918" max="6918" width="9.140625" style="237" customWidth="1"/>
    <col min="6919" max="6919" width="5" style="237" bestFit="1" customWidth="1"/>
    <col min="6920" max="6920" width="7.7109375" style="237" bestFit="1" customWidth="1"/>
    <col min="6921" max="6921" width="7" style="237" bestFit="1" customWidth="1"/>
    <col min="6922" max="6922" width="8.42578125" style="237" bestFit="1" customWidth="1"/>
    <col min="6923" max="6923" width="8" style="237" bestFit="1" customWidth="1"/>
    <col min="6924" max="6924" width="8" style="237" customWidth="1"/>
    <col min="6925" max="6925" width="6.28515625" style="237" customWidth="1"/>
    <col min="6926" max="6926" width="3.42578125" style="237" bestFit="1" customWidth="1"/>
    <col min="6927" max="6927" width="4.7109375" style="237" bestFit="1" customWidth="1"/>
    <col min="6928" max="6928" width="4.42578125" style="237" bestFit="1" customWidth="1"/>
    <col min="6929" max="6929" width="6.42578125" style="237" bestFit="1" customWidth="1"/>
    <col min="6930" max="6930" width="7.7109375" style="237" customWidth="1"/>
    <col min="6931" max="6931" width="4.42578125" style="237" bestFit="1" customWidth="1"/>
    <col min="6932" max="6932" width="2" style="237" bestFit="1" customWidth="1"/>
    <col min="6933" max="6933" width="1.7109375" style="237" customWidth="1"/>
    <col min="6934" max="6934" width="2" style="237" bestFit="1" customWidth="1"/>
    <col min="6935" max="6935" width="5.42578125" style="237" bestFit="1" customWidth="1"/>
    <col min="6936" max="6936" width="6.140625" style="237" bestFit="1" customWidth="1"/>
    <col min="6937" max="6938" width="6.28515625" style="237" bestFit="1" customWidth="1"/>
    <col min="6939" max="6939" width="7" style="237" bestFit="1" customWidth="1"/>
    <col min="6940" max="6940" width="9.7109375" style="237" bestFit="1" customWidth="1"/>
    <col min="6941" max="6942" width="5.28515625" style="237" bestFit="1" customWidth="1"/>
    <col min="6943" max="6944" width="6.140625" style="237" bestFit="1" customWidth="1"/>
    <col min="6945" max="6945" width="5.42578125" style="237" bestFit="1" customWidth="1"/>
    <col min="6946" max="6946" width="6.140625" style="237" bestFit="1" customWidth="1"/>
    <col min="6947" max="6947" width="6.28515625" style="237" bestFit="1" customWidth="1"/>
    <col min="6948" max="6948" width="6.140625" style="237" customWidth="1"/>
    <col min="6949" max="6950" width="5.28515625" style="237" bestFit="1" customWidth="1"/>
    <col min="6951" max="6951" width="9.7109375" style="237" bestFit="1" customWidth="1"/>
    <col min="6952" max="6952" width="8.7109375" style="237" bestFit="1" customWidth="1"/>
    <col min="6953" max="6953" width="10.7109375" style="237" bestFit="1" customWidth="1"/>
    <col min="6954" max="6954" width="12.42578125" style="237" bestFit="1" customWidth="1"/>
    <col min="6955" max="6955" width="8.42578125" style="237" bestFit="1" customWidth="1"/>
    <col min="6956" max="6956" width="9.42578125" style="237" customWidth="1"/>
    <col min="6957" max="7168" width="9.140625" style="237"/>
    <col min="7169" max="7169" width="3.7109375" style="237" bestFit="1" customWidth="1"/>
    <col min="7170" max="7170" width="17.7109375" style="237" customWidth="1"/>
    <col min="7171" max="7171" width="26.42578125" style="237" customWidth="1"/>
    <col min="7172" max="7172" width="13.42578125" style="237" customWidth="1"/>
    <col min="7173" max="7173" width="8.42578125" style="237" bestFit="1" customWidth="1"/>
    <col min="7174" max="7174" width="9.140625" style="237" customWidth="1"/>
    <col min="7175" max="7175" width="5" style="237" bestFit="1" customWidth="1"/>
    <col min="7176" max="7176" width="7.7109375" style="237" bestFit="1" customWidth="1"/>
    <col min="7177" max="7177" width="7" style="237" bestFit="1" customWidth="1"/>
    <col min="7178" max="7178" width="8.42578125" style="237" bestFit="1" customWidth="1"/>
    <col min="7179" max="7179" width="8" style="237" bestFit="1" customWidth="1"/>
    <col min="7180" max="7180" width="8" style="237" customWidth="1"/>
    <col min="7181" max="7181" width="6.28515625" style="237" customWidth="1"/>
    <col min="7182" max="7182" width="3.42578125" style="237" bestFit="1" customWidth="1"/>
    <col min="7183" max="7183" width="4.7109375" style="237" bestFit="1" customWidth="1"/>
    <col min="7184" max="7184" width="4.42578125" style="237" bestFit="1" customWidth="1"/>
    <col min="7185" max="7185" width="6.42578125" style="237" bestFit="1" customWidth="1"/>
    <col min="7186" max="7186" width="7.7109375" style="237" customWidth="1"/>
    <col min="7187" max="7187" width="4.42578125" style="237" bestFit="1" customWidth="1"/>
    <col min="7188" max="7188" width="2" style="237" bestFit="1" customWidth="1"/>
    <col min="7189" max="7189" width="1.7109375" style="237" customWidth="1"/>
    <col min="7190" max="7190" width="2" style="237" bestFit="1" customWidth="1"/>
    <col min="7191" max="7191" width="5.42578125" style="237" bestFit="1" customWidth="1"/>
    <col min="7192" max="7192" width="6.140625" style="237" bestFit="1" customWidth="1"/>
    <col min="7193" max="7194" width="6.28515625" style="237" bestFit="1" customWidth="1"/>
    <col min="7195" max="7195" width="7" style="237" bestFit="1" customWidth="1"/>
    <col min="7196" max="7196" width="9.7109375" style="237" bestFit="1" customWidth="1"/>
    <col min="7197" max="7198" width="5.28515625" style="237" bestFit="1" customWidth="1"/>
    <col min="7199" max="7200" width="6.140625" style="237" bestFit="1" customWidth="1"/>
    <col min="7201" max="7201" width="5.42578125" style="237" bestFit="1" customWidth="1"/>
    <col min="7202" max="7202" width="6.140625" style="237" bestFit="1" customWidth="1"/>
    <col min="7203" max="7203" width="6.28515625" style="237" bestFit="1" customWidth="1"/>
    <col min="7204" max="7204" width="6.140625" style="237" customWidth="1"/>
    <col min="7205" max="7206" width="5.28515625" style="237" bestFit="1" customWidth="1"/>
    <col min="7207" max="7207" width="9.7109375" style="237" bestFit="1" customWidth="1"/>
    <col min="7208" max="7208" width="8.7109375" style="237" bestFit="1" customWidth="1"/>
    <col min="7209" max="7209" width="10.7109375" style="237" bestFit="1" customWidth="1"/>
    <col min="7210" max="7210" width="12.42578125" style="237" bestFit="1" customWidth="1"/>
    <col min="7211" max="7211" width="8.42578125" style="237" bestFit="1" customWidth="1"/>
    <col min="7212" max="7212" width="9.42578125" style="237" customWidth="1"/>
    <col min="7213" max="7424" width="9.140625" style="237"/>
    <col min="7425" max="7425" width="3.7109375" style="237" bestFit="1" customWidth="1"/>
    <col min="7426" max="7426" width="17.7109375" style="237" customWidth="1"/>
    <col min="7427" max="7427" width="26.42578125" style="237" customWidth="1"/>
    <col min="7428" max="7428" width="13.42578125" style="237" customWidth="1"/>
    <col min="7429" max="7429" width="8.42578125" style="237" bestFit="1" customWidth="1"/>
    <col min="7430" max="7430" width="9.140625" style="237" customWidth="1"/>
    <col min="7431" max="7431" width="5" style="237" bestFit="1" customWidth="1"/>
    <col min="7432" max="7432" width="7.7109375" style="237" bestFit="1" customWidth="1"/>
    <col min="7433" max="7433" width="7" style="237" bestFit="1" customWidth="1"/>
    <col min="7434" max="7434" width="8.42578125" style="237" bestFit="1" customWidth="1"/>
    <col min="7435" max="7435" width="8" style="237" bestFit="1" customWidth="1"/>
    <col min="7436" max="7436" width="8" style="237" customWidth="1"/>
    <col min="7437" max="7437" width="6.28515625" style="237" customWidth="1"/>
    <col min="7438" max="7438" width="3.42578125" style="237" bestFit="1" customWidth="1"/>
    <col min="7439" max="7439" width="4.7109375" style="237" bestFit="1" customWidth="1"/>
    <col min="7440" max="7440" width="4.42578125" style="237" bestFit="1" customWidth="1"/>
    <col min="7441" max="7441" width="6.42578125" style="237" bestFit="1" customWidth="1"/>
    <col min="7442" max="7442" width="7.7109375" style="237" customWidth="1"/>
    <col min="7443" max="7443" width="4.42578125" style="237" bestFit="1" customWidth="1"/>
    <col min="7444" max="7444" width="2" style="237" bestFit="1" customWidth="1"/>
    <col min="7445" max="7445" width="1.7109375" style="237" customWidth="1"/>
    <col min="7446" max="7446" width="2" style="237" bestFit="1" customWidth="1"/>
    <col min="7447" max="7447" width="5.42578125" style="237" bestFit="1" customWidth="1"/>
    <col min="7448" max="7448" width="6.140625" style="237" bestFit="1" customWidth="1"/>
    <col min="7449" max="7450" width="6.28515625" style="237" bestFit="1" customWidth="1"/>
    <col min="7451" max="7451" width="7" style="237" bestFit="1" customWidth="1"/>
    <col min="7452" max="7452" width="9.7109375" style="237" bestFit="1" customWidth="1"/>
    <col min="7453" max="7454" width="5.28515625" style="237" bestFit="1" customWidth="1"/>
    <col min="7455" max="7456" width="6.140625" style="237" bestFit="1" customWidth="1"/>
    <col min="7457" max="7457" width="5.42578125" style="237" bestFit="1" customWidth="1"/>
    <col min="7458" max="7458" width="6.140625" style="237" bestFit="1" customWidth="1"/>
    <col min="7459" max="7459" width="6.28515625" style="237" bestFit="1" customWidth="1"/>
    <col min="7460" max="7460" width="6.140625" style="237" customWidth="1"/>
    <col min="7461" max="7462" width="5.28515625" style="237" bestFit="1" customWidth="1"/>
    <col min="7463" max="7463" width="9.7109375" style="237" bestFit="1" customWidth="1"/>
    <col min="7464" max="7464" width="8.7109375" style="237" bestFit="1" customWidth="1"/>
    <col min="7465" max="7465" width="10.7109375" style="237" bestFit="1" customWidth="1"/>
    <col min="7466" max="7466" width="12.42578125" style="237" bestFit="1" customWidth="1"/>
    <col min="7467" max="7467" width="8.42578125" style="237" bestFit="1" customWidth="1"/>
    <col min="7468" max="7468" width="9.42578125" style="237" customWidth="1"/>
    <col min="7469" max="7680" width="9.140625" style="237"/>
    <col min="7681" max="7681" width="3.7109375" style="237" bestFit="1" customWidth="1"/>
    <col min="7682" max="7682" width="17.7109375" style="237" customWidth="1"/>
    <col min="7683" max="7683" width="26.42578125" style="237" customWidth="1"/>
    <col min="7684" max="7684" width="13.42578125" style="237" customWidth="1"/>
    <col min="7685" max="7685" width="8.42578125" style="237" bestFit="1" customWidth="1"/>
    <col min="7686" max="7686" width="9.140625" style="237" customWidth="1"/>
    <col min="7687" max="7687" width="5" style="237" bestFit="1" customWidth="1"/>
    <col min="7688" max="7688" width="7.7109375" style="237" bestFit="1" customWidth="1"/>
    <col min="7689" max="7689" width="7" style="237" bestFit="1" customWidth="1"/>
    <col min="7690" max="7690" width="8.42578125" style="237" bestFit="1" customWidth="1"/>
    <col min="7691" max="7691" width="8" style="237" bestFit="1" customWidth="1"/>
    <col min="7692" max="7692" width="8" style="237" customWidth="1"/>
    <col min="7693" max="7693" width="6.28515625" style="237" customWidth="1"/>
    <col min="7694" max="7694" width="3.42578125" style="237" bestFit="1" customWidth="1"/>
    <col min="7695" max="7695" width="4.7109375" style="237" bestFit="1" customWidth="1"/>
    <col min="7696" max="7696" width="4.42578125" style="237" bestFit="1" customWidth="1"/>
    <col min="7697" max="7697" width="6.42578125" style="237" bestFit="1" customWidth="1"/>
    <col min="7698" max="7698" width="7.7109375" style="237" customWidth="1"/>
    <col min="7699" max="7699" width="4.42578125" style="237" bestFit="1" customWidth="1"/>
    <col min="7700" max="7700" width="2" style="237" bestFit="1" customWidth="1"/>
    <col min="7701" max="7701" width="1.7109375" style="237" customWidth="1"/>
    <col min="7702" max="7702" width="2" style="237" bestFit="1" customWidth="1"/>
    <col min="7703" max="7703" width="5.42578125" style="237" bestFit="1" customWidth="1"/>
    <col min="7704" max="7704" width="6.140625" style="237" bestFit="1" customWidth="1"/>
    <col min="7705" max="7706" width="6.28515625" style="237" bestFit="1" customWidth="1"/>
    <col min="7707" max="7707" width="7" style="237" bestFit="1" customWidth="1"/>
    <col min="7708" max="7708" width="9.7109375" style="237" bestFit="1" customWidth="1"/>
    <col min="7709" max="7710" width="5.28515625" style="237" bestFit="1" customWidth="1"/>
    <col min="7711" max="7712" width="6.140625" style="237" bestFit="1" customWidth="1"/>
    <col min="7713" max="7713" width="5.42578125" style="237" bestFit="1" customWidth="1"/>
    <col min="7714" max="7714" width="6.140625" style="237" bestFit="1" customWidth="1"/>
    <col min="7715" max="7715" width="6.28515625" style="237" bestFit="1" customWidth="1"/>
    <col min="7716" max="7716" width="6.140625" style="237" customWidth="1"/>
    <col min="7717" max="7718" width="5.28515625" style="237" bestFit="1" customWidth="1"/>
    <col min="7719" max="7719" width="9.7109375" style="237" bestFit="1" customWidth="1"/>
    <col min="7720" max="7720" width="8.7109375" style="237" bestFit="1" customWidth="1"/>
    <col min="7721" max="7721" width="10.7109375" style="237" bestFit="1" customWidth="1"/>
    <col min="7722" max="7722" width="12.42578125" style="237" bestFit="1" customWidth="1"/>
    <col min="7723" max="7723" width="8.42578125" style="237" bestFit="1" customWidth="1"/>
    <col min="7724" max="7724" width="9.42578125" style="237" customWidth="1"/>
    <col min="7725" max="7936" width="9.140625" style="237"/>
    <col min="7937" max="7937" width="3.7109375" style="237" bestFit="1" customWidth="1"/>
    <col min="7938" max="7938" width="17.7109375" style="237" customWidth="1"/>
    <col min="7939" max="7939" width="26.42578125" style="237" customWidth="1"/>
    <col min="7940" max="7940" width="13.42578125" style="237" customWidth="1"/>
    <col min="7941" max="7941" width="8.42578125" style="237" bestFit="1" customWidth="1"/>
    <col min="7942" max="7942" width="9.140625" style="237" customWidth="1"/>
    <col min="7943" max="7943" width="5" style="237" bestFit="1" customWidth="1"/>
    <col min="7944" max="7944" width="7.7109375" style="237" bestFit="1" customWidth="1"/>
    <col min="7945" max="7945" width="7" style="237" bestFit="1" customWidth="1"/>
    <col min="7946" max="7946" width="8.42578125" style="237" bestFit="1" customWidth="1"/>
    <col min="7947" max="7947" width="8" style="237" bestFit="1" customWidth="1"/>
    <col min="7948" max="7948" width="8" style="237" customWidth="1"/>
    <col min="7949" max="7949" width="6.28515625" style="237" customWidth="1"/>
    <col min="7950" max="7950" width="3.42578125" style="237" bestFit="1" customWidth="1"/>
    <col min="7951" max="7951" width="4.7109375" style="237" bestFit="1" customWidth="1"/>
    <col min="7952" max="7952" width="4.42578125" style="237" bestFit="1" customWidth="1"/>
    <col min="7953" max="7953" width="6.42578125" style="237" bestFit="1" customWidth="1"/>
    <col min="7954" max="7954" width="7.7109375" style="237" customWidth="1"/>
    <col min="7955" max="7955" width="4.42578125" style="237" bestFit="1" customWidth="1"/>
    <col min="7956" max="7956" width="2" style="237" bestFit="1" customWidth="1"/>
    <col min="7957" max="7957" width="1.7109375" style="237" customWidth="1"/>
    <col min="7958" max="7958" width="2" style="237" bestFit="1" customWidth="1"/>
    <col min="7959" max="7959" width="5.42578125" style="237" bestFit="1" customWidth="1"/>
    <col min="7960" max="7960" width="6.140625" style="237" bestFit="1" customWidth="1"/>
    <col min="7961" max="7962" width="6.28515625" style="237" bestFit="1" customWidth="1"/>
    <col min="7963" max="7963" width="7" style="237" bestFit="1" customWidth="1"/>
    <col min="7964" max="7964" width="9.7109375" style="237" bestFit="1" customWidth="1"/>
    <col min="7965" max="7966" width="5.28515625" style="237" bestFit="1" customWidth="1"/>
    <col min="7967" max="7968" width="6.140625" style="237" bestFit="1" customWidth="1"/>
    <col min="7969" max="7969" width="5.42578125" style="237" bestFit="1" customWidth="1"/>
    <col min="7970" max="7970" width="6.140625" style="237" bestFit="1" customWidth="1"/>
    <col min="7971" max="7971" width="6.28515625" style="237" bestFit="1" customWidth="1"/>
    <col min="7972" max="7972" width="6.140625" style="237" customWidth="1"/>
    <col min="7973" max="7974" width="5.28515625" style="237" bestFit="1" customWidth="1"/>
    <col min="7975" max="7975" width="9.7109375" style="237" bestFit="1" customWidth="1"/>
    <col min="7976" max="7976" width="8.7109375" style="237" bestFit="1" customWidth="1"/>
    <col min="7977" max="7977" width="10.7109375" style="237" bestFit="1" customWidth="1"/>
    <col min="7978" max="7978" width="12.42578125" style="237" bestFit="1" customWidth="1"/>
    <col min="7979" max="7979" width="8.42578125" style="237" bestFit="1" customWidth="1"/>
    <col min="7980" max="7980" width="9.42578125" style="237" customWidth="1"/>
    <col min="7981" max="8192" width="9.140625" style="237"/>
    <col min="8193" max="8193" width="3.7109375" style="237" bestFit="1" customWidth="1"/>
    <col min="8194" max="8194" width="17.7109375" style="237" customWidth="1"/>
    <col min="8195" max="8195" width="26.42578125" style="237" customWidth="1"/>
    <col min="8196" max="8196" width="13.42578125" style="237" customWidth="1"/>
    <col min="8197" max="8197" width="8.42578125" style="237" bestFit="1" customWidth="1"/>
    <col min="8198" max="8198" width="9.140625" style="237" customWidth="1"/>
    <col min="8199" max="8199" width="5" style="237" bestFit="1" customWidth="1"/>
    <col min="8200" max="8200" width="7.7109375" style="237" bestFit="1" customWidth="1"/>
    <col min="8201" max="8201" width="7" style="237" bestFit="1" customWidth="1"/>
    <col min="8202" max="8202" width="8.42578125" style="237" bestFit="1" customWidth="1"/>
    <col min="8203" max="8203" width="8" style="237" bestFit="1" customWidth="1"/>
    <col min="8204" max="8204" width="8" style="237" customWidth="1"/>
    <col min="8205" max="8205" width="6.28515625" style="237" customWidth="1"/>
    <col min="8206" max="8206" width="3.42578125" style="237" bestFit="1" customWidth="1"/>
    <col min="8207" max="8207" width="4.7109375" style="237" bestFit="1" customWidth="1"/>
    <col min="8208" max="8208" width="4.42578125" style="237" bestFit="1" customWidth="1"/>
    <col min="8209" max="8209" width="6.42578125" style="237" bestFit="1" customWidth="1"/>
    <col min="8210" max="8210" width="7.7109375" style="237" customWidth="1"/>
    <col min="8211" max="8211" width="4.42578125" style="237" bestFit="1" customWidth="1"/>
    <col min="8212" max="8212" width="2" style="237" bestFit="1" customWidth="1"/>
    <col min="8213" max="8213" width="1.7109375" style="237" customWidth="1"/>
    <col min="8214" max="8214" width="2" style="237" bestFit="1" customWidth="1"/>
    <col min="8215" max="8215" width="5.42578125" style="237" bestFit="1" customWidth="1"/>
    <col min="8216" max="8216" width="6.140625" style="237" bestFit="1" customWidth="1"/>
    <col min="8217" max="8218" width="6.28515625" style="237" bestFit="1" customWidth="1"/>
    <col min="8219" max="8219" width="7" style="237" bestFit="1" customWidth="1"/>
    <col min="8220" max="8220" width="9.7109375" style="237" bestFit="1" customWidth="1"/>
    <col min="8221" max="8222" width="5.28515625" style="237" bestFit="1" customWidth="1"/>
    <col min="8223" max="8224" width="6.140625" style="237" bestFit="1" customWidth="1"/>
    <col min="8225" max="8225" width="5.42578125" style="237" bestFit="1" customWidth="1"/>
    <col min="8226" max="8226" width="6.140625" style="237" bestFit="1" customWidth="1"/>
    <col min="8227" max="8227" width="6.28515625" style="237" bestFit="1" customWidth="1"/>
    <col min="8228" max="8228" width="6.140625" style="237" customWidth="1"/>
    <col min="8229" max="8230" width="5.28515625" style="237" bestFit="1" customWidth="1"/>
    <col min="8231" max="8231" width="9.7109375" style="237" bestFit="1" customWidth="1"/>
    <col min="8232" max="8232" width="8.7109375" style="237" bestFit="1" customWidth="1"/>
    <col min="8233" max="8233" width="10.7109375" style="237" bestFit="1" customWidth="1"/>
    <col min="8234" max="8234" width="12.42578125" style="237" bestFit="1" customWidth="1"/>
    <col min="8235" max="8235" width="8.42578125" style="237" bestFit="1" customWidth="1"/>
    <col min="8236" max="8236" width="9.42578125" style="237" customWidth="1"/>
    <col min="8237" max="8448" width="9.140625" style="237"/>
    <col min="8449" max="8449" width="3.7109375" style="237" bestFit="1" customWidth="1"/>
    <col min="8450" max="8450" width="17.7109375" style="237" customWidth="1"/>
    <col min="8451" max="8451" width="26.42578125" style="237" customWidth="1"/>
    <col min="8452" max="8452" width="13.42578125" style="237" customWidth="1"/>
    <col min="8453" max="8453" width="8.42578125" style="237" bestFit="1" customWidth="1"/>
    <col min="8454" max="8454" width="9.140625" style="237" customWidth="1"/>
    <col min="8455" max="8455" width="5" style="237" bestFit="1" customWidth="1"/>
    <col min="8456" max="8456" width="7.7109375" style="237" bestFit="1" customWidth="1"/>
    <col min="8457" max="8457" width="7" style="237" bestFit="1" customWidth="1"/>
    <col min="8458" max="8458" width="8.42578125" style="237" bestFit="1" customWidth="1"/>
    <col min="8459" max="8459" width="8" style="237" bestFit="1" customWidth="1"/>
    <col min="8460" max="8460" width="8" style="237" customWidth="1"/>
    <col min="8461" max="8461" width="6.28515625" style="237" customWidth="1"/>
    <col min="8462" max="8462" width="3.42578125" style="237" bestFit="1" customWidth="1"/>
    <col min="8463" max="8463" width="4.7109375" style="237" bestFit="1" customWidth="1"/>
    <col min="8464" max="8464" width="4.42578125" style="237" bestFit="1" customWidth="1"/>
    <col min="8465" max="8465" width="6.42578125" style="237" bestFit="1" customWidth="1"/>
    <col min="8466" max="8466" width="7.7109375" style="237" customWidth="1"/>
    <col min="8467" max="8467" width="4.42578125" style="237" bestFit="1" customWidth="1"/>
    <col min="8468" max="8468" width="2" style="237" bestFit="1" customWidth="1"/>
    <col min="8469" max="8469" width="1.7109375" style="237" customWidth="1"/>
    <col min="8470" max="8470" width="2" style="237" bestFit="1" customWidth="1"/>
    <col min="8471" max="8471" width="5.42578125" style="237" bestFit="1" customWidth="1"/>
    <col min="8472" max="8472" width="6.140625" style="237" bestFit="1" customWidth="1"/>
    <col min="8473" max="8474" width="6.28515625" style="237" bestFit="1" customWidth="1"/>
    <col min="8475" max="8475" width="7" style="237" bestFit="1" customWidth="1"/>
    <col min="8476" max="8476" width="9.7109375" style="237" bestFit="1" customWidth="1"/>
    <col min="8477" max="8478" width="5.28515625" style="237" bestFit="1" customWidth="1"/>
    <col min="8479" max="8480" width="6.140625" style="237" bestFit="1" customWidth="1"/>
    <col min="8481" max="8481" width="5.42578125" style="237" bestFit="1" customWidth="1"/>
    <col min="8482" max="8482" width="6.140625" style="237" bestFit="1" customWidth="1"/>
    <col min="8483" max="8483" width="6.28515625" style="237" bestFit="1" customWidth="1"/>
    <col min="8484" max="8484" width="6.140625" style="237" customWidth="1"/>
    <col min="8485" max="8486" width="5.28515625" style="237" bestFit="1" customWidth="1"/>
    <col min="8487" max="8487" width="9.7109375" style="237" bestFit="1" customWidth="1"/>
    <col min="8488" max="8488" width="8.7109375" style="237" bestFit="1" customWidth="1"/>
    <col min="8489" max="8489" width="10.7109375" style="237" bestFit="1" customWidth="1"/>
    <col min="8490" max="8490" width="12.42578125" style="237" bestFit="1" customWidth="1"/>
    <col min="8491" max="8491" width="8.42578125" style="237" bestFit="1" customWidth="1"/>
    <col min="8492" max="8492" width="9.42578125" style="237" customWidth="1"/>
    <col min="8493" max="8704" width="9.140625" style="237"/>
    <col min="8705" max="8705" width="3.7109375" style="237" bestFit="1" customWidth="1"/>
    <col min="8706" max="8706" width="17.7109375" style="237" customWidth="1"/>
    <col min="8707" max="8707" width="26.42578125" style="237" customWidth="1"/>
    <col min="8708" max="8708" width="13.42578125" style="237" customWidth="1"/>
    <col min="8709" max="8709" width="8.42578125" style="237" bestFit="1" customWidth="1"/>
    <col min="8710" max="8710" width="9.140625" style="237" customWidth="1"/>
    <col min="8711" max="8711" width="5" style="237" bestFit="1" customWidth="1"/>
    <col min="8712" max="8712" width="7.7109375" style="237" bestFit="1" customWidth="1"/>
    <col min="8713" max="8713" width="7" style="237" bestFit="1" customWidth="1"/>
    <col min="8714" max="8714" width="8.42578125" style="237" bestFit="1" customWidth="1"/>
    <col min="8715" max="8715" width="8" style="237" bestFit="1" customWidth="1"/>
    <col min="8716" max="8716" width="8" style="237" customWidth="1"/>
    <col min="8717" max="8717" width="6.28515625" style="237" customWidth="1"/>
    <col min="8718" max="8718" width="3.42578125" style="237" bestFit="1" customWidth="1"/>
    <col min="8719" max="8719" width="4.7109375" style="237" bestFit="1" customWidth="1"/>
    <col min="8720" max="8720" width="4.42578125" style="237" bestFit="1" customWidth="1"/>
    <col min="8721" max="8721" width="6.42578125" style="237" bestFit="1" customWidth="1"/>
    <col min="8722" max="8722" width="7.7109375" style="237" customWidth="1"/>
    <col min="8723" max="8723" width="4.42578125" style="237" bestFit="1" customWidth="1"/>
    <col min="8724" max="8724" width="2" style="237" bestFit="1" customWidth="1"/>
    <col min="8725" max="8725" width="1.7109375" style="237" customWidth="1"/>
    <col min="8726" max="8726" width="2" style="237" bestFit="1" customWidth="1"/>
    <col min="8727" max="8727" width="5.42578125" style="237" bestFit="1" customWidth="1"/>
    <col min="8728" max="8728" width="6.140625" style="237" bestFit="1" customWidth="1"/>
    <col min="8729" max="8730" width="6.28515625" style="237" bestFit="1" customWidth="1"/>
    <col min="8731" max="8731" width="7" style="237" bestFit="1" customWidth="1"/>
    <col min="8732" max="8732" width="9.7109375" style="237" bestFit="1" customWidth="1"/>
    <col min="8733" max="8734" width="5.28515625" style="237" bestFit="1" customWidth="1"/>
    <col min="8735" max="8736" width="6.140625" style="237" bestFit="1" customWidth="1"/>
    <col min="8737" max="8737" width="5.42578125" style="237" bestFit="1" customWidth="1"/>
    <col min="8738" max="8738" width="6.140625" style="237" bestFit="1" customWidth="1"/>
    <col min="8739" max="8739" width="6.28515625" style="237" bestFit="1" customWidth="1"/>
    <col min="8740" max="8740" width="6.140625" style="237" customWidth="1"/>
    <col min="8741" max="8742" width="5.28515625" style="237" bestFit="1" customWidth="1"/>
    <col min="8743" max="8743" width="9.7109375" style="237" bestFit="1" customWidth="1"/>
    <col min="8744" max="8744" width="8.7109375" style="237" bestFit="1" customWidth="1"/>
    <col min="8745" max="8745" width="10.7109375" style="237" bestFit="1" customWidth="1"/>
    <col min="8746" max="8746" width="12.42578125" style="237" bestFit="1" customWidth="1"/>
    <col min="8747" max="8747" width="8.42578125" style="237" bestFit="1" customWidth="1"/>
    <col min="8748" max="8748" width="9.42578125" style="237" customWidth="1"/>
    <col min="8749" max="8960" width="9.140625" style="237"/>
    <col min="8961" max="8961" width="3.7109375" style="237" bestFit="1" customWidth="1"/>
    <col min="8962" max="8962" width="17.7109375" style="237" customWidth="1"/>
    <col min="8963" max="8963" width="26.42578125" style="237" customWidth="1"/>
    <col min="8964" max="8964" width="13.42578125" style="237" customWidth="1"/>
    <col min="8965" max="8965" width="8.42578125" style="237" bestFit="1" customWidth="1"/>
    <col min="8966" max="8966" width="9.140625" style="237" customWidth="1"/>
    <col min="8967" max="8967" width="5" style="237" bestFit="1" customWidth="1"/>
    <col min="8968" max="8968" width="7.7109375" style="237" bestFit="1" customWidth="1"/>
    <col min="8969" max="8969" width="7" style="237" bestFit="1" customWidth="1"/>
    <col min="8970" max="8970" width="8.42578125" style="237" bestFit="1" customWidth="1"/>
    <col min="8971" max="8971" width="8" style="237" bestFit="1" customWidth="1"/>
    <col min="8972" max="8972" width="8" style="237" customWidth="1"/>
    <col min="8973" max="8973" width="6.28515625" style="237" customWidth="1"/>
    <col min="8974" max="8974" width="3.42578125" style="237" bestFit="1" customWidth="1"/>
    <col min="8975" max="8975" width="4.7109375" style="237" bestFit="1" customWidth="1"/>
    <col min="8976" max="8976" width="4.42578125" style="237" bestFit="1" customWidth="1"/>
    <col min="8977" max="8977" width="6.42578125" style="237" bestFit="1" customWidth="1"/>
    <col min="8978" max="8978" width="7.7109375" style="237" customWidth="1"/>
    <col min="8979" max="8979" width="4.42578125" style="237" bestFit="1" customWidth="1"/>
    <col min="8980" max="8980" width="2" style="237" bestFit="1" customWidth="1"/>
    <col min="8981" max="8981" width="1.7109375" style="237" customWidth="1"/>
    <col min="8982" max="8982" width="2" style="237" bestFit="1" customWidth="1"/>
    <col min="8983" max="8983" width="5.42578125" style="237" bestFit="1" customWidth="1"/>
    <col min="8984" max="8984" width="6.140625" style="237" bestFit="1" customWidth="1"/>
    <col min="8985" max="8986" width="6.28515625" style="237" bestFit="1" customWidth="1"/>
    <col min="8987" max="8987" width="7" style="237" bestFit="1" customWidth="1"/>
    <col min="8988" max="8988" width="9.7109375" style="237" bestFit="1" customWidth="1"/>
    <col min="8989" max="8990" width="5.28515625" style="237" bestFit="1" customWidth="1"/>
    <col min="8991" max="8992" width="6.140625" style="237" bestFit="1" customWidth="1"/>
    <col min="8993" max="8993" width="5.42578125" style="237" bestFit="1" customWidth="1"/>
    <col min="8994" max="8994" width="6.140625" style="237" bestFit="1" customWidth="1"/>
    <col min="8995" max="8995" width="6.28515625" style="237" bestFit="1" customWidth="1"/>
    <col min="8996" max="8996" width="6.140625" style="237" customWidth="1"/>
    <col min="8997" max="8998" width="5.28515625" style="237" bestFit="1" customWidth="1"/>
    <col min="8999" max="8999" width="9.7109375" style="237" bestFit="1" customWidth="1"/>
    <col min="9000" max="9000" width="8.7109375" style="237" bestFit="1" customWidth="1"/>
    <col min="9001" max="9001" width="10.7109375" style="237" bestFit="1" customWidth="1"/>
    <col min="9002" max="9002" width="12.42578125" style="237" bestFit="1" customWidth="1"/>
    <col min="9003" max="9003" width="8.42578125" style="237" bestFit="1" customWidth="1"/>
    <col min="9004" max="9004" width="9.42578125" style="237" customWidth="1"/>
    <col min="9005" max="9216" width="9.140625" style="237"/>
    <col min="9217" max="9217" width="3.7109375" style="237" bestFit="1" customWidth="1"/>
    <col min="9218" max="9218" width="17.7109375" style="237" customWidth="1"/>
    <col min="9219" max="9219" width="26.42578125" style="237" customWidth="1"/>
    <col min="9220" max="9220" width="13.42578125" style="237" customWidth="1"/>
    <col min="9221" max="9221" width="8.42578125" style="237" bestFit="1" customWidth="1"/>
    <col min="9222" max="9222" width="9.140625" style="237" customWidth="1"/>
    <col min="9223" max="9223" width="5" style="237" bestFit="1" customWidth="1"/>
    <col min="9224" max="9224" width="7.7109375" style="237" bestFit="1" customWidth="1"/>
    <col min="9225" max="9225" width="7" style="237" bestFit="1" customWidth="1"/>
    <col min="9226" max="9226" width="8.42578125" style="237" bestFit="1" customWidth="1"/>
    <col min="9227" max="9227" width="8" style="237" bestFit="1" customWidth="1"/>
    <col min="9228" max="9228" width="8" style="237" customWidth="1"/>
    <col min="9229" max="9229" width="6.28515625" style="237" customWidth="1"/>
    <col min="9230" max="9230" width="3.42578125" style="237" bestFit="1" customWidth="1"/>
    <col min="9231" max="9231" width="4.7109375" style="237" bestFit="1" customWidth="1"/>
    <col min="9232" max="9232" width="4.42578125" style="237" bestFit="1" customWidth="1"/>
    <col min="9233" max="9233" width="6.42578125" style="237" bestFit="1" customWidth="1"/>
    <col min="9234" max="9234" width="7.7109375" style="237" customWidth="1"/>
    <col min="9235" max="9235" width="4.42578125" style="237" bestFit="1" customWidth="1"/>
    <col min="9236" max="9236" width="2" style="237" bestFit="1" customWidth="1"/>
    <col min="9237" max="9237" width="1.7109375" style="237" customWidth="1"/>
    <col min="9238" max="9238" width="2" style="237" bestFit="1" customWidth="1"/>
    <col min="9239" max="9239" width="5.42578125" style="237" bestFit="1" customWidth="1"/>
    <col min="9240" max="9240" width="6.140625" style="237" bestFit="1" customWidth="1"/>
    <col min="9241" max="9242" width="6.28515625" style="237" bestFit="1" customWidth="1"/>
    <col min="9243" max="9243" width="7" style="237" bestFit="1" customWidth="1"/>
    <col min="9244" max="9244" width="9.7109375" style="237" bestFit="1" customWidth="1"/>
    <col min="9245" max="9246" width="5.28515625" style="237" bestFit="1" customWidth="1"/>
    <col min="9247" max="9248" width="6.140625" style="237" bestFit="1" customWidth="1"/>
    <col min="9249" max="9249" width="5.42578125" style="237" bestFit="1" customWidth="1"/>
    <col min="9250" max="9250" width="6.140625" style="237" bestFit="1" customWidth="1"/>
    <col min="9251" max="9251" width="6.28515625" style="237" bestFit="1" customWidth="1"/>
    <col min="9252" max="9252" width="6.140625" style="237" customWidth="1"/>
    <col min="9253" max="9254" width="5.28515625" style="237" bestFit="1" customWidth="1"/>
    <col min="9255" max="9255" width="9.7109375" style="237" bestFit="1" customWidth="1"/>
    <col min="9256" max="9256" width="8.7109375" style="237" bestFit="1" customWidth="1"/>
    <col min="9257" max="9257" width="10.7109375" style="237" bestFit="1" customWidth="1"/>
    <col min="9258" max="9258" width="12.42578125" style="237" bestFit="1" customWidth="1"/>
    <col min="9259" max="9259" width="8.42578125" style="237" bestFit="1" customWidth="1"/>
    <col min="9260" max="9260" width="9.42578125" style="237" customWidth="1"/>
    <col min="9261" max="9472" width="9.140625" style="237"/>
    <col min="9473" max="9473" width="3.7109375" style="237" bestFit="1" customWidth="1"/>
    <col min="9474" max="9474" width="17.7109375" style="237" customWidth="1"/>
    <col min="9475" max="9475" width="26.42578125" style="237" customWidth="1"/>
    <col min="9476" max="9476" width="13.42578125" style="237" customWidth="1"/>
    <col min="9477" max="9477" width="8.42578125" style="237" bestFit="1" customWidth="1"/>
    <col min="9478" max="9478" width="9.140625" style="237" customWidth="1"/>
    <col min="9479" max="9479" width="5" style="237" bestFit="1" customWidth="1"/>
    <col min="9480" max="9480" width="7.7109375" style="237" bestFit="1" customWidth="1"/>
    <col min="9481" max="9481" width="7" style="237" bestFit="1" customWidth="1"/>
    <col min="9482" max="9482" width="8.42578125" style="237" bestFit="1" customWidth="1"/>
    <col min="9483" max="9483" width="8" style="237" bestFit="1" customWidth="1"/>
    <col min="9484" max="9484" width="8" style="237" customWidth="1"/>
    <col min="9485" max="9485" width="6.28515625" style="237" customWidth="1"/>
    <col min="9486" max="9486" width="3.42578125" style="237" bestFit="1" customWidth="1"/>
    <col min="9487" max="9487" width="4.7109375" style="237" bestFit="1" customWidth="1"/>
    <col min="9488" max="9488" width="4.42578125" style="237" bestFit="1" customWidth="1"/>
    <col min="9489" max="9489" width="6.42578125" style="237" bestFit="1" customWidth="1"/>
    <col min="9490" max="9490" width="7.7109375" style="237" customWidth="1"/>
    <col min="9491" max="9491" width="4.42578125" style="237" bestFit="1" customWidth="1"/>
    <col min="9492" max="9492" width="2" style="237" bestFit="1" customWidth="1"/>
    <col min="9493" max="9493" width="1.7109375" style="237" customWidth="1"/>
    <col min="9494" max="9494" width="2" style="237" bestFit="1" customWidth="1"/>
    <col min="9495" max="9495" width="5.42578125" style="237" bestFit="1" customWidth="1"/>
    <col min="9496" max="9496" width="6.140625" style="237" bestFit="1" customWidth="1"/>
    <col min="9497" max="9498" width="6.28515625" style="237" bestFit="1" customWidth="1"/>
    <col min="9499" max="9499" width="7" style="237" bestFit="1" customWidth="1"/>
    <col min="9500" max="9500" width="9.7109375" style="237" bestFit="1" customWidth="1"/>
    <col min="9501" max="9502" width="5.28515625" style="237" bestFit="1" customWidth="1"/>
    <col min="9503" max="9504" width="6.140625" style="237" bestFit="1" customWidth="1"/>
    <col min="9505" max="9505" width="5.42578125" style="237" bestFit="1" customWidth="1"/>
    <col min="9506" max="9506" width="6.140625" style="237" bestFit="1" customWidth="1"/>
    <col min="9507" max="9507" width="6.28515625" style="237" bestFit="1" customWidth="1"/>
    <col min="9508" max="9508" width="6.140625" style="237" customWidth="1"/>
    <col min="9509" max="9510" width="5.28515625" style="237" bestFit="1" customWidth="1"/>
    <col min="9511" max="9511" width="9.7109375" style="237" bestFit="1" customWidth="1"/>
    <col min="9512" max="9512" width="8.7109375" style="237" bestFit="1" customWidth="1"/>
    <col min="9513" max="9513" width="10.7109375" style="237" bestFit="1" customWidth="1"/>
    <col min="9514" max="9514" width="12.42578125" style="237" bestFit="1" customWidth="1"/>
    <col min="9515" max="9515" width="8.42578125" style="237" bestFit="1" customWidth="1"/>
    <col min="9516" max="9516" width="9.42578125" style="237" customWidth="1"/>
    <col min="9517" max="9728" width="9.140625" style="237"/>
    <col min="9729" max="9729" width="3.7109375" style="237" bestFit="1" customWidth="1"/>
    <col min="9730" max="9730" width="17.7109375" style="237" customWidth="1"/>
    <col min="9731" max="9731" width="26.42578125" style="237" customWidth="1"/>
    <col min="9732" max="9732" width="13.42578125" style="237" customWidth="1"/>
    <col min="9733" max="9733" width="8.42578125" style="237" bestFit="1" customWidth="1"/>
    <col min="9734" max="9734" width="9.140625" style="237" customWidth="1"/>
    <col min="9735" max="9735" width="5" style="237" bestFit="1" customWidth="1"/>
    <col min="9736" max="9736" width="7.7109375" style="237" bestFit="1" customWidth="1"/>
    <col min="9737" max="9737" width="7" style="237" bestFit="1" customWidth="1"/>
    <col min="9738" max="9738" width="8.42578125" style="237" bestFit="1" customWidth="1"/>
    <col min="9739" max="9739" width="8" style="237" bestFit="1" customWidth="1"/>
    <col min="9740" max="9740" width="8" style="237" customWidth="1"/>
    <col min="9741" max="9741" width="6.28515625" style="237" customWidth="1"/>
    <col min="9742" max="9742" width="3.42578125" style="237" bestFit="1" customWidth="1"/>
    <col min="9743" max="9743" width="4.7109375" style="237" bestFit="1" customWidth="1"/>
    <col min="9744" max="9744" width="4.42578125" style="237" bestFit="1" customWidth="1"/>
    <col min="9745" max="9745" width="6.42578125" style="237" bestFit="1" customWidth="1"/>
    <col min="9746" max="9746" width="7.7109375" style="237" customWidth="1"/>
    <col min="9747" max="9747" width="4.42578125" style="237" bestFit="1" customWidth="1"/>
    <col min="9748" max="9748" width="2" style="237" bestFit="1" customWidth="1"/>
    <col min="9749" max="9749" width="1.7109375" style="237" customWidth="1"/>
    <col min="9750" max="9750" width="2" style="237" bestFit="1" customWidth="1"/>
    <col min="9751" max="9751" width="5.42578125" style="237" bestFit="1" customWidth="1"/>
    <col min="9752" max="9752" width="6.140625" style="237" bestFit="1" customWidth="1"/>
    <col min="9753" max="9754" width="6.28515625" style="237" bestFit="1" customWidth="1"/>
    <col min="9755" max="9755" width="7" style="237" bestFit="1" customWidth="1"/>
    <col min="9756" max="9756" width="9.7109375" style="237" bestFit="1" customWidth="1"/>
    <col min="9757" max="9758" width="5.28515625" style="237" bestFit="1" customWidth="1"/>
    <col min="9759" max="9760" width="6.140625" style="237" bestFit="1" customWidth="1"/>
    <col min="9761" max="9761" width="5.42578125" style="237" bestFit="1" customWidth="1"/>
    <col min="9762" max="9762" width="6.140625" style="237" bestFit="1" customWidth="1"/>
    <col min="9763" max="9763" width="6.28515625" style="237" bestFit="1" customWidth="1"/>
    <col min="9764" max="9764" width="6.140625" style="237" customWidth="1"/>
    <col min="9765" max="9766" width="5.28515625" style="237" bestFit="1" customWidth="1"/>
    <col min="9767" max="9767" width="9.7109375" style="237" bestFit="1" customWidth="1"/>
    <col min="9768" max="9768" width="8.7109375" style="237" bestFit="1" customWidth="1"/>
    <col min="9769" max="9769" width="10.7109375" style="237" bestFit="1" customWidth="1"/>
    <col min="9770" max="9770" width="12.42578125" style="237" bestFit="1" customWidth="1"/>
    <col min="9771" max="9771" width="8.42578125" style="237" bestFit="1" customWidth="1"/>
    <col min="9772" max="9772" width="9.42578125" style="237" customWidth="1"/>
    <col min="9773" max="9984" width="9.140625" style="237"/>
    <col min="9985" max="9985" width="3.7109375" style="237" bestFit="1" customWidth="1"/>
    <col min="9986" max="9986" width="17.7109375" style="237" customWidth="1"/>
    <col min="9987" max="9987" width="26.42578125" style="237" customWidth="1"/>
    <col min="9988" max="9988" width="13.42578125" style="237" customWidth="1"/>
    <col min="9989" max="9989" width="8.42578125" style="237" bestFit="1" customWidth="1"/>
    <col min="9990" max="9990" width="9.140625" style="237" customWidth="1"/>
    <col min="9991" max="9991" width="5" style="237" bestFit="1" customWidth="1"/>
    <col min="9992" max="9992" width="7.7109375" style="237" bestFit="1" customWidth="1"/>
    <col min="9993" max="9993" width="7" style="237" bestFit="1" customWidth="1"/>
    <col min="9994" max="9994" width="8.42578125" style="237" bestFit="1" customWidth="1"/>
    <col min="9995" max="9995" width="8" style="237" bestFit="1" customWidth="1"/>
    <col min="9996" max="9996" width="8" style="237" customWidth="1"/>
    <col min="9997" max="9997" width="6.28515625" style="237" customWidth="1"/>
    <col min="9998" max="9998" width="3.42578125" style="237" bestFit="1" customWidth="1"/>
    <col min="9999" max="9999" width="4.7109375" style="237" bestFit="1" customWidth="1"/>
    <col min="10000" max="10000" width="4.42578125" style="237" bestFit="1" customWidth="1"/>
    <col min="10001" max="10001" width="6.42578125" style="237" bestFit="1" customWidth="1"/>
    <col min="10002" max="10002" width="7.7109375" style="237" customWidth="1"/>
    <col min="10003" max="10003" width="4.42578125" style="237" bestFit="1" customWidth="1"/>
    <col min="10004" max="10004" width="2" style="237" bestFit="1" customWidth="1"/>
    <col min="10005" max="10005" width="1.7109375" style="237" customWidth="1"/>
    <col min="10006" max="10006" width="2" style="237" bestFit="1" customWidth="1"/>
    <col min="10007" max="10007" width="5.42578125" style="237" bestFit="1" customWidth="1"/>
    <col min="10008" max="10008" width="6.140625" style="237" bestFit="1" customWidth="1"/>
    <col min="10009" max="10010" width="6.28515625" style="237" bestFit="1" customWidth="1"/>
    <col min="10011" max="10011" width="7" style="237" bestFit="1" customWidth="1"/>
    <col min="10012" max="10012" width="9.7109375" style="237" bestFit="1" customWidth="1"/>
    <col min="10013" max="10014" width="5.28515625" style="237" bestFit="1" customWidth="1"/>
    <col min="10015" max="10016" width="6.140625" style="237" bestFit="1" customWidth="1"/>
    <col min="10017" max="10017" width="5.42578125" style="237" bestFit="1" customWidth="1"/>
    <col min="10018" max="10018" width="6.140625" style="237" bestFit="1" customWidth="1"/>
    <col min="10019" max="10019" width="6.28515625" style="237" bestFit="1" customWidth="1"/>
    <col min="10020" max="10020" width="6.140625" style="237" customWidth="1"/>
    <col min="10021" max="10022" width="5.28515625" style="237" bestFit="1" customWidth="1"/>
    <col min="10023" max="10023" width="9.7109375" style="237" bestFit="1" customWidth="1"/>
    <col min="10024" max="10024" width="8.7109375" style="237" bestFit="1" customWidth="1"/>
    <col min="10025" max="10025" width="10.7109375" style="237" bestFit="1" customWidth="1"/>
    <col min="10026" max="10026" width="12.42578125" style="237" bestFit="1" customWidth="1"/>
    <col min="10027" max="10027" width="8.42578125" style="237" bestFit="1" customWidth="1"/>
    <col min="10028" max="10028" width="9.42578125" style="237" customWidth="1"/>
    <col min="10029" max="10240" width="9.140625" style="237"/>
    <col min="10241" max="10241" width="3.7109375" style="237" bestFit="1" customWidth="1"/>
    <col min="10242" max="10242" width="17.7109375" style="237" customWidth="1"/>
    <col min="10243" max="10243" width="26.42578125" style="237" customWidth="1"/>
    <col min="10244" max="10244" width="13.42578125" style="237" customWidth="1"/>
    <col min="10245" max="10245" width="8.42578125" style="237" bestFit="1" customWidth="1"/>
    <col min="10246" max="10246" width="9.140625" style="237" customWidth="1"/>
    <col min="10247" max="10247" width="5" style="237" bestFit="1" customWidth="1"/>
    <col min="10248" max="10248" width="7.7109375" style="237" bestFit="1" customWidth="1"/>
    <col min="10249" max="10249" width="7" style="237" bestFit="1" customWidth="1"/>
    <col min="10250" max="10250" width="8.42578125" style="237" bestFit="1" customWidth="1"/>
    <col min="10251" max="10251" width="8" style="237" bestFit="1" customWidth="1"/>
    <col min="10252" max="10252" width="8" style="237" customWidth="1"/>
    <col min="10253" max="10253" width="6.28515625" style="237" customWidth="1"/>
    <col min="10254" max="10254" width="3.42578125" style="237" bestFit="1" customWidth="1"/>
    <col min="10255" max="10255" width="4.7109375" style="237" bestFit="1" customWidth="1"/>
    <col min="10256" max="10256" width="4.42578125" style="237" bestFit="1" customWidth="1"/>
    <col min="10257" max="10257" width="6.42578125" style="237" bestFit="1" customWidth="1"/>
    <col min="10258" max="10258" width="7.7109375" style="237" customWidth="1"/>
    <col min="10259" max="10259" width="4.42578125" style="237" bestFit="1" customWidth="1"/>
    <col min="10260" max="10260" width="2" style="237" bestFit="1" customWidth="1"/>
    <col min="10261" max="10261" width="1.7109375" style="237" customWidth="1"/>
    <col min="10262" max="10262" width="2" style="237" bestFit="1" customWidth="1"/>
    <col min="10263" max="10263" width="5.42578125" style="237" bestFit="1" customWidth="1"/>
    <col min="10264" max="10264" width="6.140625" style="237" bestFit="1" customWidth="1"/>
    <col min="10265" max="10266" width="6.28515625" style="237" bestFit="1" customWidth="1"/>
    <col min="10267" max="10267" width="7" style="237" bestFit="1" customWidth="1"/>
    <col min="10268" max="10268" width="9.7109375" style="237" bestFit="1" customWidth="1"/>
    <col min="10269" max="10270" width="5.28515625" style="237" bestFit="1" customWidth="1"/>
    <col min="10271" max="10272" width="6.140625" style="237" bestFit="1" customWidth="1"/>
    <col min="10273" max="10273" width="5.42578125" style="237" bestFit="1" customWidth="1"/>
    <col min="10274" max="10274" width="6.140625" style="237" bestFit="1" customWidth="1"/>
    <col min="10275" max="10275" width="6.28515625" style="237" bestFit="1" customWidth="1"/>
    <col min="10276" max="10276" width="6.140625" style="237" customWidth="1"/>
    <col min="10277" max="10278" width="5.28515625" style="237" bestFit="1" customWidth="1"/>
    <col min="10279" max="10279" width="9.7109375" style="237" bestFit="1" customWidth="1"/>
    <col min="10280" max="10280" width="8.7109375" style="237" bestFit="1" customWidth="1"/>
    <col min="10281" max="10281" width="10.7109375" style="237" bestFit="1" customWidth="1"/>
    <col min="10282" max="10282" width="12.42578125" style="237" bestFit="1" customWidth="1"/>
    <col min="10283" max="10283" width="8.42578125" style="237" bestFit="1" customWidth="1"/>
    <col min="10284" max="10284" width="9.42578125" style="237" customWidth="1"/>
    <col min="10285" max="10496" width="9.140625" style="237"/>
    <col min="10497" max="10497" width="3.7109375" style="237" bestFit="1" customWidth="1"/>
    <col min="10498" max="10498" width="17.7109375" style="237" customWidth="1"/>
    <col min="10499" max="10499" width="26.42578125" style="237" customWidth="1"/>
    <col min="10500" max="10500" width="13.42578125" style="237" customWidth="1"/>
    <col min="10501" max="10501" width="8.42578125" style="237" bestFit="1" customWidth="1"/>
    <col min="10502" max="10502" width="9.140625" style="237" customWidth="1"/>
    <col min="10503" max="10503" width="5" style="237" bestFit="1" customWidth="1"/>
    <col min="10504" max="10504" width="7.7109375" style="237" bestFit="1" customWidth="1"/>
    <col min="10505" max="10505" width="7" style="237" bestFit="1" customWidth="1"/>
    <col min="10506" max="10506" width="8.42578125" style="237" bestFit="1" customWidth="1"/>
    <col min="10507" max="10507" width="8" style="237" bestFit="1" customWidth="1"/>
    <col min="10508" max="10508" width="8" style="237" customWidth="1"/>
    <col min="10509" max="10509" width="6.28515625" style="237" customWidth="1"/>
    <col min="10510" max="10510" width="3.42578125" style="237" bestFit="1" customWidth="1"/>
    <col min="10511" max="10511" width="4.7109375" style="237" bestFit="1" customWidth="1"/>
    <col min="10512" max="10512" width="4.42578125" style="237" bestFit="1" customWidth="1"/>
    <col min="10513" max="10513" width="6.42578125" style="237" bestFit="1" customWidth="1"/>
    <col min="10514" max="10514" width="7.7109375" style="237" customWidth="1"/>
    <col min="10515" max="10515" width="4.42578125" style="237" bestFit="1" customWidth="1"/>
    <col min="10516" max="10516" width="2" style="237" bestFit="1" customWidth="1"/>
    <col min="10517" max="10517" width="1.7109375" style="237" customWidth="1"/>
    <col min="10518" max="10518" width="2" style="237" bestFit="1" customWidth="1"/>
    <col min="10519" max="10519" width="5.42578125" style="237" bestFit="1" customWidth="1"/>
    <col min="10520" max="10520" width="6.140625" style="237" bestFit="1" customWidth="1"/>
    <col min="10521" max="10522" width="6.28515625" style="237" bestFit="1" customWidth="1"/>
    <col min="10523" max="10523" width="7" style="237" bestFit="1" customWidth="1"/>
    <col min="10524" max="10524" width="9.7109375" style="237" bestFit="1" customWidth="1"/>
    <col min="10525" max="10526" width="5.28515625" style="237" bestFit="1" customWidth="1"/>
    <col min="10527" max="10528" width="6.140625" style="237" bestFit="1" customWidth="1"/>
    <col min="10529" max="10529" width="5.42578125" style="237" bestFit="1" customWidth="1"/>
    <col min="10530" max="10530" width="6.140625" style="237" bestFit="1" customWidth="1"/>
    <col min="10531" max="10531" width="6.28515625" style="237" bestFit="1" customWidth="1"/>
    <col min="10532" max="10532" width="6.140625" style="237" customWidth="1"/>
    <col min="10533" max="10534" width="5.28515625" style="237" bestFit="1" customWidth="1"/>
    <col min="10535" max="10535" width="9.7109375" style="237" bestFit="1" customWidth="1"/>
    <col min="10536" max="10536" width="8.7109375" style="237" bestFit="1" customWidth="1"/>
    <col min="10537" max="10537" width="10.7109375" style="237" bestFit="1" customWidth="1"/>
    <col min="10538" max="10538" width="12.42578125" style="237" bestFit="1" customWidth="1"/>
    <col min="10539" max="10539" width="8.42578125" style="237" bestFit="1" customWidth="1"/>
    <col min="10540" max="10540" width="9.42578125" style="237" customWidth="1"/>
    <col min="10541" max="10752" width="9.140625" style="237"/>
    <col min="10753" max="10753" width="3.7109375" style="237" bestFit="1" customWidth="1"/>
    <col min="10754" max="10754" width="17.7109375" style="237" customWidth="1"/>
    <col min="10755" max="10755" width="26.42578125" style="237" customWidth="1"/>
    <col min="10756" max="10756" width="13.42578125" style="237" customWidth="1"/>
    <col min="10757" max="10757" width="8.42578125" style="237" bestFit="1" customWidth="1"/>
    <col min="10758" max="10758" width="9.140625" style="237" customWidth="1"/>
    <col min="10759" max="10759" width="5" style="237" bestFit="1" customWidth="1"/>
    <col min="10760" max="10760" width="7.7109375" style="237" bestFit="1" customWidth="1"/>
    <col min="10761" max="10761" width="7" style="237" bestFit="1" customWidth="1"/>
    <col min="10762" max="10762" width="8.42578125" style="237" bestFit="1" customWidth="1"/>
    <col min="10763" max="10763" width="8" style="237" bestFit="1" customWidth="1"/>
    <col min="10764" max="10764" width="8" style="237" customWidth="1"/>
    <col min="10765" max="10765" width="6.28515625" style="237" customWidth="1"/>
    <col min="10766" max="10766" width="3.42578125" style="237" bestFit="1" customWidth="1"/>
    <col min="10767" max="10767" width="4.7109375" style="237" bestFit="1" customWidth="1"/>
    <col min="10768" max="10768" width="4.42578125" style="237" bestFit="1" customWidth="1"/>
    <col min="10769" max="10769" width="6.42578125" style="237" bestFit="1" customWidth="1"/>
    <col min="10770" max="10770" width="7.7109375" style="237" customWidth="1"/>
    <col min="10771" max="10771" width="4.42578125" style="237" bestFit="1" customWidth="1"/>
    <col min="10772" max="10772" width="2" style="237" bestFit="1" customWidth="1"/>
    <col min="10773" max="10773" width="1.7109375" style="237" customWidth="1"/>
    <col min="10774" max="10774" width="2" style="237" bestFit="1" customWidth="1"/>
    <col min="10775" max="10775" width="5.42578125" style="237" bestFit="1" customWidth="1"/>
    <col min="10776" max="10776" width="6.140625" style="237" bestFit="1" customWidth="1"/>
    <col min="10777" max="10778" width="6.28515625" style="237" bestFit="1" customWidth="1"/>
    <col min="10779" max="10779" width="7" style="237" bestFit="1" customWidth="1"/>
    <col min="10780" max="10780" width="9.7109375" style="237" bestFit="1" customWidth="1"/>
    <col min="10781" max="10782" width="5.28515625" style="237" bestFit="1" customWidth="1"/>
    <col min="10783" max="10784" width="6.140625" style="237" bestFit="1" customWidth="1"/>
    <col min="10785" max="10785" width="5.42578125" style="237" bestFit="1" customWidth="1"/>
    <col min="10786" max="10786" width="6.140625" style="237" bestFit="1" customWidth="1"/>
    <col min="10787" max="10787" width="6.28515625" style="237" bestFit="1" customWidth="1"/>
    <col min="10788" max="10788" width="6.140625" style="237" customWidth="1"/>
    <col min="10789" max="10790" width="5.28515625" style="237" bestFit="1" customWidth="1"/>
    <col min="10791" max="10791" width="9.7109375" style="237" bestFit="1" customWidth="1"/>
    <col min="10792" max="10792" width="8.7109375" style="237" bestFit="1" customWidth="1"/>
    <col min="10793" max="10793" width="10.7109375" style="237" bestFit="1" customWidth="1"/>
    <col min="10794" max="10794" width="12.42578125" style="237" bestFit="1" customWidth="1"/>
    <col min="10795" max="10795" width="8.42578125" style="237" bestFit="1" customWidth="1"/>
    <col min="10796" max="10796" width="9.42578125" style="237" customWidth="1"/>
    <col min="10797" max="11008" width="9.140625" style="237"/>
    <col min="11009" max="11009" width="3.7109375" style="237" bestFit="1" customWidth="1"/>
    <col min="11010" max="11010" width="17.7109375" style="237" customWidth="1"/>
    <col min="11011" max="11011" width="26.42578125" style="237" customWidth="1"/>
    <col min="11012" max="11012" width="13.42578125" style="237" customWidth="1"/>
    <col min="11013" max="11013" width="8.42578125" style="237" bestFit="1" customWidth="1"/>
    <col min="11014" max="11014" width="9.140625" style="237" customWidth="1"/>
    <col min="11015" max="11015" width="5" style="237" bestFit="1" customWidth="1"/>
    <col min="11016" max="11016" width="7.7109375" style="237" bestFit="1" customWidth="1"/>
    <col min="11017" max="11017" width="7" style="237" bestFit="1" customWidth="1"/>
    <col min="11018" max="11018" width="8.42578125" style="237" bestFit="1" customWidth="1"/>
    <col min="11019" max="11019" width="8" style="237" bestFit="1" customWidth="1"/>
    <col min="11020" max="11020" width="8" style="237" customWidth="1"/>
    <col min="11021" max="11021" width="6.28515625" style="237" customWidth="1"/>
    <col min="11022" max="11022" width="3.42578125" style="237" bestFit="1" customWidth="1"/>
    <col min="11023" max="11023" width="4.7109375" style="237" bestFit="1" customWidth="1"/>
    <col min="11024" max="11024" width="4.42578125" style="237" bestFit="1" customWidth="1"/>
    <col min="11025" max="11025" width="6.42578125" style="237" bestFit="1" customWidth="1"/>
    <col min="11026" max="11026" width="7.7109375" style="237" customWidth="1"/>
    <col min="11027" max="11027" width="4.42578125" style="237" bestFit="1" customWidth="1"/>
    <col min="11028" max="11028" width="2" style="237" bestFit="1" customWidth="1"/>
    <col min="11029" max="11029" width="1.7109375" style="237" customWidth="1"/>
    <col min="11030" max="11030" width="2" style="237" bestFit="1" customWidth="1"/>
    <col min="11031" max="11031" width="5.42578125" style="237" bestFit="1" customWidth="1"/>
    <col min="11032" max="11032" width="6.140625" style="237" bestFit="1" customWidth="1"/>
    <col min="11033" max="11034" width="6.28515625" style="237" bestFit="1" customWidth="1"/>
    <col min="11035" max="11035" width="7" style="237" bestFit="1" customWidth="1"/>
    <col min="11036" max="11036" width="9.7109375" style="237" bestFit="1" customWidth="1"/>
    <col min="11037" max="11038" width="5.28515625" style="237" bestFit="1" customWidth="1"/>
    <col min="11039" max="11040" width="6.140625" style="237" bestFit="1" customWidth="1"/>
    <col min="11041" max="11041" width="5.42578125" style="237" bestFit="1" customWidth="1"/>
    <col min="11042" max="11042" width="6.140625" style="237" bestFit="1" customWidth="1"/>
    <col min="11043" max="11043" width="6.28515625" style="237" bestFit="1" customWidth="1"/>
    <col min="11044" max="11044" width="6.140625" style="237" customWidth="1"/>
    <col min="11045" max="11046" width="5.28515625" style="237" bestFit="1" customWidth="1"/>
    <col min="11047" max="11047" width="9.7109375" style="237" bestFit="1" customWidth="1"/>
    <col min="11048" max="11048" width="8.7109375" style="237" bestFit="1" customWidth="1"/>
    <col min="11049" max="11049" width="10.7109375" style="237" bestFit="1" customWidth="1"/>
    <col min="11050" max="11050" width="12.42578125" style="237" bestFit="1" customWidth="1"/>
    <col min="11051" max="11051" width="8.42578125" style="237" bestFit="1" customWidth="1"/>
    <col min="11052" max="11052" width="9.42578125" style="237" customWidth="1"/>
    <col min="11053" max="11264" width="9.140625" style="237"/>
    <col min="11265" max="11265" width="3.7109375" style="237" bestFit="1" customWidth="1"/>
    <col min="11266" max="11266" width="17.7109375" style="237" customWidth="1"/>
    <col min="11267" max="11267" width="26.42578125" style="237" customWidth="1"/>
    <col min="11268" max="11268" width="13.42578125" style="237" customWidth="1"/>
    <col min="11269" max="11269" width="8.42578125" style="237" bestFit="1" customWidth="1"/>
    <col min="11270" max="11270" width="9.140625" style="237" customWidth="1"/>
    <col min="11271" max="11271" width="5" style="237" bestFit="1" customWidth="1"/>
    <col min="11272" max="11272" width="7.7109375" style="237" bestFit="1" customWidth="1"/>
    <col min="11273" max="11273" width="7" style="237" bestFit="1" customWidth="1"/>
    <col min="11274" max="11274" width="8.42578125" style="237" bestFit="1" customWidth="1"/>
    <col min="11275" max="11275" width="8" style="237" bestFit="1" customWidth="1"/>
    <col min="11276" max="11276" width="8" style="237" customWidth="1"/>
    <col min="11277" max="11277" width="6.28515625" style="237" customWidth="1"/>
    <col min="11278" max="11278" width="3.42578125" style="237" bestFit="1" customWidth="1"/>
    <col min="11279" max="11279" width="4.7109375" style="237" bestFit="1" customWidth="1"/>
    <col min="11280" max="11280" width="4.42578125" style="237" bestFit="1" customWidth="1"/>
    <col min="11281" max="11281" width="6.42578125" style="237" bestFit="1" customWidth="1"/>
    <col min="11282" max="11282" width="7.7109375" style="237" customWidth="1"/>
    <col min="11283" max="11283" width="4.42578125" style="237" bestFit="1" customWidth="1"/>
    <col min="11284" max="11284" width="2" style="237" bestFit="1" customWidth="1"/>
    <col min="11285" max="11285" width="1.7109375" style="237" customWidth="1"/>
    <col min="11286" max="11286" width="2" style="237" bestFit="1" customWidth="1"/>
    <col min="11287" max="11287" width="5.42578125" style="237" bestFit="1" customWidth="1"/>
    <col min="11288" max="11288" width="6.140625" style="237" bestFit="1" customWidth="1"/>
    <col min="11289" max="11290" width="6.28515625" style="237" bestFit="1" customWidth="1"/>
    <col min="11291" max="11291" width="7" style="237" bestFit="1" customWidth="1"/>
    <col min="11292" max="11292" width="9.7109375" style="237" bestFit="1" customWidth="1"/>
    <col min="11293" max="11294" width="5.28515625" style="237" bestFit="1" customWidth="1"/>
    <col min="11295" max="11296" width="6.140625" style="237" bestFit="1" customWidth="1"/>
    <col min="11297" max="11297" width="5.42578125" style="237" bestFit="1" customWidth="1"/>
    <col min="11298" max="11298" width="6.140625" style="237" bestFit="1" customWidth="1"/>
    <col min="11299" max="11299" width="6.28515625" style="237" bestFit="1" customWidth="1"/>
    <col min="11300" max="11300" width="6.140625" style="237" customWidth="1"/>
    <col min="11301" max="11302" width="5.28515625" style="237" bestFit="1" customWidth="1"/>
    <col min="11303" max="11303" width="9.7109375" style="237" bestFit="1" customWidth="1"/>
    <col min="11304" max="11304" width="8.7109375" style="237" bestFit="1" customWidth="1"/>
    <col min="11305" max="11305" width="10.7109375" style="237" bestFit="1" customWidth="1"/>
    <col min="11306" max="11306" width="12.42578125" style="237" bestFit="1" customWidth="1"/>
    <col min="11307" max="11307" width="8.42578125" style="237" bestFit="1" customWidth="1"/>
    <col min="11308" max="11308" width="9.42578125" style="237" customWidth="1"/>
    <col min="11309" max="11520" width="9.140625" style="237"/>
    <col min="11521" max="11521" width="3.7109375" style="237" bestFit="1" customWidth="1"/>
    <col min="11522" max="11522" width="17.7109375" style="237" customWidth="1"/>
    <col min="11523" max="11523" width="26.42578125" style="237" customWidth="1"/>
    <col min="11524" max="11524" width="13.42578125" style="237" customWidth="1"/>
    <col min="11525" max="11525" width="8.42578125" style="237" bestFit="1" customWidth="1"/>
    <col min="11526" max="11526" width="9.140625" style="237" customWidth="1"/>
    <col min="11527" max="11527" width="5" style="237" bestFit="1" customWidth="1"/>
    <col min="11528" max="11528" width="7.7109375" style="237" bestFit="1" customWidth="1"/>
    <col min="11529" max="11529" width="7" style="237" bestFit="1" customWidth="1"/>
    <col min="11530" max="11530" width="8.42578125" style="237" bestFit="1" customWidth="1"/>
    <col min="11531" max="11531" width="8" style="237" bestFit="1" customWidth="1"/>
    <col min="11532" max="11532" width="8" style="237" customWidth="1"/>
    <col min="11533" max="11533" width="6.28515625" style="237" customWidth="1"/>
    <col min="11534" max="11534" width="3.42578125" style="237" bestFit="1" customWidth="1"/>
    <col min="11535" max="11535" width="4.7109375" style="237" bestFit="1" customWidth="1"/>
    <col min="11536" max="11536" width="4.42578125" style="237" bestFit="1" customWidth="1"/>
    <col min="11537" max="11537" width="6.42578125" style="237" bestFit="1" customWidth="1"/>
    <col min="11538" max="11538" width="7.7109375" style="237" customWidth="1"/>
    <col min="11539" max="11539" width="4.42578125" style="237" bestFit="1" customWidth="1"/>
    <col min="11540" max="11540" width="2" style="237" bestFit="1" customWidth="1"/>
    <col min="11541" max="11541" width="1.7109375" style="237" customWidth="1"/>
    <col min="11542" max="11542" width="2" style="237" bestFit="1" customWidth="1"/>
    <col min="11543" max="11543" width="5.42578125" style="237" bestFit="1" customWidth="1"/>
    <col min="11544" max="11544" width="6.140625" style="237" bestFit="1" customWidth="1"/>
    <col min="11545" max="11546" width="6.28515625" style="237" bestFit="1" customWidth="1"/>
    <col min="11547" max="11547" width="7" style="237" bestFit="1" customWidth="1"/>
    <col min="11548" max="11548" width="9.7109375" style="237" bestFit="1" customWidth="1"/>
    <col min="11549" max="11550" width="5.28515625" style="237" bestFit="1" customWidth="1"/>
    <col min="11551" max="11552" width="6.140625" style="237" bestFit="1" customWidth="1"/>
    <col min="11553" max="11553" width="5.42578125" style="237" bestFit="1" customWidth="1"/>
    <col min="11554" max="11554" width="6.140625" style="237" bestFit="1" customWidth="1"/>
    <col min="11555" max="11555" width="6.28515625" style="237" bestFit="1" customWidth="1"/>
    <col min="11556" max="11556" width="6.140625" style="237" customWidth="1"/>
    <col min="11557" max="11558" width="5.28515625" style="237" bestFit="1" customWidth="1"/>
    <col min="11559" max="11559" width="9.7109375" style="237" bestFit="1" customWidth="1"/>
    <col min="11560" max="11560" width="8.7109375" style="237" bestFit="1" customWidth="1"/>
    <col min="11561" max="11561" width="10.7109375" style="237" bestFit="1" customWidth="1"/>
    <col min="11562" max="11562" width="12.42578125" style="237" bestFit="1" customWidth="1"/>
    <col min="11563" max="11563" width="8.42578125" style="237" bestFit="1" customWidth="1"/>
    <col min="11564" max="11564" width="9.42578125" style="237" customWidth="1"/>
    <col min="11565" max="11776" width="9.140625" style="237"/>
    <col min="11777" max="11777" width="3.7109375" style="237" bestFit="1" customWidth="1"/>
    <col min="11778" max="11778" width="17.7109375" style="237" customWidth="1"/>
    <col min="11779" max="11779" width="26.42578125" style="237" customWidth="1"/>
    <col min="11780" max="11780" width="13.42578125" style="237" customWidth="1"/>
    <col min="11781" max="11781" width="8.42578125" style="237" bestFit="1" customWidth="1"/>
    <col min="11782" max="11782" width="9.140625" style="237" customWidth="1"/>
    <col min="11783" max="11783" width="5" style="237" bestFit="1" customWidth="1"/>
    <col min="11784" max="11784" width="7.7109375" style="237" bestFit="1" customWidth="1"/>
    <col min="11785" max="11785" width="7" style="237" bestFit="1" customWidth="1"/>
    <col min="11786" max="11786" width="8.42578125" style="237" bestFit="1" customWidth="1"/>
    <col min="11787" max="11787" width="8" style="237" bestFit="1" customWidth="1"/>
    <col min="11788" max="11788" width="8" style="237" customWidth="1"/>
    <col min="11789" max="11789" width="6.28515625" style="237" customWidth="1"/>
    <col min="11790" max="11790" width="3.42578125" style="237" bestFit="1" customWidth="1"/>
    <col min="11791" max="11791" width="4.7109375" style="237" bestFit="1" customWidth="1"/>
    <col min="11792" max="11792" width="4.42578125" style="237" bestFit="1" customWidth="1"/>
    <col min="11793" max="11793" width="6.42578125" style="237" bestFit="1" customWidth="1"/>
    <col min="11794" max="11794" width="7.7109375" style="237" customWidth="1"/>
    <col min="11795" max="11795" width="4.42578125" style="237" bestFit="1" customWidth="1"/>
    <col min="11796" max="11796" width="2" style="237" bestFit="1" customWidth="1"/>
    <col min="11797" max="11797" width="1.7109375" style="237" customWidth="1"/>
    <col min="11798" max="11798" width="2" style="237" bestFit="1" customWidth="1"/>
    <col min="11799" max="11799" width="5.42578125" style="237" bestFit="1" customWidth="1"/>
    <col min="11800" max="11800" width="6.140625" style="237" bestFit="1" customWidth="1"/>
    <col min="11801" max="11802" width="6.28515625" style="237" bestFit="1" customWidth="1"/>
    <col min="11803" max="11803" width="7" style="237" bestFit="1" customWidth="1"/>
    <col min="11804" max="11804" width="9.7109375" style="237" bestFit="1" customWidth="1"/>
    <col min="11805" max="11806" width="5.28515625" style="237" bestFit="1" customWidth="1"/>
    <col min="11807" max="11808" width="6.140625" style="237" bestFit="1" customWidth="1"/>
    <col min="11809" max="11809" width="5.42578125" style="237" bestFit="1" customWidth="1"/>
    <col min="11810" max="11810" width="6.140625" style="237" bestFit="1" customWidth="1"/>
    <col min="11811" max="11811" width="6.28515625" style="237" bestFit="1" customWidth="1"/>
    <col min="11812" max="11812" width="6.140625" style="237" customWidth="1"/>
    <col min="11813" max="11814" width="5.28515625" style="237" bestFit="1" customWidth="1"/>
    <col min="11815" max="11815" width="9.7109375" style="237" bestFit="1" customWidth="1"/>
    <col min="11816" max="11816" width="8.7109375" style="237" bestFit="1" customWidth="1"/>
    <col min="11817" max="11817" width="10.7109375" style="237" bestFit="1" customWidth="1"/>
    <col min="11818" max="11818" width="12.42578125" style="237" bestFit="1" customWidth="1"/>
    <col min="11819" max="11819" width="8.42578125" style="237" bestFit="1" customWidth="1"/>
    <col min="11820" max="11820" width="9.42578125" style="237" customWidth="1"/>
    <col min="11821" max="12032" width="9.140625" style="237"/>
    <col min="12033" max="12033" width="3.7109375" style="237" bestFit="1" customWidth="1"/>
    <col min="12034" max="12034" width="17.7109375" style="237" customWidth="1"/>
    <col min="12035" max="12035" width="26.42578125" style="237" customWidth="1"/>
    <col min="12036" max="12036" width="13.42578125" style="237" customWidth="1"/>
    <col min="12037" max="12037" width="8.42578125" style="237" bestFit="1" customWidth="1"/>
    <col min="12038" max="12038" width="9.140625" style="237" customWidth="1"/>
    <col min="12039" max="12039" width="5" style="237" bestFit="1" customWidth="1"/>
    <col min="12040" max="12040" width="7.7109375" style="237" bestFit="1" customWidth="1"/>
    <col min="12041" max="12041" width="7" style="237" bestFit="1" customWidth="1"/>
    <col min="12042" max="12042" width="8.42578125" style="237" bestFit="1" customWidth="1"/>
    <col min="12043" max="12043" width="8" style="237" bestFit="1" customWidth="1"/>
    <col min="12044" max="12044" width="8" style="237" customWidth="1"/>
    <col min="12045" max="12045" width="6.28515625" style="237" customWidth="1"/>
    <col min="12046" max="12046" width="3.42578125" style="237" bestFit="1" customWidth="1"/>
    <col min="12047" max="12047" width="4.7109375" style="237" bestFit="1" customWidth="1"/>
    <col min="12048" max="12048" width="4.42578125" style="237" bestFit="1" customWidth="1"/>
    <col min="12049" max="12049" width="6.42578125" style="237" bestFit="1" customWidth="1"/>
    <col min="12050" max="12050" width="7.7109375" style="237" customWidth="1"/>
    <col min="12051" max="12051" width="4.42578125" style="237" bestFit="1" customWidth="1"/>
    <col min="12052" max="12052" width="2" style="237" bestFit="1" customWidth="1"/>
    <col min="12053" max="12053" width="1.7109375" style="237" customWidth="1"/>
    <col min="12054" max="12054" width="2" style="237" bestFit="1" customWidth="1"/>
    <col min="12055" max="12055" width="5.42578125" style="237" bestFit="1" customWidth="1"/>
    <col min="12056" max="12056" width="6.140625" style="237" bestFit="1" customWidth="1"/>
    <col min="12057" max="12058" width="6.28515625" style="237" bestFit="1" customWidth="1"/>
    <col min="12059" max="12059" width="7" style="237" bestFit="1" customWidth="1"/>
    <col min="12060" max="12060" width="9.7109375" style="237" bestFit="1" customWidth="1"/>
    <col min="12061" max="12062" width="5.28515625" style="237" bestFit="1" customWidth="1"/>
    <col min="12063" max="12064" width="6.140625" style="237" bestFit="1" customWidth="1"/>
    <col min="12065" max="12065" width="5.42578125" style="237" bestFit="1" customWidth="1"/>
    <col min="12066" max="12066" width="6.140625" style="237" bestFit="1" customWidth="1"/>
    <col min="12067" max="12067" width="6.28515625" style="237" bestFit="1" customWidth="1"/>
    <col min="12068" max="12068" width="6.140625" style="237" customWidth="1"/>
    <col min="12069" max="12070" width="5.28515625" style="237" bestFit="1" customWidth="1"/>
    <col min="12071" max="12071" width="9.7109375" style="237" bestFit="1" customWidth="1"/>
    <col min="12072" max="12072" width="8.7109375" style="237" bestFit="1" customWidth="1"/>
    <col min="12073" max="12073" width="10.7109375" style="237" bestFit="1" customWidth="1"/>
    <col min="12074" max="12074" width="12.42578125" style="237" bestFit="1" customWidth="1"/>
    <col min="12075" max="12075" width="8.42578125" style="237" bestFit="1" customWidth="1"/>
    <col min="12076" max="12076" width="9.42578125" style="237" customWidth="1"/>
    <col min="12077" max="12288" width="9.140625" style="237"/>
    <col min="12289" max="12289" width="3.7109375" style="237" bestFit="1" customWidth="1"/>
    <col min="12290" max="12290" width="17.7109375" style="237" customWidth="1"/>
    <col min="12291" max="12291" width="26.42578125" style="237" customWidth="1"/>
    <col min="12292" max="12292" width="13.42578125" style="237" customWidth="1"/>
    <col min="12293" max="12293" width="8.42578125" style="237" bestFit="1" customWidth="1"/>
    <col min="12294" max="12294" width="9.140625" style="237" customWidth="1"/>
    <col min="12295" max="12295" width="5" style="237" bestFit="1" customWidth="1"/>
    <col min="12296" max="12296" width="7.7109375" style="237" bestFit="1" customWidth="1"/>
    <col min="12297" max="12297" width="7" style="237" bestFit="1" customWidth="1"/>
    <col min="12298" max="12298" width="8.42578125" style="237" bestFit="1" customWidth="1"/>
    <col min="12299" max="12299" width="8" style="237" bestFit="1" customWidth="1"/>
    <col min="12300" max="12300" width="8" style="237" customWidth="1"/>
    <col min="12301" max="12301" width="6.28515625" style="237" customWidth="1"/>
    <col min="12302" max="12302" width="3.42578125" style="237" bestFit="1" customWidth="1"/>
    <col min="12303" max="12303" width="4.7109375" style="237" bestFit="1" customWidth="1"/>
    <col min="12304" max="12304" width="4.42578125" style="237" bestFit="1" customWidth="1"/>
    <col min="12305" max="12305" width="6.42578125" style="237" bestFit="1" customWidth="1"/>
    <col min="12306" max="12306" width="7.7109375" style="237" customWidth="1"/>
    <col min="12307" max="12307" width="4.42578125" style="237" bestFit="1" customWidth="1"/>
    <col min="12308" max="12308" width="2" style="237" bestFit="1" customWidth="1"/>
    <col min="12309" max="12309" width="1.7109375" style="237" customWidth="1"/>
    <col min="12310" max="12310" width="2" style="237" bestFit="1" customWidth="1"/>
    <col min="12311" max="12311" width="5.42578125" style="237" bestFit="1" customWidth="1"/>
    <col min="12312" max="12312" width="6.140625" style="237" bestFit="1" customWidth="1"/>
    <col min="12313" max="12314" width="6.28515625" style="237" bestFit="1" customWidth="1"/>
    <col min="12315" max="12315" width="7" style="237" bestFit="1" customWidth="1"/>
    <col min="12316" max="12316" width="9.7109375" style="237" bestFit="1" customWidth="1"/>
    <col min="12317" max="12318" width="5.28515625" style="237" bestFit="1" customWidth="1"/>
    <col min="12319" max="12320" width="6.140625" style="237" bestFit="1" customWidth="1"/>
    <col min="12321" max="12321" width="5.42578125" style="237" bestFit="1" customWidth="1"/>
    <col min="12322" max="12322" width="6.140625" style="237" bestFit="1" customWidth="1"/>
    <col min="12323" max="12323" width="6.28515625" style="237" bestFit="1" customWidth="1"/>
    <col min="12324" max="12324" width="6.140625" style="237" customWidth="1"/>
    <col min="12325" max="12326" width="5.28515625" style="237" bestFit="1" customWidth="1"/>
    <col min="12327" max="12327" width="9.7109375" style="237" bestFit="1" customWidth="1"/>
    <col min="12328" max="12328" width="8.7109375" style="237" bestFit="1" customWidth="1"/>
    <col min="12329" max="12329" width="10.7109375" style="237" bestFit="1" customWidth="1"/>
    <col min="12330" max="12330" width="12.42578125" style="237" bestFit="1" customWidth="1"/>
    <col min="12331" max="12331" width="8.42578125" style="237" bestFit="1" customWidth="1"/>
    <col min="12332" max="12332" width="9.42578125" style="237" customWidth="1"/>
    <col min="12333" max="12544" width="9.140625" style="237"/>
    <col min="12545" max="12545" width="3.7109375" style="237" bestFit="1" customWidth="1"/>
    <col min="12546" max="12546" width="17.7109375" style="237" customWidth="1"/>
    <col min="12547" max="12547" width="26.42578125" style="237" customWidth="1"/>
    <col min="12548" max="12548" width="13.42578125" style="237" customWidth="1"/>
    <col min="12549" max="12549" width="8.42578125" style="237" bestFit="1" customWidth="1"/>
    <col min="12550" max="12550" width="9.140625" style="237" customWidth="1"/>
    <col min="12551" max="12551" width="5" style="237" bestFit="1" customWidth="1"/>
    <col min="12552" max="12552" width="7.7109375" style="237" bestFit="1" customWidth="1"/>
    <col min="12553" max="12553" width="7" style="237" bestFit="1" customWidth="1"/>
    <col min="12554" max="12554" width="8.42578125" style="237" bestFit="1" customWidth="1"/>
    <col min="12555" max="12555" width="8" style="237" bestFit="1" customWidth="1"/>
    <col min="12556" max="12556" width="8" style="237" customWidth="1"/>
    <col min="12557" max="12557" width="6.28515625" style="237" customWidth="1"/>
    <col min="12558" max="12558" width="3.42578125" style="237" bestFit="1" customWidth="1"/>
    <col min="12559" max="12559" width="4.7109375" style="237" bestFit="1" customWidth="1"/>
    <col min="12560" max="12560" width="4.42578125" style="237" bestFit="1" customWidth="1"/>
    <col min="12561" max="12561" width="6.42578125" style="237" bestFit="1" customWidth="1"/>
    <col min="12562" max="12562" width="7.7109375" style="237" customWidth="1"/>
    <col min="12563" max="12563" width="4.42578125" style="237" bestFit="1" customWidth="1"/>
    <col min="12564" max="12564" width="2" style="237" bestFit="1" customWidth="1"/>
    <col min="12565" max="12565" width="1.7109375" style="237" customWidth="1"/>
    <col min="12566" max="12566" width="2" style="237" bestFit="1" customWidth="1"/>
    <col min="12567" max="12567" width="5.42578125" style="237" bestFit="1" customWidth="1"/>
    <col min="12568" max="12568" width="6.140625" style="237" bestFit="1" customWidth="1"/>
    <col min="12569" max="12570" width="6.28515625" style="237" bestFit="1" customWidth="1"/>
    <col min="12571" max="12571" width="7" style="237" bestFit="1" customWidth="1"/>
    <col min="12572" max="12572" width="9.7109375" style="237" bestFit="1" customWidth="1"/>
    <col min="12573" max="12574" width="5.28515625" style="237" bestFit="1" customWidth="1"/>
    <col min="12575" max="12576" width="6.140625" style="237" bestFit="1" customWidth="1"/>
    <col min="12577" max="12577" width="5.42578125" style="237" bestFit="1" customWidth="1"/>
    <col min="12578" max="12578" width="6.140625" style="237" bestFit="1" customWidth="1"/>
    <col min="12579" max="12579" width="6.28515625" style="237" bestFit="1" customWidth="1"/>
    <col min="12580" max="12580" width="6.140625" style="237" customWidth="1"/>
    <col min="12581" max="12582" width="5.28515625" style="237" bestFit="1" customWidth="1"/>
    <col min="12583" max="12583" width="9.7109375" style="237" bestFit="1" customWidth="1"/>
    <col min="12584" max="12584" width="8.7109375" style="237" bestFit="1" customWidth="1"/>
    <col min="12585" max="12585" width="10.7109375" style="237" bestFit="1" customWidth="1"/>
    <col min="12586" max="12586" width="12.42578125" style="237" bestFit="1" customWidth="1"/>
    <col min="12587" max="12587" width="8.42578125" style="237" bestFit="1" customWidth="1"/>
    <col min="12588" max="12588" width="9.42578125" style="237" customWidth="1"/>
    <col min="12589" max="12800" width="9.140625" style="237"/>
    <col min="12801" max="12801" width="3.7109375" style="237" bestFit="1" customWidth="1"/>
    <col min="12802" max="12802" width="17.7109375" style="237" customWidth="1"/>
    <col min="12803" max="12803" width="26.42578125" style="237" customWidth="1"/>
    <col min="12804" max="12804" width="13.42578125" style="237" customWidth="1"/>
    <col min="12805" max="12805" width="8.42578125" style="237" bestFit="1" customWidth="1"/>
    <col min="12806" max="12806" width="9.140625" style="237" customWidth="1"/>
    <col min="12807" max="12807" width="5" style="237" bestFit="1" customWidth="1"/>
    <col min="12808" max="12808" width="7.7109375" style="237" bestFit="1" customWidth="1"/>
    <col min="12809" max="12809" width="7" style="237" bestFit="1" customWidth="1"/>
    <col min="12810" max="12810" width="8.42578125" style="237" bestFit="1" customWidth="1"/>
    <col min="12811" max="12811" width="8" style="237" bestFit="1" customWidth="1"/>
    <col min="12812" max="12812" width="8" style="237" customWidth="1"/>
    <col min="12813" max="12813" width="6.28515625" style="237" customWidth="1"/>
    <col min="12814" max="12814" width="3.42578125" style="237" bestFit="1" customWidth="1"/>
    <col min="12815" max="12815" width="4.7109375" style="237" bestFit="1" customWidth="1"/>
    <col min="12816" max="12816" width="4.42578125" style="237" bestFit="1" customWidth="1"/>
    <col min="12817" max="12817" width="6.42578125" style="237" bestFit="1" customWidth="1"/>
    <col min="12818" max="12818" width="7.7109375" style="237" customWidth="1"/>
    <col min="12819" max="12819" width="4.42578125" style="237" bestFit="1" customWidth="1"/>
    <col min="12820" max="12820" width="2" style="237" bestFit="1" customWidth="1"/>
    <col min="12821" max="12821" width="1.7109375" style="237" customWidth="1"/>
    <col min="12822" max="12822" width="2" style="237" bestFit="1" customWidth="1"/>
    <col min="12823" max="12823" width="5.42578125" style="237" bestFit="1" customWidth="1"/>
    <col min="12824" max="12824" width="6.140625" style="237" bestFit="1" customWidth="1"/>
    <col min="12825" max="12826" width="6.28515625" style="237" bestFit="1" customWidth="1"/>
    <col min="12827" max="12827" width="7" style="237" bestFit="1" customWidth="1"/>
    <col min="12828" max="12828" width="9.7109375" style="237" bestFit="1" customWidth="1"/>
    <col min="12829" max="12830" width="5.28515625" style="237" bestFit="1" customWidth="1"/>
    <col min="12831" max="12832" width="6.140625" style="237" bestFit="1" customWidth="1"/>
    <col min="12833" max="12833" width="5.42578125" style="237" bestFit="1" customWidth="1"/>
    <col min="12834" max="12834" width="6.140625" style="237" bestFit="1" customWidth="1"/>
    <col min="12835" max="12835" width="6.28515625" style="237" bestFit="1" customWidth="1"/>
    <col min="12836" max="12836" width="6.140625" style="237" customWidth="1"/>
    <col min="12837" max="12838" width="5.28515625" style="237" bestFit="1" customWidth="1"/>
    <col min="12839" max="12839" width="9.7109375" style="237" bestFit="1" customWidth="1"/>
    <col min="12840" max="12840" width="8.7109375" style="237" bestFit="1" customWidth="1"/>
    <col min="12841" max="12841" width="10.7109375" style="237" bestFit="1" customWidth="1"/>
    <col min="12842" max="12842" width="12.42578125" style="237" bestFit="1" customWidth="1"/>
    <col min="12843" max="12843" width="8.42578125" style="237" bestFit="1" customWidth="1"/>
    <col min="12844" max="12844" width="9.42578125" style="237" customWidth="1"/>
    <col min="12845" max="13056" width="9.140625" style="237"/>
    <col min="13057" max="13057" width="3.7109375" style="237" bestFit="1" customWidth="1"/>
    <col min="13058" max="13058" width="17.7109375" style="237" customWidth="1"/>
    <col min="13059" max="13059" width="26.42578125" style="237" customWidth="1"/>
    <col min="13060" max="13060" width="13.42578125" style="237" customWidth="1"/>
    <col min="13061" max="13061" width="8.42578125" style="237" bestFit="1" customWidth="1"/>
    <col min="13062" max="13062" width="9.140625" style="237" customWidth="1"/>
    <col min="13063" max="13063" width="5" style="237" bestFit="1" customWidth="1"/>
    <col min="13064" max="13064" width="7.7109375" style="237" bestFit="1" customWidth="1"/>
    <col min="13065" max="13065" width="7" style="237" bestFit="1" customWidth="1"/>
    <col min="13066" max="13066" width="8.42578125" style="237" bestFit="1" customWidth="1"/>
    <col min="13067" max="13067" width="8" style="237" bestFit="1" customWidth="1"/>
    <col min="13068" max="13068" width="8" style="237" customWidth="1"/>
    <col min="13069" max="13069" width="6.28515625" style="237" customWidth="1"/>
    <col min="13070" max="13070" width="3.42578125" style="237" bestFit="1" customWidth="1"/>
    <col min="13071" max="13071" width="4.7109375" style="237" bestFit="1" customWidth="1"/>
    <col min="13072" max="13072" width="4.42578125" style="237" bestFit="1" customWidth="1"/>
    <col min="13073" max="13073" width="6.42578125" style="237" bestFit="1" customWidth="1"/>
    <col min="13074" max="13074" width="7.7109375" style="237" customWidth="1"/>
    <col min="13075" max="13075" width="4.42578125" style="237" bestFit="1" customWidth="1"/>
    <col min="13076" max="13076" width="2" style="237" bestFit="1" customWidth="1"/>
    <col min="13077" max="13077" width="1.7109375" style="237" customWidth="1"/>
    <col min="13078" max="13078" width="2" style="237" bestFit="1" customWidth="1"/>
    <col min="13079" max="13079" width="5.42578125" style="237" bestFit="1" customWidth="1"/>
    <col min="13080" max="13080" width="6.140625" style="237" bestFit="1" customWidth="1"/>
    <col min="13081" max="13082" width="6.28515625" style="237" bestFit="1" customWidth="1"/>
    <col min="13083" max="13083" width="7" style="237" bestFit="1" customWidth="1"/>
    <col min="13084" max="13084" width="9.7109375" style="237" bestFit="1" customWidth="1"/>
    <col min="13085" max="13086" width="5.28515625" style="237" bestFit="1" customWidth="1"/>
    <col min="13087" max="13088" width="6.140625" style="237" bestFit="1" customWidth="1"/>
    <col min="13089" max="13089" width="5.42578125" style="237" bestFit="1" customWidth="1"/>
    <col min="13090" max="13090" width="6.140625" style="237" bestFit="1" customWidth="1"/>
    <col min="13091" max="13091" width="6.28515625" style="237" bestFit="1" customWidth="1"/>
    <col min="13092" max="13092" width="6.140625" style="237" customWidth="1"/>
    <col min="13093" max="13094" width="5.28515625" style="237" bestFit="1" customWidth="1"/>
    <col min="13095" max="13095" width="9.7109375" style="237" bestFit="1" customWidth="1"/>
    <col min="13096" max="13096" width="8.7109375" style="237" bestFit="1" customWidth="1"/>
    <col min="13097" max="13097" width="10.7109375" style="237" bestFit="1" customWidth="1"/>
    <col min="13098" max="13098" width="12.42578125" style="237" bestFit="1" customWidth="1"/>
    <col min="13099" max="13099" width="8.42578125" style="237" bestFit="1" customWidth="1"/>
    <col min="13100" max="13100" width="9.42578125" style="237" customWidth="1"/>
    <col min="13101" max="13312" width="9.140625" style="237"/>
    <col min="13313" max="13313" width="3.7109375" style="237" bestFit="1" customWidth="1"/>
    <col min="13314" max="13314" width="17.7109375" style="237" customWidth="1"/>
    <col min="13315" max="13315" width="26.42578125" style="237" customWidth="1"/>
    <col min="13316" max="13316" width="13.42578125" style="237" customWidth="1"/>
    <col min="13317" max="13317" width="8.42578125" style="237" bestFit="1" customWidth="1"/>
    <col min="13318" max="13318" width="9.140625" style="237" customWidth="1"/>
    <col min="13319" max="13319" width="5" style="237" bestFit="1" customWidth="1"/>
    <col min="13320" max="13320" width="7.7109375" style="237" bestFit="1" customWidth="1"/>
    <col min="13321" max="13321" width="7" style="237" bestFit="1" customWidth="1"/>
    <col min="13322" max="13322" width="8.42578125" style="237" bestFit="1" customWidth="1"/>
    <col min="13323" max="13323" width="8" style="237" bestFit="1" customWidth="1"/>
    <col min="13324" max="13324" width="8" style="237" customWidth="1"/>
    <col min="13325" max="13325" width="6.28515625" style="237" customWidth="1"/>
    <col min="13326" max="13326" width="3.42578125" style="237" bestFit="1" customWidth="1"/>
    <col min="13327" max="13327" width="4.7109375" style="237" bestFit="1" customWidth="1"/>
    <col min="13328" max="13328" width="4.42578125" style="237" bestFit="1" customWidth="1"/>
    <col min="13329" max="13329" width="6.42578125" style="237" bestFit="1" customWidth="1"/>
    <col min="13330" max="13330" width="7.7109375" style="237" customWidth="1"/>
    <col min="13331" max="13331" width="4.42578125" style="237" bestFit="1" customWidth="1"/>
    <col min="13332" max="13332" width="2" style="237" bestFit="1" customWidth="1"/>
    <col min="13333" max="13333" width="1.7109375" style="237" customWidth="1"/>
    <col min="13334" max="13334" width="2" style="237" bestFit="1" customWidth="1"/>
    <col min="13335" max="13335" width="5.42578125" style="237" bestFit="1" customWidth="1"/>
    <col min="13336" max="13336" width="6.140625" style="237" bestFit="1" customWidth="1"/>
    <col min="13337" max="13338" width="6.28515625" style="237" bestFit="1" customWidth="1"/>
    <col min="13339" max="13339" width="7" style="237" bestFit="1" customWidth="1"/>
    <col min="13340" max="13340" width="9.7109375" style="237" bestFit="1" customWidth="1"/>
    <col min="13341" max="13342" width="5.28515625" style="237" bestFit="1" customWidth="1"/>
    <col min="13343" max="13344" width="6.140625" style="237" bestFit="1" customWidth="1"/>
    <col min="13345" max="13345" width="5.42578125" style="237" bestFit="1" customWidth="1"/>
    <col min="13346" max="13346" width="6.140625" style="237" bestFit="1" customWidth="1"/>
    <col min="13347" max="13347" width="6.28515625" style="237" bestFit="1" customWidth="1"/>
    <col min="13348" max="13348" width="6.140625" style="237" customWidth="1"/>
    <col min="13349" max="13350" width="5.28515625" style="237" bestFit="1" customWidth="1"/>
    <col min="13351" max="13351" width="9.7109375" style="237" bestFit="1" customWidth="1"/>
    <col min="13352" max="13352" width="8.7109375" style="237" bestFit="1" customWidth="1"/>
    <col min="13353" max="13353" width="10.7109375" style="237" bestFit="1" customWidth="1"/>
    <col min="13354" max="13354" width="12.42578125" style="237" bestFit="1" customWidth="1"/>
    <col min="13355" max="13355" width="8.42578125" style="237" bestFit="1" customWidth="1"/>
    <col min="13356" max="13356" width="9.42578125" style="237" customWidth="1"/>
    <col min="13357" max="13568" width="9.140625" style="237"/>
    <col min="13569" max="13569" width="3.7109375" style="237" bestFit="1" customWidth="1"/>
    <col min="13570" max="13570" width="17.7109375" style="237" customWidth="1"/>
    <col min="13571" max="13571" width="26.42578125" style="237" customWidth="1"/>
    <col min="13572" max="13572" width="13.42578125" style="237" customWidth="1"/>
    <col min="13573" max="13573" width="8.42578125" style="237" bestFit="1" customWidth="1"/>
    <col min="13574" max="13574" width="9.140625" style="237" customWidth="1"/>
    <col min="13575" max="13575" width="5" style="237" bestFit="1" customWidth="1"/>
    <col min="13576" max="13576" width="7.7109375" style="237" bestFit="1" customWidth="1"/>
    <col min="13577" max="13577" width="7" style="237" bestFit="1" customWidth="1"/>
    <col min="13578" max="13578" width="8.42578125" style="237" bestFit="1" customWidth="1"/>
    <col min="13579" max="13579" width="8" style="237" bestFit="1" customWidth="1"/>
    <col min="13580" max="13580" width="8" style="237" customWidth="1"/>
    <col min="13581" max="13581" width="6.28515625" style="237" customWidth="1"/>
    <col min="13582" max="13582" width="3.42578125" style="237" bestFit="1" customWidth="1"/>
    <col min="13583" max="13583" width="4.7109375" style="237" bestFit="1" customWidth="1"/>
    <col min="13584" max="13584" width="4.42578125" style="237" bestFit="1" customWidth="1"/>
    <col min="13585" max="13585" width="6.42578125" style="237" bestFit="1" customWidth="1"/>
    <col min="13586" max="13586" width="7.7109375" style="237" customWidth="1"/>
    <col min="13587" max="13587" width="4.42578125" style="237" bestFit="1" customWidth="1"/>
    <col min="13588" max="13588" width="2" style="237" bestFit="1" customWidth="1"/>
    <col min="13589" max="13589" width="1.7109375" style="237" customWidth="1"/>
    <col min="13590" max="13590" width="2" style="237" bestFit="1" customWidth="1"/>
    <col min="13591" max="13591" width="5.42578125" style="237" bestFit="1" customWidth="1"/>
    <col min="13592" max="13592" width="6.140625" style="237" bestFit="1" customWidth="1"/>
    <col min="13593" max="13594" width="6.28515625" style="237" bestFit="1" customWidth="1"/>
    <col min="13595" max="13595" width="7" style="237" bestFit="1" customWidth="1"/>
    <col min="13596" max="13596" width="9.7109375" style="237" bestFit="1" customWidth="1"/>
    <col min="13597" max="13598" width="5.28515625" style="237" bestFit="1" customWidth="1"/>
    <col min="13599" max="13600" width="6.140625" style="237" bestFit="1" customWidth="1"/>
    <col min="13601" max="13601" width="5.42578125" style="237" bestFit="1" customWidth="1"/>
    <col min="13602" max="13602" width="6.140625" style="237" bestFit="1" customWidth="1"/>
    <col min="13603" max="13603" width="6.28515625" style="237" bestFit="1" customWidth="1"/>
    <col min="13604" max="13604" width="6.140625" style="237" customWidth="1"/>
    <col min="13605" max="13606" width="5.28515625" style="237" bestFit="1" customWidth="1"/>
    <col min="13607" max="13607" width="9.7109375" style="237" bestFit="1" customWidth="1"/>
    <col min="13608" max="13608" width="8.7109375" style="237" bestFit="1" customWidth="1"/>
    <col min="13609" max="13609" width="10.7109375" style="237" bestFit="1" customWidth="1"/>
    <col min="13610" max="13610" width="12.42578125" style="237" bestFit="1" customWidth="1"/>
    <col min="13611" max="13611" width="8.42578125" style="237" bestFit="1" customWidth="1"/>
    <col min="13612" max="13612" width="9.42578125" style="237" customWidth="1"/>
    <col min="13613" max="13824" width="9.140625" style="237"/>
    <col min="13825" max="13825" width="3.7109375" style="237" bestFit="1" customWidth="1"/>
    <col min="13826" max="13826" width="17.7109375" style="237" customWidth="1"/>
    <col min="13827" max="13827" width="26.42578125" style="237" customWidth="1"/>
    <col min="13828" max="13828" width="13.42578125" style="237" customWidth="1"/>
    <col min="13829" max="13829" width="8.42578125" style="237" bestFit="1" customWidth="1"/>
    <col min="13830" max="13830" width="9.140625" style="237" customWidth="1"/>
    <col min="13831" max="13831" width="5" style="237" bestFit="1" customWidth="1"/>
    <col min="13832" max="13832" width="7.7109375" style="237" bestFit="1" customWidth="1"/>
    <col min="13833" max="13833" width="7" style="237" bestFit="1" customWidth="1"/>
    <col min="13834" max="13834" width="8.42578125" style="237" bestFit="1" customWidth="1"/>
    <col min="13835" max="13835" width="8" style="237" bestFit="1" customWidth="1"/>
    <col min="13836" max="13836" width="8" style="237" customWidth="1"/>
    <col min="13837" max="13837" width="6.28515625" style="237" customWidth="1"/>
    <col min="13838" max="13838" width="3.42578125" style="237" bestFit="1" customWidth="1"/>
    <col min="13839" max="13839" width="4.7109375" style="237" bestFit="1" customWidth="1"/>
    <col min="13840" max="13840" width="4.42578125" style="237" bestFit="1" customWidth="1"/>
    <col min="13841" max="13841" width="6.42578125" style="237" bestFit="1" customWidth="1"/>
    <col min="13842" max="13842" width="7.7109375" style="237" customWidth="1"/>
    <col min="13843" max="13843" width="4.42578125" style="237" bestFit="1" customWidth="1"/>
    <col min="13844" max="13844" width="2" style="237" bestFit="1" customWidth="1"/>
    <col min="13845" max="13845" width="1.7109375" style="237" customWidth="1"/>
    <col min="13846" max="13846" width="2" style="237" bestFit="1" customWidth="1"/>
    <col min="13847" max="13847" width="5.42578125" style="237" bestFit="1" customWidth="1"/>
    <col min="13848" max="13848" width="6.140625" style="237" bestFit="1" customWidth="1"/>
    <col min="13849" max="13850" width="6.28515625" style="237" bestFit="1" customWidth="1"/>
    <col min="13851" max="13851" width="7" style="237" bestFit="1" customWidth="1"/>
    <col min="13852" max="13852" width="9.7109375" style="237" bestFit="1" customWidth="1"/>
    <col min="13853" max="13854" width="5.28515625" style="237" bestFit="1" customWidth="1"/>
    <col min="13855" max="13856" width="6.140625" style="237" bestFit="1" customWidth="1"/>
    <col min="13857" max="13857" width="5.42578125" style="237" bestFit="1" customWidth="1"/>
    <col min="13858" max="13858" width="6.140625" style="237" bestFit="1" customWidth="1"/>
    <col min="13859" max="13859" width="6.28515625" style="237" bestFit="1" customWidth="1"/>
    <col min="13860" max="13860" width="6.140625" style="237" customWidth="1"/>
    <col min="13861" max="13862" width="5.28515625" style="237" bestFit="1" customWidth="1"/>
    <col min="13863" max="13863" width="9.7109375" style="237" bestFit="1" customWidth="1"/>
    <col min="13864" max="13864" width="8.7109375" style="237" bestFit="1" customWidth="1"/>
    <col min="13865" max="13865" width="10.7109375" style="237" bestFit="1" customWidth="1"/>
    <col min="13866" max="13866" width="12.42578125" style="237" bestFit="1" customWidth="1"/>
    <col min="13867" max="13867" width="8.42578125" style="237" bestFit="1" customWidth="1"/>
    <col min="13868" max="13868" width="9.42578125" style="237" customWidth="1"/>
    <col min="13869" max="14080" width="9.140625" style="237"/>
    <col min="14081" max="14081" width="3.7109375" style="237" bestFit="1" customWidth="1"/>
    <col min="14082" max="14082" width="17.7109375" style="237" customWidth="1"/>
    <col min="14083" max="14083" width="26.42578125" style="237" customWidth="1"/>
    <col min="14084" max="14084" width="13.42578125" style="237" customWidth="1"/>
    <col min="14085" max="14085" width="8.42578125" style="237" bestFit="1" customWidth="1"/>
    <col min="14086" max="14086" width="9.140625" style="237" customWidth="1"/>
    <col min="14087" max="14087" width="5" style="237" bestFit="1" customWidth="1"/>
    <col min="14088" max="14088" width="7.7109375" style="237" bestFit="1" customWidth="1"/>
    <col min="14089" max="14089" width="7" style="237" bestFit="1" customWidth="1"/>
    <col min="14090" max="14090" width="8.42578125" style="237" bestFit="1" customWidth="1"/>
    <col min="14091" max="14091" width="8" style="237" bestFit="1" customWidth="1"/>
    <col min="14092" max="14092" width="8" style="237" customWidth="1"/>
    <col min="14093" max="14093" width="6.28515625" style="237" customWidth="1"/>
    <col min="14094" max="14094" width="3.42578125" style="237" bestFit="1" customWidth="1"/>
    <col min="14095" max="14095" width="4.7109375" style="237" bestFit="1" customWidth="1"/>
    <col min="14096" max="14096" width="4.42578125" style="237" bestFit="1" customWidth="1"/>
    <col min="14097" max="14097" width="6.42578125" style="237" bestFit="1" customWidth="1"/>
    <col min="14098" max="14098" width="7.7109375" style="237" customWidth="1"/>
    <col min="14099" max="14099" width="4.42578125" style="237" bestFit="1" customWidth="1"/>
    <col min="14100" max="14100" width="2" style="237" bestFit="1" customWidth="1"/>
    <col min="14101" max="14101" width="1.7109375" style="237" customWidth="1"/>
    <col min="14102" max="14102" width="2" style="237" bestFit="1" customWidth="1"/>
    <col min="14103" max="14103" width="5.42578125" style="237" bestFit="1" customWidth="1"/>
    <col min="14104" max="14104" width="6.140625" style="237" bestFit="1" customWidth="1"/>
    <col min="14105" max="14106" width="6.28515625" style="237" bestFit="1" customWidth="1"/>
    <col min="14107" max="14107" width="7" style="237" bestFit="1" customWidth="1"/>
    <col min="14108" max="14108" width="9.7109375" style="237" bestFit="1" customWidth="1"/>
    <col min="14109" max="14110" width="5.28515625" style="237" bestFit="1" customWidth="1"/>
    <col min="14111" max="14112" width="6.140625" style="237" bestFit="1" customWidth="1"/>
    <col min="14113" max="14113" width="5.42578125" style="237" bestFit="1" customWidth="1"/>
    <col min="14114" max="14114" width="6.140625" style="237" bestFit="1" customWidth="1"/>
    <col min="14115" max="14115" width="6.28515625" style="237" bestFit="1" customWidth="1"/>
    <col min="14116" max="14116" width="6.140625" style="237" customWidth="1"/>
    <col min="14117" max="14118" width="5.28515625" style="237" bestFit="1" customWidth="1"/>
    <col min="14119" max="14119" width="9.7109375" style="237" bestFit="1" customWidth="1"/>
    <col min="14120" max="14120" width="8.7109375" style="237" bestFit="1" customWidth="1"/>
    <col min="14121" max="14121" width="10.7109375" style="237" bestFit="1" customWidth="1"/>
    <col min="14122" max="14122" width="12.42578125" style="237" bestFit="1" customWidth="1"/>
    <col min="14123" max="14123" width="8.42578125" style="237" bestFit="1" customWidth="1"/>
    <col min="14124" max="14124" width="9.42578125" style="237" customWidth="1"/>
    <col min="14125" max="14336" width="9.140625" style="237"/>
    <col min="14337" max="14337" width="3.7109375" style="237" bestFit="1" customWidth="1"/>
    <col min="14338" max="14338" width="17.7109375" style="237" customWidth="1"/>
    <col min="14339" max="14339" width="26.42578125" style="237" customWidth="1"/>
    <col min="14340" max="14340" width="13.42578125" style="237" customWidth="1"/>
    <col min="14341" max="14341" width="8.42578125" style="237" bestFit="1" customWidth="1"/>
    <col min="14342" max="14342" width="9.140625" style="237" customWidth="1"/>
    <col min="14343" max="14343" width="5" style="237" bestFit="1" customWidth="1"/>
    <col min="14344" max="14344" width="7.7109375" style="237" bestFit="1" customWidth="1"/>
    <col min="14345" max="14345" width="7" style="237" bestFit="1" customWidth="1"/>
    <col min="14346" max="14346" width="8.42578125" style="237" bestFit="1" customWidth="1"/>
    <col min="14347" max="14347" width="8" style="237" bestFit="1" customWidth="1"/>
    <col min="14348" max="14348" width="8" style="237" customWidth="1"/>
    <col min="14349" max="14349" width="6.28515625" style="237" customWidth="1"/>
    <col min="14350" max="14350" width="3.42578125" style="237" bestFit="1" customWidth="1"/>
    <col min="14351" max="14351" width="4.7109375" style="237" bestFit="1" customWidth="1"/>
    <col min="14352" max="14352" width="4.42578125" style="237" bestFit="1" customWidth="1"/>
    <col min="14353" max="14353" width="6.42578125" style="237" bestFit="1" customWidth="1"/>
    <col min="14354" max="14354" width="7.7109375" style="237" customWidth="1"/>
    <col min="14355" max="14355" width="4.42578125" style="237" bestFit="1" customWidth="1"/>
    <col min="14356" max="14356" width="2" style="237" bestFit="1" customWidth="1"/>
    <col min="14357" max="14357" width="1.7109375" style="237" customWidth="1"/>
    <col min="14358" max="14358" width="2" style="237" bestFit="1" customWidth="1"/>
    <col min="14359" max="14359" width="5.42578125" style="237" bestFit="1" customWidth="1"/>
    <col min="14360" max="14360" width="6.140625" style="237" bestFit="1" customWidth="1"/>
    <col min="14361" max="14362" width="6.28515625" style="237" bestFit="1" customWidth="1"/>
    <col min="14363" max="14363" width="7" style="237" bestFit="1" customWidth="1"/>
    <col min="14364" max="14364" width="9.7109375" style="237" bestFit="1" customWidth="1"/>
    <col min="14365" max="14366" width="5.28515625" style="237" bestFit="1" customWidth="1"/>
    <col min="14367" max="14368" width="6.140625" style="237" bestFit="1" customWidth="1"/>
    <col min="14369" max="14369" width="5.42578125" style="237" bestFit="1" customWidth="1"/>
    <col min="14370" max="14370" width="6.140625" style="237" bestFit="1" customWidth="1"/>
    <col min="14371" max="14371" width="6.28515625" style="237" bestFit="1" customWidth="1"/>
    <col min="14372" max="14372" width="6.140625" style="237" customWidth="1"/>
    <col min="14373" max="14374" width="5.28515625" style="237" bestFit="1" customWidth="1"/>
    <col min="14375" max="14375" width="9.7109375" style="237" bestFit="1" customWidth="1"/>
    <col min="14376" max="14376" width="8.7109375" style="237" bestFit="1" customWidth="1"/>
    <col min="14377" max="14377" width="10.7109375" style="237" bestFit="1" customWidth="1"/>
    <col min="14378" max="14378" width="12.42578125" style="237" bestFit="1" customWidth="1"/>
    <col min="14379" max="14379" width="8.42578125" style="237" bestFit="1" customWidth="1"/>
    <col min="14380" max="14380" width="9.42578125" style="237" customWidth="1"/>
    <col min="14381" max="14592" width="9.140625" style="237"/>
    <col min="14593" max="14593" width="3.7109375" style="237" bestFit="1" customWidth="1"/>
    <col min="14594" max="14594" width="17.7109375" style="237" customWidth="1"/>
    <col min="14595" max="14595" width="26.42578125" style="237" customWidth="1"/>
    <col min="14596" max="14596" width="13.42578125" style="237" customWidth="1"/>
    <col min="14597" max="14597" width="8.42578125" style="237" bestFit="1" customWidth="1"/>
    <col min="14598" max="14598" width="9.140625" style="237" customWidth="1"/>
    <col min="14599" max="14599" width="5" style="237" bestFit="1" customWidth="1"/>
    <col min="14600" max="14600" width="7.7109375" style="237" bestFit="1" customWidth="1"/>
    <col min="14601" max="14601" width="7" style="237" bestFit="1" customWidth="1"/>
    <col min="14602" max="14602" width="8.42578125" style="237" bestFit="1" customWidth="1"/>
    <col min="14603" max="14603" width="8" style="237" bestFit="1" customWidth="1"/>
    <col min="14604" max="14604" width="8" style="237" customWidth="1"/>
    <col min="14605" max="14605" width="6.28515625" style="237" customWidth="1"/>
    <col min="14606" max="14606" width="3.42578125" style="237" bestFit="1" customWidth="1"/>
    <col min="14607" max="14607" width="4.7109375" style="237" bestFit="1" customWidth="1"/>
    <col min="14608" max="14608" width="4.42578125" style="237" bestFit="1" customWidth="1"/>
    <col min="14609" max="14609" width="6.42578125" style="237" bestFit="1" customWidth="1"/>
    <col min="14610" max="14610" width="7.7109375" style="237" customWidth="1"/>
    <col min="14611" max="14611" width="4.42578125" style="237" bestFit="1" customWidth="1"/>
    <col min="14612" max="14612" width="2" style="237" bestFit="1" customWidth="1"/>
    <col min="14613" max="14613" width="1.7109375" style="237" customWidth="1"/>
    <col min="14614" max="14614" width="2" style="237" bestFit="1" customWidth="1"/>
    <col min="14615" max="14615" width="5.42578125" style="237" bestFit="1" customWidth="1"/>
    <col min="14616" max="14616" width="6.140625" style="237" bestFit="1" customWidth="1"/>
    <col min="14617" max="14618" width="6.28515625" style="237" bestFit="1" customWidth="1"/>
    <col min="14619" max="14619" width="7" style="237" bestFit="1" customWidth="1"/>
    <col min="14620" max="14620" width="9.7109375" style="237" bestFit="1" customWidth="1"/>
    <col min="14621" max="14622" width="5.28515625" style="237" bestFit="1" customWidth="1"/>
    <col min="14623" max="14624" width="6.140625" style="237" bestFit="1" customWidth="1"/>
    <col min="14625" max="14625" width="5.42578125" style="237" bestFit="1" customWidth="1"/>
    <col min="14626" max="14626" width="6.140625" style="237" bestFit="1" customWidth="1"/>
    <col min="14627" max="14627" width="6.28515625" style="237" bestFit="1" customWidth="1"/>
    <col min="14628" max="14628" width="6.140625" style="237" customWidth="1"/>
    <col min="14629" max="14630" width="5.28515625" style="237" bestFit="1" customWidth="1"/>
    <col min="14631" max="14631" width="9.7109375" style="237" bestFit="1" customWidth="1"/>
    <col min="14632" max="14632" width="8.7109375" style="237" bestFit="1" customWidth="1"/>
    <col min="14633" max="14633" width="10.7109375" style="237" bestFit="1" customWidth="1"/>
    <col min="14634" max="14634" width="12.42578125" style="237" bestFit="1" customWidth="1"/>
    <col min="14635" max="14635" width="8.42578125" style="237" bestFit="1" customWidth="1"/>
    <col min="14636" max="14636" width="9.42578125" style="237" customWidth="1"/>
    <col min="14637" max="14848" width="9.140625" style="237"/>
    <col min="14849" max="14849" width="3.7109375" style="237" bestFit="1" customWidth="1"/>
    <col min="14850" max="14850" width="17.7109375" style="237" customWidth="1"/>
    <col min="14851" max="14851" width="26.42578125" style="237" customWidth="1"/>
    <col min="14852" max="14852" width="13.42578125" style="237" customWidth="1"/>
    <col min="14853" max="14853" width="8.42578125" style="237" bestFit="1" customWidth="1"/>
    <col min="14854" max="14854" width="9.140625" style="237" customWidth="1"/>
    <col min="14855" max="14855" width="5" style="237" bestFit="1" customWidth="1"/>
    <col min="14856" max="14856" width="7.7109375" style="237" bestFit="1" customWidth="1"/>
    <col min="14857" max="14857" width="7" style="237" bestFit="1" customWidth="1"/>
    <col min="14858" max="14858" width="8.42578125" style="237" bestFit="1" customWidth="1"/>
    <col min="14859" max="14859" width="8" style="237" bestFit="1" customWidth="1"/>
    <col min="14860" max="14860" width="8" style="237" customWidth="1"/>
    <col min="14861" max="14861" width="6.28515625" style="237" customWidth="1"/>
    <col min="14862" max="14862" width="3.42578125" style="237" bestFit="1" customWidth="1"/>
    <col min="14863" max="14863" width="4.7109375" style="237" bestFit="1" customWidth="1"/>
    <col min="14864" max="14864" width="4.42578125" style="237" bestFit="1" customWidth="1"/>
    <col min="14865" max="14865" width="6.42578125" style="237" bestFit="1" customWidth="1"/>
    <col min="14866" max="14866" width="7.7109375" style="237" customWidth="1"/>
    <col min="14867" max="14867" width="4.42578125" style="237" bestFit="1" customWidth="1"/>
    <col min="14868" max="14868" width="2" style="237" bestFit="1" customWidth="1"/>
    <col min="14869" max="14869" width="1.7109375" style="237" customWidth="1"/>
    <col min="14870" max="14870" width="2" style="237" bestFit="1" customWidth="1"/>
    <col min="14871" max="14871" width="5.42578125" style="237" bestFit="1" customWidth="1"/>
    <col min="14872" max="14872" width="6.140625" style="237" bestFit="1" customWidth="1"/>
    <col min="14873" max="14874" width="6.28515625" style="237" bestFit="1" customWidth="1"/>
    <col min="14875" max="14875" width="7" style="237" bestFit="1" customWidth="1"/>
    <col min="14876" max="14876" width="9.7109375" style="237" bestFit="1" customWidth="1"/>
    <col min="14877" max="14878" width="5.28515625" style="237" bestFit="1" customWidth="1"/>
    <col min="14879" max="14880" width="6.140625" style="237" bestFit="1" customWidth="1"/>
    <col min="14881" max="14881" width="5.42578125" style="237" bestFit="1" customWidth="1"/>
    <col min="14882" max="14882" width="6.140625" style="237" bestFit="1" customWidth="1"/>
    <col min="14883" max="14883" width="6.28515625" style="237" bestFit="1" customWidth="1"/>
    <col min="14884" max="14884" width="6.140625" style="237" customWidth="1"/>
    <col min="14885" max="14886" width="5.28515625" style="237" bestFit="1" customWidth="1"/>
    <col min="14887" max="14887" width="9.7109375" style="237" bestFit="1" customWidth="1"/>
    <col min="14888" max="14888" width="8.7109375" style="237" bestFit="1" customWidth="1"/>
    <col min="14889" max="14889" width="10.7109375" style="237" bestFit="1" customWidth="1"/>
    <col min="14890" max="14890" width="12.42578125" style="237" bestFit="1" customWidth="1"/>
    <col min="14891" max="14891" width="8.42578125" style="237" bestFit="1" customWidth="1"/>
    <col min="14892" max="14892" width="9.42578125" style="237" customWidth="1"/>
    <col min="14893" max="15104" width="9.140625" style="237"/>
    <col min="15105" max="15105" width="3.7109375" style="237" bestFit="1" customWidth="1"/>
    <col min="15106" max="15106" width="17.7109375" style="237" customWidth="1"/>
    <col min="15107" max="15107" width="26.42578125" style="237" customWidth="1"/>
    <col min="15108" max="15108" width="13.42578125" style="237" customWidth="1"/>
    <col min="15109" max="15109" width="8.42578125" style="237" bestFit="1" customWidth="1"/>
    <col min="15110" max="15110" width="9.140625" style="237" customWidth="1"/>
    <col min="15111" max="15111" width="5" style="237" bestFit="1" customWidth="1"/>
    <col min="15112" max="15112" width="7.7109375" style="237" bestFit="1" customWidth="1"/>
    <col min="15113" max="15113" width="7" style="237" bestFit="1" customWidth="1"/>
    <col min="15114" max="15114" width="8.42578125" style="237" bestFit="1" customWidth="1"/>
    <col min="15115" max="15115" width="8" style="237" bestFit="1" customWidth="1"/>
    <col min="15116" max="15116" width="8" style="237" customWidth="1"/>
    <col min="15117" max="15117" width="6.28515625" style="237" customWidth="1"/>
    <col min="15118" max="15118" width="3.42578125" style="237" bestFit="1" customWidth="1"/>
    <col min="15119" max="15119" width="4.7109375" style="237" bestFit="1" customWidth="1"/>
    <col min="15120" max="15120" width="4.42578125" style="237" bestFit="1" customWidth="1"/>
    <col min="15121" max="15121" width="6.42578125" style="237" bestFit="1" customWidth="1"/>
    <col min="15122" max="15122" width="7.7109375" style="237" customWidth="1"/>
    <col min="15123" max="15123" width="4.42578125" style="237" bestFit="1" customWidth="1"/>
    <col min="15124" max="15124" width="2" style="237" bestFit="1" customWidth="1"/>
    <col min="15125" max="15125" width="1.7109375" style="237" customWidth="1"/>
    <col min="15126" max="15126" width="2" style="237" bestFit="1" customWidth="1"/>
    <col min="15127" max="15127" width="5.42578125" style="237" bestFit="1" customWidth="1"/>
    <col min="15128" max="15128" width="6.140625" style="237" bestFit="1" customWidth="1"/>
    <col min="15129" max="15130" width="6.28515625" style="237" bestFit="1" customWidth="1"/>
    <col min="15131" max="15131" width="7" style="237" bestFit="1" customWidth="1"/>
    <col min="15132" max="15132" width="9.7109375" style="237" bestFit="1" customWidth="1"/>
    <col min="15133" max="15134" width="5.28515625" style="237" bestFit="1" customWidth="1"/>
    <col min="15135" max="15136" width="6.140625" style="237" bestFit="1" customWidth="1"/>
    <col min="15137" max="15137" width="5.42578125" style="237" bestFit="1" customWidth="1"/>
    <col min="15138" max="15138" width="6.140625" style="237" bestFit="1" customWidth="1"/>
    <col min="15139" max="15139" width="6.28515625" style="237" bestFit="1" customWidth="1"/>
    <col min="15140" max="15140" width="6.140625" style="237" customWidth="1"/>
    <col min="15141" max="15142" width="5.28515625" style="237" bestFit="1" customWidth="1"/>
    <col min="15143" max="15143" width="9.7109375" style="237" bestFit="1" customWidth="1"/>
    <col min="15144" max="15144" width="8.7109375" style="237" bestFit="1" customWidth="1"/>
    <col min="15145" max="15145" width="10.7109375" style="237" bestFit="1" customWidth="1"/>
    <col min="15146" max="15146" width="12.42578125" style="237" bestFit="1" customWidth="1"/>
    <col min="15147" max="15147" width="8.42578125" style="237" bestFit="1" customWidth="1"/>
    <col min="15148" max="15148" width="9.42578125" style="237" customWidth="1"/>
    <col min="15149" max="15360" width="9.140625" style="237"/>
    <col min="15361" max="15361" width="3.7109375" style="237" bestFit="1" customWidth="1"/>
    <col min="15362" max="15362" width="17.7109375" style="237" customWidth="1"/>
    <col min="15363" max="15363" width="26.42578125" style="237" customWidth="1"/>
    <col min="15364" max="15364" width="13.42578125" style="237" customWidth="1"/>
    <col min="15365" max="15365" width="8.42578125" style="237" bestFit="1" customWidth="1"/>
    <col min="15366" max="15366" width="9.140625" style="237" customWidth="1"/>
    <col min="15367" max="15367" width="5" style="237" bestFit="1" customWidth="1"/>
    <col min="15368" max="15368" width="7.7109375" style="237" bestFit="1" customWidth="1"/>
    <col min="15369" max="15369" width="7" style="237" bestFit="1" customWidth="1"/>
    <col min="15370" max="15370" width="8.42578125" style="237" bestFit="1" customWidth="1"/>
    <col min="15371" max="15371" width="8" style="237" bestFit="1" customWidth="1"/>
    <col min="15372" max="15372" width="8" style="237" customWidth="1"/>
    <col min="15373" max="15373" width="6.28515625" style="237" customWidth="1"/>
    <col min="15374" max="15374" width="3.42578125" style="237" bestFit="1" customWidth="1"/>
    <col min="15375" max="15375" width="4.7109375" style="237" bestFit="1" customWidth="1"/>
    <col min="15376" max="15376" width="4.42578125" style="237" bestFit="1" customWidth="1"/>
    <col min="15377" max="15377" width="6.42578125" style="237" bestFit="1" customWidth="1"/>
    <col min="15378" max="15378" width="7.7109375" style="237" customWidth="1"/>
    <col min="15379" max="15379" width="4.42578125" style="237" bestFit="1" customWidth="1"/>
    <col min="15380" max="15380" width="2" style="237" bestFit="1" customWidth="1"/>
    <col min="15381" max="15381" width="1.7109375" style="237" customWidth="1"/>
    <col min="15382" max="15382" width="2" style="237" bestFit="1" customWidth="1"/>
    <col min="15383" max="15383" width="5.42578125" style="237" bestFit="1" customWidth="1"/>
    <col min="15384" max="15384" width="6.140625" style="237" bestFit="1" customWidth="1"/>
    <col min="15385" max="15386" width="6.28515625" style="237" bestFit="1" customWidth="1"/>
    <col min="15387" max="15387" width="7" style="237" bestFit="1" customWidth="1"/>
    <col min="15388" max="15388" width="9.7109375" style="237" bestFit="1" customWidth="1"/>
    <col min="15389" max="15390" width="5.28515625" style="237" bestFit="1" customWidth="1"/>
    <col min="15391" max="15392" width="6.140625" style="237" bestFit="1" customWidth="1"/>
    <col min="15393" max="15393" width="5.42578125" style="237" bestFit="1" customWidth="1"/>
    <col min="15394" max="15394" width="6.140625" style="237" bestFit="1" customWidth="1"/>
    <col min="15395" max="15395" width="6.28515625" style="237" bestFit="1" customWidth="1"/>
    <col min="15396" max="15396" width="6.140625" style="237" customWidth="1"/>
    <col min="15397" max="15398" width="5.28515625" style="237" bestFit="1" customWidth="1"/>
    <col min="15399" max="15399" width="9.7109375" style="237" bestFit="1" customWidth="1"/>
    <col min="15400" max="15400" width="8.7109375" style="237" bestFit="1" customWidth="1"/>
    <col min="15401" max="15401" width="10.7109375" style="237" bestFit="1" customWidth="1"/>
    <col min="15402" max="15402" width="12.42578125" style="237" bestFit="1" customWidth="1"/>
    <col min="15403" max="15403" width="8.42578125" style="237" bestFit="1" customWidth="1"/>
    <col min="15404" max="15404" width="9.42578125" style="237" customWidth="1"/>
    <col min="15405" max="15616" width="9.140625" style="237"/>
    <col min="15617" max="15617" width="3.7109375" style="237" bestFit="1" customWidth="1"/>
    <col min="15618" max="15618" width="17.7109375" style="237" customWidth="1"/>
    <col min="15619" max="15619" width="26.42578125" style="237" customWidth="1"/>
    <col min="15620" max="15620" width="13.42578125" style="237" customWidth="1"/>
    <col min="15621" max="15621" width="8.42578125" style="237" bestFit="1" customWidth="1"/>
    <col min="15622" max="15622" width="9.140625" style="237" customWidth="1"/>
    <col min="15623" max="15623" width="5" style="237" bestFit="1" customWidth="1"/>
    <col min="15624" max="15624" width="7.7109375" style="237" bestFit="1" customWidth="1"/>
    <col min="15625" max="15625" width="7" style="237" bestFit="1" customWidth="1"/>
    <col min="15626" max="15626" width="8.42578125" style="237" bestFit="1" customWidth="1"/>
    <col min="15627" max="15627" width="8" style="237" bestFit="1" customWidth="1"/>
    <col min="15628" max="15628" width="8" style="237" customWidth="1"/>
    <col min="15629" max="15629" width="6.28515625" style="237" customWidth="1"/>
    <col min="15630" max="15630" width="3.42578125" style="237" bestFit="1" customWidth="1"/>
    <col min="15631" max="15631" width="4.7109375" style="237" bestFit="1" customWidth="1"/>
    <col min="15632" max="15632" width="4.42578125" style="237" bestFit="1" customWidth="1"/>
    <col min="15633" max="15633" width="6.42578125" style="237" bestFit="1" customWidth="1"/>
    <col min="15634" max="15634" width="7.7109375" style="237" customWidth="1"/>
    <col min="15635" max="15635" width="4.42578125" style="237" bestFit="1" customWidth="1"/>
    <col min="15636" max="15636" width="2" style="237" bestFit="1" customWidth="1"/>
    <col min="15637" max="15637" width="1.7109375" style="237" customWidth="1"/>
    <col min="15638" max="15638" width="2" style="237" bestFit="1" customWidth="1"/>
    <col min="15639" max="15639" width="5.42578125" style="237" bestFit="1" customWidth="1"/>
    <col min="15640" max="15640" width="6.140625" style="237" bestFit="1" customWidth="1"/>
    <col min="15641" max="15642" width="6.28515625" style="237" bestFit="1" customWidth="1"/>
    <col min="15643" max="15643" width="7" style="237" bestFit="1" customWidth="1"/>
    <col min="15644" max="15644" width="9.7109375" style="237" bestFit="1" customWidth="1"/>
    <col min="15645" max="15646" width="5.28515625" style="237" bestFit="1" customWidth="1"/>
    <col min="15647" max="15648" width="6.140625" style="237" bestFit="1" customWidth="1"/>
    <col min="15649" max="15649" width="5.42578125" style="237" bestFit="1" customWidth="1"/>
    <col min="15650" max="15650" width="6.140625" style="237" bestFit="1" customWidth="1"/>
    <col min="15651" max="15651" width="6.28515625" style="237" bestFit="1" customWidth="1"/>
    <col min="15652" max="15652" width="6.140625" style="237" customWidth="1"/>
    <col min="15653" max="15654" width="5.28515625" style="237" bestFit="1" customWidth="1"/>
    <col min="15655" max="15655" width="9.7109375" style="237" bestFit="1" customWidth="1"/>
    <col min="15656" max="15656" width="8.7109375" style="237" bestFit="1" customWidth="1"/>
    <col min="15657" max="15657" width="10.7109375" style="237" bestFit="1" customWidth="1"/>
    <col min="15658" max="15658" width="12.42578125" style="237" bestFit="1" customWidth="1"/>
    <col min="15659" max="15659" width="8.42578125" style="237" bestFit="1" customWidth="1"/>
    <col min="15660" max="15660" width="9.42578125" style="237" customWidth="1"/>
    <col min="15661" max="15872" width="9.140625" style="237"/>
    <col min="15873" max="15873" width="3.7109375" style="237" bestFit="1" customWidth="1"/>
    <col min="15874" max="15874" width="17.7109375" style="237" customWidth="1"/>
    <col min="15875" max="15875" width="26.42578125" style="237" customWidth="1"/>
    <col min="15876" max="15876" width="13.42578125" style="237" customWidth="1"/>
    <col min="15877" max="15877" width="8.42578125" style="237" bestFit="1" customWidth="1"/>
    <col min="15878" max="15878" width="9.140625" style="237" customWidth="1"/>
    <col min="15879" max="15879" width="5" style="237" bestFit="1" customWidth="1"/>
    <col min="15880" max="15880" width="7.7109375" style="237" bestFit="1" customWidth="1"/>
    <col min="15881" max="15881" width="7" style="237" bestFit="1" customWidth="1"/>
    <col min="15882" max="15882" width="8.42578125" style="237" bestFit="1" customWidth="1"/>
    <col min="15883" max="15883" width="8" style="237" bestFit="1" customWidth="1"/>
    <col min="15884" max="15884" width="8" style="237" customWidth="1"/>
    <col min="15885" max="15885" width="6.28515625" style="237" customWidth="1"/>
    <col min="15886" max="15886" width="3.42578125" style="237" bestFit="1" customWidth="1"/>
    <col min="15887" max="15887" width="4.7109375" style="237" bestFit="1" customWidth="1"/>
    <col min="15888" max="15888" width="4.42578125" style="237" bestFit="1" customWidth="1"/>
    <col min="15889" max="15889" width="6.42578125" style="237" bestFit="1" customWidth="1"/>
    <col min="15890" max="15890" width="7.7109375" style="237" customWidth="1"/>
    <col min="15891" max="15891" width="4.42578125" style="237" bestFit="1" customWidth="1"/>
    <col min="15892" max="15892" width="2" style="237" bestFit="1" customWidth="1"/>
    <col min="15893" max="15893" width="1.7109375" style="237" customWidth="1"/>
    <col min="15894" max="15894" width="2" style="237" bestFit="1" customWidth="1"/>
    <col min="15895" max="15895" width="5.42578125" style="237" bestFit="1" customWidth="1"/>
    <col min="15896" max="15896" width="6.140625" style="237" bestFit="1" customWidth="1"/>
    <col min="15897" max="15898" width="6.28515625" style="237" bestFit="1" customWidth="1"/>
    <col min="15899" max="15899" width="7" style="237" bestFit="1" customWidth="1"/>
    <col min="15900" max="15900" width="9.7109375" style="237" bestFit="1" customWidth="1"/>
    <col min="15901" max="15902" width="5.28515625" style="237" bestFit="1" customWidth="1"/>
    <col min="15903" max="15904" width="6.140625" style="237" bestFit="1" customWidth="1"/>
    <col min="15905" max="15905" width="5.42578125" style="237" bestFit="1" customWidth="1"/>
    <col min="15906" max="15906" width="6.140625" style="237" bestFit="1" customWidth="1"/>
    <col min="15907" max="15907" width="6.28515625" style="237" bestFit="1" customWidth="1"/>
    <col min="15908" max="15908" width="6.140625" style="237" customWidth="1"/>
    <col min="15909" max="15910" width="5.28515625" style="237" bestFit="1" customWidth="1"/>
    <col min="15911" max="15911" width="9.7109375" style="237" bestFit="1" customWidth="1"/>
    <col min="15912" max="15912" width="8.7109375" style="237" bestFit="1" customWidth="1"/>
    <col min="15913" max="15913" width="10.7109375" style="237" bestFit="1" customWidth="1"/>
    <col min="15914" max="15914" width="12.42578125" style="237" bestFit="1" customWidth="1"/>
    <col min="15915" max="15915" width="8.42578125" style="237" bestFit="1" customWidth="1"/>
    <col min="15916" max="15916" width="9.42578125" style="237" customWidth="1"/>
    <col min="15917" max="16128" width="9.140625" style="237"/>
    <col min="16129" max="16129" width="3.7109375" style="237" bestFit="1" customWidth="1"/>
    <col min="16130" max="16130" width="17.7109375" style="237" customWidth="1"/>
    <col min="16131" max="16131" width="26.42578125" style="237" customWidth="1"/>
    <col min="16132" max="16132" width="13.42578125" style="237" customWidth="1"/>
    <col min="16133" max="16133" width="8.42578125" style="237" bestFit="1" customWidth="1"/>
    <col min="16134" max="16134" width="9.140625" style="237" customWidth="1"/>
    <col min="16135" max="16135" width="5" style="237" bestFit="1" customWidth="1"/>
    <col min="16136" max="16136" width="7.7109375" style="237" bestFit="1" customWidth="1"/>
    <col min="16137" max="16137" width="7" style="237" bestFit="1" customWidth="1"/>
    <col min="16138" max="16138" width="8.42578125" style="237" bestFit="1" customWidth="1"/>
    <col min="16139" max="16139" width="8" style="237" bestFit="1" customWidth="1"/>
    <col min="16140" max="16140" width="8" style="237" customWidth="1"/>
    <col min="16141" max="16141" width="6.28515625" style="237" customWidth="1"/>
    <col min="16142" max="16142" width="3.42578125" style="237" bestFit="1" customWidth="1"/>
    <col min="16143" max="16143" width="4.7109375" style="237" bestFit="1" customWidth="1"/>
    <col min="16144" max="16144" width="4.42578125" style="237" bestFit="1" customWidth="1"/>
    <col min="16145" max="16145" width="6.42578125" style="237" bestFit="1" customWidth="1"/>
    <col min="16146" max="16146" width="7.7109375" style="237" customWidth="1"/>
    <col min="16147" max="16147" width="4.42578125" style="237" bestFit="1" customWidth="1"/>
    <col min="16148" max="16148" width="2" style="237" bestFit="1" customWidth="1"/>
    <col min="16149" max="16149" width="1.7109375" style="237" customWidth="1"/>
    <col min="16150" max="16150" width="2" style="237" bestFit="1" customWidth="1"/>
    <col min="16151" max="16151" width="5.42578125" style="237" bestFit="1" customWidth="1"/>
    <col min="16152" max="16152" width="6.140625" style="237" bestFit="1" customWidth="1"/>
    <col min="16153" max="16154" width="6.28515625" style="237" bestFit="1" customWidth="1"/>
    <col min="16155" max="16155" width="7" style="237" bestFit="1" customWidth="1"/>
    <col min="16156" max="16156" width="9.7109375" style="237" bestFit="1" customWidth="1"/>
    <col min="16157" max="16158" width="5.28515625" style="237" bestFit="1" customWidth="1"/>
    <col min="16159" max="16160" width="6.140625" style="237" bestFit="1" customWidth="1"/>
    <col min="16161" max="16161" width="5.42578125" style="237" bestFit="1" customWidth="1"/>
    <col min="16162" max="16162" width="6.140625" style="237" bestFit="1" customWidth="1"/>
    <col min="16163" max="16163" width="6.28515625" style="237" bestFit="1" customWidth="1"/>
    <col min="16164" max="16164" width="6.140625" style="237" customWidth="1"/>
    <col min="16165" max="16166" width="5.28515625" style="237" bestFit="1" customWidth="1"/>
    <col min="16167" max="16167" width="9.7109375" style="237" bestFit="1" customWidth="1"/>
    <col min="16168" max="16168" width="8.7109375" style="237" bestFit="1" customWidth="1"/>
    <col min="16169" max="16169" width="10.7109375" style="237" bestFit="1" customWidth="1"/>
    <col min="16170" max="16170" width="12.42578125" style="237" bestFit="1" customWidth="1"/>
    <col min="16171" max="16171" width="8.42578125" style="237" bestFit="1" customWidth="1"/>
    <col min="16172" max="16172" width="9.42578125" style="237" customWidth="1"/>
    <col min="16173" max="16384" width="9.140625" style="237"/>
  </cols>
  <sheetData>
    <row r="1" spans="1:50" x14ac:dyDescent="0.2">
      <c r="B1" s="238" t="s">
        <v>0</v>
      </c>
    </row>
    <row r="3" spans="1:50" x14ac:dyDescent="0.2">
      <c r="B3" s="238" t="s">
        <v>91</v>
      </c>
    </row>
    <row r="4" spans="1:50" x14ac:dyDescent="0.2">
      <c r="B4" s="238" t="s">
        <v>2</v>
      </c>
    </row>
    <row r="6" spans="1:50" x14ac:dyDescent="0.2">
      <c r="B6" s="238" t="s">
        <v>3</v>
      </c>
    </row>
    <row r="7" spans="1:50" x14ac:dyDescent="0.2">
      <c r="B7" s="238"/>
    </row>
    <row r="8" spans="1:50" x14ac:dyDescent="0.2">
      <c r="A8" s="243" t="s">
        <v>186</v>
      </c>
      <c r="B8" s="238" t="s">
        <v>0</v>
      </c>
    </row>
    <row r="9" spans="1:50" x14ac:dyDescent="0.2">
      <c r="A9" s="244"/>
      <c r="B9" s="238"/>
      <c r="AE9" s="245"/>
    </row>
    <row r="10" spans="1:50" s="248" customFormat="1" ht="25.5" x14ac:dyDescent="0.25">
      <c r="A10" s="523" t="s">
        <v>4</v>
      </c>
      <c r="B10" s="519" t="s">
        <v>5</v>
      </c>
      <c r="C10" s="519" t="s">
        <v>6</v>
      </c>
      <c r="D10" s="519" t="s">
        <v>7</v>
      </c>
      <c r="E10" s="524" t="s">
        <v>187</v>
      </c>
      <c r="F10" s="525"/>
      <c r="G10" s="525"/>
      <c r="H10" s="525"/>
      <c r="I10" s="525"/>
      <c r="J10" s="525"/>
      <c r="K10" s="525"/>
      <c r="L10" s="526"/>
      <c r="M10" s="527" t="s">
        <v>188</v>
      </c>
      <c r="N10" s="528"/>
      <c r="O10" s="528"/>
      <c r="P10" s="528"/>
      <c r="Q10" s="528"/>
      <c r="R10" s="528"/>
      <c r="S10" s="528"/>
      <c r="T10" s="528"/>
      <c r="U10" s="528"/>
      <c r="V10" s="529"/>
      <c r="W10" s="513" t="s">
        <v>189</v>
      </c>
      <c r="X10" s="514"/>
      <c r="Y10" s="514"/>
      <c r="Z10" s="514"/>
      <c r="AA10" s="514"/>
      <c r="AB10" s="514"/>
      <c r="AC10" s="514"/>
      <c r="AD10" s="515"/>
      <c r="AE10" s="516" t="s">
        <v>190</v>
      </c>
      <c r="AF10" s="517"/>
      <c r="AG10" s="517"/>
      <c r="AH10" s="517"/>
      <c r="AI10" s="517"/>
      <c r="AJ10" s="517"/>
      <c r="AK10" s="517"/>
      <c r="AL10" s="518"/>
      <c r="AM10" s="246" t="s">
        <v>191</v>
      </c>
      <c r="AN10" s="247" t="s">
        <v>192</v>
      </c>
      <c r="AO10" s="246" t="s">
        <v>193</v>
      </c>
      <c r="AP10" s="246" t="s">
        <v>194</v>
      </c>
      <c r="AQ10" s="246" t="s">
        <v>62</v>
      </c>
      <c r="AR10" s="519" t="s">
        <v>20</v>
      </c>
      <c r="AU10" s="249" t="s">
        <v>195</v>
      </c>
      <c r="AV10" s="250" t="s">
        <v>196</v>
      </c>
      <c r="AW10" s="251" t="s">
        <v>197</v>
      </c>
      <c r="AX10" s="252" t="s">
        <v>198</v>
      </c>
    </row>
    <row r="11" spans="1:50" s="262" customFormat="1" ht="25.5" x14ac:dyDescent="0.25">
      <c r="A11" s="523"/>
      <c r="B11" s="519"/>
      <c r="C11" s="519"/>
      <c r="D11" s="519"/>
      <c r="E11" s="253" t="s">
        <v>8</v>
      </c>
      <c r="F11" s="253" t="s">
        <v>9</v>
      </c>
      <c r="G11" s="253" t="s">
        <v>10</v>
      </c>
      <c r="H11" s="253" t="s">
        <v>11</v>
      </c>
      <c r="I11" s="253" t="s">
        <v>12</v>
      </c>
      <c r="J11" s="253" t="s">
        <v>13</v>
      </c>
      <c r="K11" s="253" t="s">
        <v>263</v>
      </c>
      <c r="L11" s="253" t="s">
        <v>200</v>
      </c>
      <c r="M11" s="254" t="s">
        <v>8</v>
      </c>
      <c r="N11" s="254" t="s">
        <v>9</v>
      </c>
      <c r="O11" s="254" t="s">
        <v>10</v>
      </c>
      <c r="P11" s="254" t="s">
        <v>11</v>
      </c>
      <c r="Q11" s="254" t="s">
        <v>12</v>
      </c>
      <c r="R11" s="254" t="s">
        <v>13</v>
      </c>
      <c r="S11" s="254" t="s">
        <v>199</v>
      </c>
      <c r="T11" s="520" t="s">
        <v>200</v>
      </c>
      <c r="U11" s="521"/>
      <c r="V11" s="522"/>
      <c r="W11" s="255" t="s">
        <v>8</v>
      </c>
      <c r="X11" s="255" t="s">
        <v>9</v>
      </c>
      <c r="Y11" s="255" t="s">
        <v>10</v>
      </c>
      <c r="Z11" s="256" t="s">
        <v>11</v>
      </c>
      <c r="AA11" s="257" t="s">
        <v>12</v>
      </c>
      <c r="AB11" s="255" t="s">
        <v>13</v>
      </c>
      <c r="AC11" s="255" t="s">
        <v>199</v>
      </c>
      <c r="AD11" s="255" t="s">
        <v>200</v>
      </c>
      <c r="AE11" s="258" t="s">
        <v>8</v>
      </c>
      <c r="AF11" s="258" t="s">
        <v>9</v>
      </c>
      <c r="AG11" s="258" t="s">
        <v>10</v>
      </c>
      <c r="AH11" s="259" t="s">
        <v>11</v>
      </c>
      <c r="AI11" s="260" t="s">
        <v>12</v>
      </c>
      <c r="AJ11" s="258" t="s">
        <v>13</v>
      </c>
      <c r="AK11" s="258" t="s">
        <v>199</v>
      </c>
      <c r="AL11" s="258" t="s">
        <v>200</v>
      </c>
      <c r="AM11" s="261" t="s">
        <v>15</v>
      </c>
      <c r="AN11" s="261" t="s">
        <v>16</v>
      </c>
      <c r="AO11" s="261" t="s">
        <v>17</v>
      </c>
      <c r="AP11" s="261" t="s">
        <v>18</v>
      </c>
      <c r="AQ11" s="261" t="s">
        <v>19</v>
      </c>
      <c r="AR11" s="519"/>
      <c r="AU11" s="263"/>
      <c r="AV11" s="264"/>
      <c r="AW11" s="265"/>
      <c r="AX11" s="266"/>
    </row>
    <row r="12" spans="1:50" x14ac:dyDescent="0.2">
      <c r="A12" s="311" t="s">
        <v>183</v>
      </c>
      <c r="B12" s="268"/>
      <c r="C12" s="269"/>
      <c r="D12" s="270"/>
      <c r="E12" s="271"/>
      <c r="F12" s="271"/>
      <c r="G12" s="271"/>
      <c r="H12" s="271"/>
      <c r="I12" s="271"/>
      <c r="J12" s="272"/>
      <c r="K12" s="272"/>
      <c r="L12" s="272"/>
      <c r="M12" s="254"/>
      <c r="N12" s="254"/>
      <c r="O12" s="254"/>
      <c r="P12" s="254"/>
      <c r="Q12" s="254"/>
      <c r="R12" s="254"/>
      <c r="S12" s="254"/>
      <c r="T12" s="254"/>
      <c r="U12" s="254"/>
      <c r="V12" s="254"/>
      <c r="W12" s="255"/>
      <c r="X12" s="255"/>
      <c r="Y12" s="255"/>
      <c r="Z12" s="255"/>
      <c r="AA12" s="257"/>
      <c r="AB12" s="255"/>
      <c r="AC12" s="255"/>
      <c r="AD12" s="255"/>
      <c r="AE12" s="258"/>
      <c r="AF12" s="258"/>
      <c r="AG12" s="258"/>
      <c r="AH12" s="258"/>
      <c r="AI12" s="258"/>
      <c r="AJ12" s="258"/>
      <c r="AK12" s="258"/>
      <c r="AL12" s="258"/>
      <c r="AM12" s="273"/>
      <c r="AN12" s="274"/>
      <c r="AO12" s="275"/>
      <c r="AP12" s="275"/>
      <c r="AQ12" s="276"/>
      <c r="AR12" s="277"/>
    </row>
    <row r="13" spans="1:50" x14ac:dyDescent="0.2">
      <c r="A13" s="267">
        <v>1</v>
      </c>
      <c r="B13" s="278" t="s">
        <v>21</v>
      </c>
      <c r="C13" s="279" t="s">
        <v>94</v>
      </c>
      <c r="D13" s="270">
        <v>43560</v>
      </c>
      <c r="E13" s="271">
        <v>81</v>
      </c>
      <c r="F13" s="271">
        <v>7.19</v>
      </c>
      <c r="G13" s="271">
        <v>4</v>
      </c>
      <c r="H13" s="271">
        <v>12</v>
      </c>
      <c r="I13" s="271">
        <v>0.28000000000000003</v>
      </c>
      <c r="J13" s="272">
        <v>1100000</v>
      </c>
      <c r="K13" s="272">
        <v>2.8</v>
      </c>
      <c r="L13" s="272">
        <v>7.67</v>
      </c>
      <c r="M13" s="254">
        <v>50</v>
      </c>
      <c r="N13" s="254">
        <v>4</v>
      </c>
      <c r="O13" s="254">
        <v>3</v>
      </c>
      <c r="P13" s="254">
        <v>25</v>
      </c>
      <c r="Q13" s="254">
        <v>0.2</v>
      </c>
      <c r="R13" s="254">
        <v>1000</v>
      </c>
      <c r="S13" s="254">
        <v>10</v>
      </c>
      <c r="T13" s="254">
        <v>6</v>
      </c>
      <c r="U13" s="254" t="s">
        <v>201</v>
      </c>
      <c r="V13" s="254">
        <v>9</v>
      </c>
      <c r="W13" s="255">
        <f t="shared" ref="W13:W27" si="0">E13/M13</f>
        <v>1.62</v>
      </c>
      <c r="X13" s="255">
        <f>((7-F13)/(7-N13))/N13</f>
        <v>-1.5833333333333366E-2</v>
      </c>
      <c r="Y13" s="255">
        <f>G13/O13</f>
        <v>1.3333333333333333</v>
      </c>
      <c r="Z13" s="255">
        <f>H13/P13</f>
        <v>0.48</v>
      </c>
      <c r="AA13" s="255">
        <f>I13/Q13</f>
        <v>1.4000000000000001</v>
      </c>
      <c r="AB13" s="255">
        <f>J13/R13</f>
        <v>1100</v>
      </c>
      <c r="AC13" s="255">
        <f>K13/S13</f>
        <v>0.27999999999999997</v>
      </c>
      <c r="AD13" s="255">
        <f>(L13-(AVERAGE(T13,V13)))/((IF(L13&lt;7.5,T13,V13)-L13))</f>
        <v>0.12781954887218039</v>
      </c>
      <c r="AE13" s="258">
        <f>IF(W13&lt;1,W13,(1+(5*(LOG10(W13)))))</f>
        <v>2.0475750727131548</v>
      </c>
      <c r="AF13" s="258">
        <f t="shared" ref="AF13:AL27" si="1">IF(X13&lt;1,X13,(1+(5*(LOG10(X13)))))</f>
        <v>-1.5833333333333366E-2</v>
      </c>
      <c r="AG13" s="258">
        <f t="shared" si="1"/>
        <v>1.6246936830414995</v>
      </c>
      <c r="AH13" s="258">
        <f t="shared" si="1"/>
        <v>0.48</v>
      </c>
      <c r="AI13" s="258">
        <f t="shared" si="1"/>
        <v>1.7306401783911904</v>
      </c>
      <c r="AJ13" s="258">
        <f t="shared" si="1"/>
        <v>16.206963425791123</v>
      </c>
      <c r="AK13" s="258">
        <f t="shared" si="1"/>
        <v>0.27999999999999997</v>
      </c>
      <c r="AL13" s="258">
        <f>IF(AD13&lt;1,AD13,(1+(5*(LOG10(AD13)))))</f>
        <v>0.12781954887218039</v>
      </c>
      <c r="AM13" s="273">
        <f>AVERAGE(AE13:AL13)</f>
        <v>2.8102323219344774</v>
      </c>
      <c r="AN13" s="274">
        <f>MAX(AE13:AL13)</f>
        <v>16.206963425791123</v>
      </c>
      <c r="AO13" s="275">
        <f>POWER(AM13,2)</f>
        <v>7.8974057032452443</v>
      </c>
      <c r="AP13" s="275">
        <f>POWER(AN13,2)</f>
        <v>262.66566348493114</v>
      </c>
      <c r="AQ13" s="276">
        <f>SQRT((AO13+AP13)/2)</f>
        <v>11.631059048688911</v>
      </c>
      <c r="AR13" s="280" t="str">
        <f>IF(ISNUMBER(AQ13),IF(AQ13&lt;=1,"memenuhi",IF(AQ13&lt;=5,"ringan",IF(AQ13&lt;=10,"sedang","berat"))),"")</f>
        <v>berat</v>
      </c>
      <c r="AT13" s="281"/>
      <c r="AU13" s="239">
        <v>1</v>
      </c>
    </row>
    <row r="14" spans="1:50" x14ac:dyDescent="0.2">
      <c r="A14" s="267">
        <v>2</v>
      </c>
      <c r="B14" s="278" t="s">
        <v>61</v>
      </c>
      <c r="C14" s="279" t="s">
        <v>96</v>
      </c>
      <c r="D14" s="270">
        <v>43556</v>
      </c>
      <c r="E14" s="271">
        <v>62</v>
      </c>
      <c r="F14" s="271">
        <v>6.04</v>
      </c>
      <c r="G14" s="271">
        <v>4</v>
      </c>
      <c r="H14" s="271">
        <v>11</v>
      </c>
      <c r="I14" s="271">
        <v>0.36</v>
      </c>
      <c r="J14" s="272">
        <v>240000</v>
      </c>
      <c r="K14" s="272">
        <v>2.8</v>
      </c>
      <c r="L14" s="272">
        <v>7.35</v>
      </c>
      <c r="M14" s="254">
        <v>50</v>
      </c>
      <c r="N14" s="254">
        <v>4</v>
      </c>
      <c r="O14" s="254">
        <v>3</v>
      </c>
      <c r="P14" s="254">
        <v>25</v>
      </c>
      <c r="Q14" s="254">
        <v>0.2</v>
      </c>
      <c r="R14" s="254">
        <v>1000</v>
      </c>
      <c r="S14" s="254">
        <v>10</v>
      </c>
      <c r="T14" s="254">
        <v>6</v>
      </c>
      <c r="U14" s="254" t="s">
        <v>201</v>
      </c>
      <c r="V14" s="254">
        <v>9</v>
      </c>
      <c r="W14" s="255">
        <f t="shared" si="0"/>
        <v>1.24</v>
      </c>
      <c r="X14" s="255">
        <f t="shared" ref="X14:X27" si="2">((7-F14)/(7-N14))/N14</f>
        <v>0.08</v>
      </c>
      <c r="Y14" s="255">
        <f t="shared" ref="Y14:AC29" si="3">G14/O14</f>
        <v>1.3333333333333333</v>
      </c>
      <c r="Z14" s="255">
        <f t="shared" si="3"/>
        <v>0.44</v>
      </c>
      <c r="AA14" s="255">
        <f t="shared" si="3"/>
        <v>1.7999999999999998</v>
      </c>
      <c r="AB14" s="255">
        <f t="shared" si="3"/>
        <v>240</v>
      </c>
      <c r="AC14" s="255">
        <f t="shared" si="3"/>
        <v>0.27999999999999997</v>
      </c>
      <c r="AD14" s="255">
        <f t="shared" ref="AD14:AD27" si="4">(L14-(AVERAGE(T14,V14)))/((IF(L14&lt;7.5,T14,V14)-L14))</f>
        <v>0.11111111111111141</v>
      </c>
      <c r="AE14" s="258">
        <f t="shared" ref="AE14:AE27" si="5">IF(W14&lt;1,W14,(1+(5*(LOG10(W14)))))</f>
        <v>1.4671084258111753</v>
      </c>
      <c r="AF14" s="258">
        <f t="shared" si="1"/>
        <v>0.08</v>
      </c>
      <c r="AG14" s="258">
        <f t="shared" si="1"/>
        <v>1.6246936830414995</v>
      </c>
      <c r="AH14" s="258">
        <f t="shared" si="1"/>
        <v>0.44</v>
      </c>
      <c r="AI14" s="258">
        <f t="shared" si="1"/>
        <v>2.2763625255165301</v>
      </c>
      <c r="AJ14" s="258">
        <f t="shared" si="1"/>
        <v>12.90105620855803</v>
      </c>
      <c r="AK14" s="258">
        <f t="shared" si="1"/>
        <v>0.27999999999999997</v>
      </c>
      <c r="AL14" s="258">
        <f t="shared" si="1"/>
        <v>0.11111111111111141</v>
      </c>
      <c r="AM14" s="273">
        <f t="shared" ref="AM14:AM59" si="6">AVERAGE(AE14:AL14)</f>
        <v>2.3975414942547935</v>
      </c>
      <c r="AN14" s="274">
        <f t="shared" ref="AN14:AN59" si="7">MAX(AE14:AL14)</f>
        <v>12.90105620855803</v>
      </c>
      <c r="AO14" s="275">
        <f t="shared" ref="AO14:AP46" si="8">POWER(AM14,2)</f>
        <v>5.748205216673508</v>
      </c>
      <c r="AP14" s="275">
        <f t="shared" si="8"/>
        <v>166.43725129637369</v>
      </c>
      <c r="AQ14" s="276">
        <f t="shared" ref="AQ14:AQ59" si="9">SQRT((AO14+AP14)/2)</f>
        <v>9.2786167210702057</v>
      </c>
      <c r="AR14" s="282" t="str">
        <f t="shared" ref="AR14:AR60" si="10">IF(ISNUMBER(AQ14),IF(AQ14&lt;=1,"memenuhi",IF(AQ14&lt;=5,"ringan",IF(AQ14&lt;=10,"sedang","berat"))),"")</f>
        <v>sedang</v>
      </c>
      <c r="AT14" s="281"/>
      <c r="AV14" s="240">
        <v>1</v>
      </c>
    </row>
    <row r="15" spans="1:50" x14ac:dyDescent="0.2">
      <c r="A15" s="267">
        <v>3</v>
      </c>
      <c r="B15" s="278" t="s">
        <v>60</v>
      </c>
      <c r="C15" s="279" t="s">
        <v>97</v>
      </c>
      <c r="D15" s="270">
        <v>43560</v>
      </c>
      <c r="E15" s="271">
        <v>20</v>
      </c>
      <c r="F15" s="271">
        <v>6.19</v>
      </c>
      <c r="G15" s="271">
        <v>6</v>
      </c>
      <c r="H15" s="271">
        <v>27</v>
      </c>
      <c r="I15" s="271">
        <v>0.33</v>
      </c>
      <c r="J15" s="272">
        <v>1100000</v>
      </c>
      <c r="K15" s="272">
        <v>2.9</v>
      </c>
      <c r="L15" s="272">
        <v>7.64</v>
      </c>
      <c r="M15" s="254">
        <v>50</v>
      </c>
      <c r="N15" s="254">
        <v>4</v>
      </c>
      <c r="O15" s="254">
        <v>3</v>
      </c>
      <c r="P15" s="254">
        <v>25</v>
      </c>
      <c r="Q15" s="254">
        <v>0.2</v>
      </c>
      <c r="R15" s="254">
        <v>1000</v>
      </c>
      <c r="S15" s="254">
        <v>10</v>
      </c>
      <c r="T15" s="254">
        <v>6</v>
      </c>
      <c r="U15" s="254" t="s">
        <v>201</v>
      </c>
      <c r="V15" s="254">
        <v>9</v>
      </c>
      <c r="W15" s="255">
        <f t="shared" si="0"/>
        <v>0.4</v>
      </c>
      <c r="X15" s="255">
        <f t="shared" si="2"/>
        <v>6.7499999999999963E-2</v>
      </c>
      <c r="Y15" s="255">
        <f t="shared" si="3"/>
        <v>2</v>
      </c>
      <c r="Z15" s="255">
        <f t="shared" si="3"/>
        <v>1.08</v>
      </c>
      <c r="AA15" s="255">
        <f t="shared" si="3"/>
        <v>1.65</v>
      </c>
      <c r="AB15" s="255">
        <f t="shared" si="3"/>
        <v>1100</v>
      </c>
      <c r="AC15" s="255">
        <f t="shared" si="3"/>
        <v>0.28999999999999998</v>
      </c>
      <c r="AD15" s="255">
        <f t="shared" si="4"/>
        <v>0.10294117647058798</v>
      </c>
      <c r="AE15" s="258">
        <f t="shared" si="5"/>
        <v>0.4</v>
      </c>
      <c r="AF15" s="258">
        <f t="shared" si="1"/>
        <v>6.7499999999999963E-2</v>
      </c>
      <c r="AG15" s="258">
        <f t="shared" si="1"/>
        <v>2.5051499783199063</v>
      </c>
      <c r="AH15" s="258">
        <f t="shared" si="1"/>
        <v>1.1671187774347487</v>
      </c>
      <c r="AI15" s="258">
        <f t="shared" si="1"/>
        <v>2.0874197210695313</v>
      </c>
      <c r="AJ15" s="258">
        <f t="shared" si="1"/>
        <v>16.206963425791123</v>
      </c>
      <c r="AK15" s="258">
        <f t="shared" si="1"/>
        <v>0.28999999999999998</v>
      </c>
      <c r="AL15" s="258">
        <f t="shared" si="1"/>
        <v>0.10294117647058798</v>
      </c>
      <c r="AM15" s="273">
        <f t="shared" si="6"/>
        <v>2.8533866348857369</v>
      </c>
      <c r="AN15" s="274">
        <f t="shared" si="7"/>
        <v>16.206963425791123</v>
      </c>
      <c r="AO15" s="275">
        <f t="shared" si="8"/>
        <v>8.1418152881445494</v>
      </c>
      <c r="AP15" s="275">
        <f t="shared" si="8"/>
        <v>262.66566348493114</v>
      </c>
      <c r="AQ15" s="276">
        <f t="shared" si="9"/>
        <v>11.636311244829171</v>
      </c>
      <c r="AR15" s="280" t="str">
        <f t="shared" si="10"/>
        <v>berat</v>
      </c>
      <c r="AT15" s="281"/>
      <c r="AU15" s="239">
        <v>1</v>
      </c>
    </row>
    <row r="16" spans="1:50" x14ac:dyDescent="0.2">
      <c r="A16" s="267">
        <v>4</v>
      </c>
      <c r="B16" s="278" t="s">
        <v>30</v>
      </c>
      <c r="C16" s="279" t="s">
        <v>99</v>
      </c>
      <c r="D16" s="270">
        <v>43556</v>
      </c>
      <c r="E16" s="271">
        <v>23</v>
      </c>
      <c r="F16" s="271">
        <v>4.25</v>
      </c>
      <c r="G16" s="271">
        <v>2</v>
      </c>
      <c r="H16" s="271">
        <v>7</v>
      </c>
      <c r="I16" s="271">
        <v>0.78</v>
      </c>
      <c r="J16" s="272">
        <v>460000</v>
      </c>
      <c r="K16" s="272">
        <v>2.6</v>
      </c>
      <c r="L16" s="272">
        <v>7.35</v>
      </c>
      <c r="M16" s="254">
        <v>50</v>
      </c>
      <c r="N16" s="254">
        <v>4</v>
      </c>
      <c r="O16" s="254">
        <v>3</v>
      </c>
      <c r="P16" s="254">
        <v>25</v>
      </c>
      <c r="Q16" s="254">
        <v>0.2</v>
      </c>
      <c r="R16" s="254">
        <v>1000</v>
      </c>
      <c r="S16" s="254">
        <v>10</v>
      </c>
      <c r="T16" s="254">
        <v>6</v>
      </c>
      <c r="U16" s="254" t="s">
        <v>201</v>
      </c>
      <c r="V16" s="254">
        <v>9</v>
      </c>
      <c r="W16" s="255">
        <f t="shared" si="0"/>
        <v>0.46</v>
      </c>
      <c r="X16" s="255">
        <f t="shared" si="2"/>
        <v>0.22916666666666666</v>
      </c>
      <c r="Y16" s="255">
        <f t="shared" si="3"/>
        <v>0.66666666666666663</v>
      </c>
      <c r="Z16" s="255">
        <f t="shared" si="3"/>
        <v>0.28000000000000003</v>
      </c>
      <c r="AA16" s="255">
        <f t="shared" si="3"/>
        <v>3.9</v>
      </c>
      <c r="AB16" s="255">
        <f t="shared" si="3"/>
        <v>460</v>
      </c>
      <c r="AC16" s="255">
        <f t="shared" si="3"/>
        <v>0.26</v>
      </c>
      <c r="AD16" s="255">
        <f t="shared" si="4"/>
        <v>0.11111111111111141</v>
      </c>
      <c r="AE16" s="258">
        <f t="shared" si="5"/>
        <v>0.46</v>
      </c>
      <c r="AF16" s="258">
        <f t="shared" si="1"/>
        <v>0.22916666666666666</v>
      </c>
      <c r="AG16" s="258">
        <f t="shared" si="1"/>
        <v>0.66666666666666663</v>
      </c>
      <c r="AH16" s="258">
        <f t="shared" si="1"/>
        <v>0.28000000000000003</v>
      </c>
      <c r="AI16" s="258">
        <f t="shared" si="1"/>
        <v>3.9553230351324959</v>
      </c>
      <c r="AJ16" s="258">
        <f t="shared" si="1"/>
        <v>14.31378915840787</v>
      </c>
      <c r="AK16" s="258">
        <f t="shared" si="1"/>
        <v>0.26</v>
      </c>
      <c r="AL16" s="258">
        <f t="shared" si="1"/>
        <v>0.11111111111111141</v>
      </c>
      <c r="AM16" s="273">
        <f t="shared" si="6"/>
        <v>2.5345070797481015</v>
      </c>
      <c r="AN16" s="274">
        <f t="shared" si="7"/>
        <v>14.31378915840787</v>
      </c>
      <c r="AO16" s="275">
        <f t="shared" si="8"/>
        <v>6.423726137293249</v>
      </c>
      <c r="AP16" s="275">
        <f t="shared" si="8"/>
        <v>204.88456007135468</v>
      </c>
      <c r="AQ16" s="276">
        <f t="shared" si="9"/>
        <v>10.278820122189314</v>
      </c>
      <c r="AR16" s="280" t="str">
        <f t="shared" si="10"/>
        <v>berat</v>
      </c>
      <c r="AT16" s="281"/>
      <c r="AU16" s="239">
        <v>1</v>
      </c>
    </row>
    <row r="17" spans="1:49" x14ac:dyDescent="0.2">
      <c r="A17" s="267">
        <v>5</v>
      </c>
      <c r="B17" s="278" t="s">
        <v>31</v>
      </c>
      <c r="C17" s="279" t="s">
        <v>100</v>
      </c>
      <c r="D17" s="270">
        <v>43556</v>
      </c>
      <c r="E17" s="271">
        <v>25</v>
      </c>
      <c r="F17" s="271">
        <v>1</v>
      </c>
      <c r="G17" s="271">
        <v>6</v>
      </c>
      <c r="H17" s="271">
        <v>23</v>
      </c>
      <c r="I17" s="271">
        <v>0.86</v>
      </c>
      <c r="J17" s="272">
        <v>1100000</v>
      </c>
      <c r="K17" s="272">
        <v>1.8</v>
      </c>
      <c r="L17" s="272">
        <v>7.21</v>
      </c>
      <c r="M17" s="254">
        <v>50</v>
      </c>
      <c r="N17" s="254">
        <v>4</v>
      </c>
      <c r="O17" s="254">
        <v>3</v>
      </c>
      <c r="P17" s="254">
        <v>25</v>
      </c>
      <c r="Q17" s="254">
        <v>0.2</v>
      </c>
      <c r="R17" s="254">
        <v>1000</v>
      </c>
      <c r="S17" s="254">
        <v>10</v>
      </c>
      <c r="T17" s="254">
        <v>6</v>
      </c>
      <c r="U17" s="254" t="s">
        <v>201</v>
      </c>
      <c r="V17" s="254">
        <v>9</v>
      </c>
      <c r="W17" s="255">
        <f t="shared" si="0"/>
        <v>0.5</v>
      </c>
      <c r="X17" s="255">
        <f t="shared" si="2"/>
        <v>0.5</v>
      </c>
      <c r="Y17" s="255">
        <f t="shared" si="3"/>
        <v>2</v>
      </c>
      <c r="Z17" s="255">
        <f t="shared" si="3"/>
        <v>0.92</v>
      </c>
      <c r="AA17" s="255">
        <f t="shared" si="3"/>
        <v>4.3</v>
      </c>
      <c r="AB17" s="255">
        <f t="shared" si="3"/>
        <v>1100</v>
      </c>
      <c r="AC17" s="255">
        <f t="shared" si="3"/>
        <v>0.18</v>
      </c>
      <c r="AD17" s="255">
        <f t="shared" si="4"/>
        <v>0.23966942148760334</v>
      </c>
      <c r="AE17" s="258">
        <f t="shared" si="5"/>
        <v>0.5</v>
      </c>
      <c r="AF17" s="258">
        <f t="shared" si="1"/>
        <v>0.5</v>
      </c>
      <c r="AG17" s="258">
        <f t="shared" si="1"/>
        <v>2.5051499783199063</v>
      </c>
      <c r="AH17" s="258">
        <f t="shared" si="1"/>
        <v>0.92</v>
      </c>
      <c r="AI17" s="258">
        <f t="shared" si="1"/>
        <v>4.1673422778979328</v>
      </c>
      <c r="AJ17" s="258">
        <f t="shared" si="1"/>
        <v>16.206963425791123</v>
      </c>
      <c r="AK17" s="258">
        <f t="shared" si="1"/>
        <v>0.18</v>
      </c>
      <c r="AL17" s="258">
        <f t="shared" si="1"/>
        <v>0.23966942148760334</v>
      </c>
      <c r="AM17" s="273">
        <f t="shared" si="6"/>
        <v>3.1523906379370707</v>
      </c>
      <c r="AN17" s="274">
        <f t="shared" si="7"/>
        <v>16.206963425791123</v>
      </c>
      <c r="AO17" s="275">
        <f t="shared" si="8"/>
        <v>9.9375667341532914</v>
      </c>
      <c r="AP17" s="275">
        <f t="shared" si="8"/>
        <v>262.66566348493114</v>
      </c>
      <c r="AQ17" s="276">
        <f t="shared" si="9"/>
        <v>11.674828268952918</v>
      </c>
      <c r="AR17" s="280" t="str">
        <f t="shared" si="10"/>
        <v>berat</v>
      </c>
      <c r="AT17" s="281"/>
      <c r="AU17" s="239">
        <v>1</v>
      </c>
    </row>
    <row r="18" spans="1:49" x14ac:dyDescent="0.2">
      <c r="A18" s="267">
        <v>6</v>
      </c>
      <c r="B18" s="278" t="s">
        <v>32</v>
      </c>
      <c r="C18" s="279" t="s">
        <v>101</v>
      </c>
      <c r="D18" s="270">
        <v>43557</v>
      </c>
      <c r="E18" s="271">
        <v>20</v>
      </c>
      <c r="F18" s="271">
        <v>1.73</v>
      </c>
      <c r="G18" s="271">
        <v>19</v>
      </c>
      <c r="H18" s="271">
        <v>42</v>
      </c>
      <c r="I18" s="271">
        <v>0.94</v>
      </c>
      <c r="J18" s="272">
        <v>93000</v>
      </c>
      <c r="K18" s="272">
        <v>1.4</v>
      </c>
      <c r="L18" s="272">
        <v>7.55</v>
      </c>
      <c r="M18" s="254">
        <v>50</v>
      </c>
      <c r="N18" s="254">
        <v>4</v>
      </c>
      <c r="O18" s="254">
        <v>3</v>
      </c>
      <c r="P18" s="254">
        <v>25</v>
      </c>
      <c r="Q18" s="254">
        <v>0.2</v>
      </c>
      <c r="R18" s="254">
        <v>1000</v>
      </c>
      <c r="S18" s="254">
        <v>10</v>
      </c>
      <c r="T18" s="254">
        <v>6</v>
      </c>
      <c r="U18" s="254" t="s">
        <v>201</v>
      </c>
      <c r="V18" s="254">
        <v>9</v>
      </c>
      <c r="W18" s="255">
        <f t="shared" si="0"/>
        <v>0.4</v>
      </c>
      <c r="X18" s="255">
        <f t="shared" si="2"/>
        <v>0.43916666666666665</v>
      </c>
      <c r="Y18" s="255">
        <f t="shared" si="3"/>
        <v>6.333333333333333</v>
      </c>
      <c r="Z18" s="255">
        <f t="shared" si="3"/>
        <v>1.68</v>
      </c>
      <c r="AA18" s="255">
        <f t="shared" si="3"/>
        <v>4.6999999999999993</v>
      </c>
      <c r="AB18" s="255">
        <f t="shared" si="3"/>
        <v>93</v>
      </c>
      <c r="AC18" s="255">
        <f t="shared" si="3"/>
        <v>0.13999999999999999</v>
      </c>
      <c r="AD18" s="255">
        <f t="shared" si="4"/>
        <v>3.448275862068953E-2</v>
      </c>
      <c r="AE18" s="258">
        <f t="shared" si="5"/>
        <v>0.4</v>
      </c>
      <c r="AF18" s="258">
        <f t="shared" si="1"/>
        <v>0.43916666666666665</v>
      </c>
      <c r="AG18" s="258">
        <f t="shared" si="1"/>
        <v>5.0081617311658322</v>
      </c>
      <c r="AH18" s="258">
        <f t="shared" si="1"/>
        <v>2.1265464086293142</v>
      </c>
      <c r="AI18" s="258">
        <f t="shared" si="1"/>
        <v>4.3604892896785872</v>
      </c>
      <c r="AJ18" s="258">
        <f t="shared" si="1"/>
        <v>10.842414742769675</v>
      </c>
      <c r="AK18" s="258">
        <f t="shared" si="1"/>
        <v>0.13999999999999999</v>
      </c>
      <c r="AL18" s="258">
        <f t="shared" si="1"/>
        <v>3.448275862068953E-2</v>
      </c>
      <c r="AM18" s="273">
        <f t="shared" si="6"/>
        <v>2.9189076996913457</v>
      </c>
      <c r="AN18" s="274">
        <f t="shared" si="7"/>
        <v>10.842414742769675</v>
      </c>
      <c r="AO18" s="275">
        <f t="shared" si="8"/>
        <v>8.5200221593174224</v>
      </c>
      <c r="AP18" s="275">
        <f t="shared" si="8"/>
        <v>117.5579574542292</v>
      </c>
      <c r="AQ18" s="276">
        <f t="shared" si="9"/>
        <v>7.9397096802574154</v>
      </c>
      <c r="AR18" s="282" t="str">
        <f t="shared" si="10"/>
        <v>sedang</v>
      </c>
      <c r="AT18" s="281"/>
      <c r="AV18" s="240">
        <v>1</v>
      </c>
    </row>
    <row r="19" spans="1:49" x14ac:dyDescent="0.2">
      <c r="A19" s="267">
        <v>7</v>
      </c>
      <c r="B19" s="278" t="s">
        <v>24</v>
      </c>
      <c r="C19" s="279" t="s">
        <v>102</v>
      </c>
      <c r="D19" s="270">
        <v>43559</v>
      </c>
      <c r="E19" s="271">
        <v>26</v>
      </c>
      <c r="F19" s="271">
        <v>5.38</v>
      </c>
      <c r="G19" s="271">
        <v>6</v>
      </c>
      <c r="H19" s="271">
        <v>29</v>
      </c>
      <c r="I19" s="271">
        <v>0.48</v>
      </c>
      <c r="J19" s="272">
        <v>1100000</v>
      </c>
      <c r="K19" s="272">
        <v>7.9</v>
      </c>
      <c r="L19" s="272">
        <v>7.42</v>
      </c>
      <c r="M19" s="254">
        <v>50</v>
      </c>
      <c r="N19" s="254">
        <v>4</v>
      </c>
      <c r="O19" s="254">
        <v>3</v>
      </c>
      <c r="P19" s="254">
        <v>25</v>
      </c>
      <c r="Q19" s="254">
        <v>0.2</v>
      </c>
      <c r="R19" s="254">
        <v>1000</v>
      </c>
      <c r="S19" s="254">
        <v>10</v>
      </c>
      <c r="T19" s="254">
        <v>6</v>
      </c>
      <c r="U19" s="254" t="s">
        <v>201</v>
      </c>
      <c r="V19" s="254">
        <v>9</v>
      </c>
      <c r="W19" s="255">
        <f t="shared" si="0"/>
        <v>0.52</v>
      </c>
      <c r="X19" s="255">
        <f t="shared" si="2"/>
        <v>0.13500000000000001</v>
      </c>
      <c r="Y19" s="255">
        <f t="shared" si="3"/>
        <v>2</v>
      </c>
      <c r="Z19" s="255">
        <f t="shared" si="3"/>
        <v>1.1599999999999999</v>
      </c>
      <c r="AA19" s="255">
        <f t="shared" si="3"/>
        <v>2.4</v>
      </c>
      <c r="AB19" s="255">
        <f t="shared" si="3"/>
        <v>1100</v>
      </c>
      <c r="AC19" s="255">
        <f t="shared" si="3"/>
        <v>0.79</v>
      </c>
      <c r="AD19" s="255">
        <f t="shared" si="4"/>
        <v>5.6338028169014134E-2</v>
      </c>
      <c r="AE19" s="258">
        <f t="shared" si="5"/>
        <v>0.52</v>
      </c>
      <c r="AF19" s="258">
        <f t="shared" si="1"/>
        <v>0.13500000000000001</v>
      </c>
      <c r="AG19" s="258">
        <f t="shared" si="1"/>
        <v>2.5051499783199063</v>
      </c>
      <c r="AH19" s="258">
        <f t="shared" si="1"/>
        <v>1.3222899461345923</v>
      </c>
      <c r="AI19" s="258">
        <f t="shared" si="1"/>
        <v>2.90105620855803</v>
      </c>
      <c r="AJ19" s="258">
        <f t="shared" si="1"/>
        <v>16.206963425791123</v>
      </c>
      <c r="AK19" s="258">
        <f t="shared" si="1"/>
        <v>0.79</v>
      </c>
      <c r="AL19" s="258">
        <f t="shared" si="1"/>
        <v>5.6338028169014134E-2</v>
      </c>
      <c r="AM19" s="273">
        <f t="shared" si="6"/>
        <v>3.0545996983715833</v>
      </c>
      <c r="AN19" s="274">
        <f t="shared" si="7"/>
        <v>16.206963425791123</v>
      </c>
      <c r="AO19" s="275">
        <f t="shared" si="8"/>
        <v>9.3305793172917681</v>
      </c>
      <c r="AP19" s="275">
        <f t="shared" si="8"/>
        <v>262.66566348493114</v>
      </c>
      <c r="AQ19" s="276">
        <f t="shared" si="9"/>
        <v>11.661823245149597</v>
      </c>
      <c r="AR19" s="280" t="str">
        <f t="shared" si="10"/>
        <v>berat</v>
      </c>
      <c r="AT19" s="281"/>
      <c r="AU19" s="239">
        <v>1</v>
      </c>
    </row>
    <row r="20" spans="1:49" x14ac:dyDescent="0.2">
      <c r="A20" s="267">
        <v>8</v>
      </c>
      <c r="B20" s="278" t="s">
        <v>25</v>
      </c>
      <c r="C20" s="279" t="s">
        <v>103</v>
      </c>
      <c r="D20" s="270">
        <v>43559</v>
      </c>
      <c r="E20" s="271">
        <v>21</v>
      </c>
      <c r="F20" s="271">
        <v>2.1</v>
      </c>
      <c r="G20" s="271">
        <v>24</v>
      </c>
      <c r="H20" s="271">
        <v>60</v>
      </c>
      <c r="I20" s="271">
        <v>0.93</v>
      </c>
      <c r="J20" s="272">
        <v>1100000</v>
      </c>
      <c r="K20" s="272">
        <v>1</v>
      </c>
      <c r="L20" s="272">
        <v>7.35</v>
      </c>
      <c r="M20" s="254">
        <v>50</v>
      </c>
      <c r="N20" s="254">
        <v>4</v>
      </c>
      <c r="O20" s="254">
        <v>3</v>
      </c>
      <c r="P20" s="254">
        <v>25</v>
      </c>
      <c r="Q20" s="254">
        <v>0.2</v>
      </c>
      <c r="R20" s="254">
        <v>1000</v>
      </c>
      <c r="S20" s="254">
        <v>10</v>
      </c>
      <c r="T20" s="254">
        <v>6</v>
      </c>
      <c r="U20" s="254" t="s">
        <v>201</v>
      </c>
      <c r="V20" s="254">
        <v>9</v>
      </c>
      <c r="W20" s="255">
        <f t="shared" si="0"/>
        <v>0.42</v>
      </c>
      <c r="X20" s="255">
        <f t="shared" si="2"/>
        <v>0.40833333333333338</v>
      </c>
      <c r="Y20" s="255">
        <f t="shared" si="3"/>
        <v>8</v>
      </c>
      <c r="Z20" s="255">
        <f t="shared" si="3"/>
        <v>2.4</v>
      </c>
      <c r="AA20" s="255">
        <f t="shared" si="3"/>
        <v>4.6500000000000004</v>
      </c>
      <c r="AB20" s="255">
        <f t="shared" si="3"/>
        <v>1100</v>
      </c>
      <c r="AC20" s="255">
        <f t="shared" si="3"/>
        <v>0.1</v>
      </c>
      <c r="AD20" s="255">
        <f t="shared" si="4"/>
        <v>0.11111111111111141</v>
      </c>
      <c r="AE20" s="258">
        <f t="shared" si="5"/>
        <v>0.42</v>
      </c>
      <c r="AF20" s="258">
        <f t="shared" si="1"/>
        <v>0.40833333333333338</v>
      </c>
      <c r="AG20" s="258">
        <f t="shared" si="1"/>
        <v>5.5154499349597179</v>
      </c>
      <c r="AH20" s="258">
        <f t="shared" si="1"/>
        <v>2.90105620855803</v>
      </c>
      <c r="AI20" s="258">
        <f t="shared" si="1"/>
        <v>4.3372647644497704</v>
      </c>
      <c r="AJ20" s="258">
        <f t="shared" si="1"/>
        <v>16.206963425791123</v>
      </c>
      <c r="AK20" s="258">
        <f t="shared" si="1"/>
        <v>0.1</v>
      </c>
      <c r="AL20" s="258">
        <f t="shared" si="1"/>
        <v>0.11111111111111141</v>
      </c>
      <c r="AM20" s="273">
        <f t="shared" si="6"/>
        <v>3.7500223472753857</v>
      </c>
      <c r="AN20" s="274">
        <f t="shared" si="7"/>
        <v>16.206963425791123</v>
      </c>
      <c r="AO20" s="275">
        <f t="shared" si="8"/>
        <v>14.062667605064794</v>
      </c>
      <c r="AP20" s="275">
        <f t="shared" si="8"/>
        <v>262.66566348493114</v>
      </c>
      <c r="AQ20" s="276">
        <f t="shared" si="9"/>
        <v>11.762829827256619</v>
      </c>
      <c r="AR20" s="280" t="str">
        <f t="shared" si="10"/>
        <v>berat</v>
      </c>
      <c r="AT20" s="281"/>
      <c r="AU20" s="239">
        <v>1</v>
      </c>
    </row>
    <row r="21" spans="1:49" x14ac:dyDescent="0.2">
      <c r="A21" s="267">
        <v>9</v>
      </c>
      <c r="B21" s="278" t="s">
        <v>26</v>
      </c>
      <c r="C21" s="279" t="s">
        <v>104</v>
      </c>
      <c r="D21" s="270">
        <v>43560</v>
      </c>
      <c r="E21" s="271">
        <v>32</v>
      </c>
      <c r="F21" s="271">
        <v>2.27</v>
      </c>
      <c r="G21" s="271">
        <v>46</v>
      </c>
      <c r="H21" s="271">
        <v>122</v>
      </c>
      <c r="I21" s="271">
        <v>1.08</v>
      </c>
      <c r="J21" s="272">
        <v>1100000</v>
      </c>
      <c r="K21" s="272">
        <v>1</v>
      </c>
      <c r="L21" s="272">
        <v>7.42</v>
      </c>
      <c r="M21" s="254">
        <v>50</v>
      </c>
      <c r="N21" s="254">
        <v>4</v>
      </c>
      <c r="O21" s="254">
        <v>3</v>
      </c>
      <c r="P21" s="254">
        <v>25</v>
      </c>
      <c r="Q21" s="254">
        <v>0.2</v>
      </c>
      <c r="R21" s="254">
        <v>1000</v>
      </c>
      <c r="S21" s="254">
        <v>10</v>
      </c>
      <c r="T21" s="254">
        <v>6</v>
      </c>
      <c r="U21" s="254" t="s">
        <v>201</v>
      </c>
      <c r="V21" s="254">
        <v>9</v>
      </c>
      <c r="W21" s="255">
        <f t="shared" si="0"/>
        <v>0.64</v>
      </c>
      <c r="X21" s="255">
        <f t="shared" si="2"/>
        <v>0.39416666666666672</v>
      </c>
      <c r="Y21" s="255">
        <f t="shared" si="3"/>
        <v>15.333333333333334</v>
      </c>
      <c r="Z21" s="255">
        <f t="shared" si="3"/>
        <v>4.88</v>
      </c>
      <c r="AA21" s="255">
        <f t="shared" si="3"/>
        <v>5.4</v>
      </c>
      <c r="AB21" s="255">
        <f t="shared" si="3"/>
        <v>1100</v>
      </c>
      <c r="AC21" s="255">
        <f t="shared" si="3"/>
        <v>0.1</v>
      </c>
      <c r="AD21" s="255">
        <f t="shared" si="4"/>
        <v>5.6338028169014134E-2</v>
      </c>
      <c r="AE21" s="258">
        <f t="shared" si="5"/>
        <v>0.64</v>
      </c>
      <c r="AF21" s="258">
        <f t="shared" si="1"/>
        <v>0.39416666666666672</v>
      </c>
      <c r="AG21" s="258">
        <f t="shared" si="1"/>
        <v>6.9281828848095586</v>
      </c>
      <c r="AH21" s="258">
        <f t="shared" si="1"/>
        <v>4.4420991100135527</v>
      </c>
      <c r="AI21" s="258">
        <f t="shared" si="1"/>
        <v>4.6619687991148426</v>
      </c>
      <c r="AJ21" s="258">
        <f t="shared" si="1"/>
        <v>16.206963425791123</v>
      </c>
      <c r="AK21" s="258">
        <f t="shared" si="1"/>
        <v>0.1</v>
      </c>
      <c r="AL21" s="258">
        <f t="shared" si="1"/>
        <v>5.6338028169014134E-2</v>
      </c>
      <c r="AM21" s="273">
        <f t="shared" si="6"/>
        <v>4.1787148643205949</v>
      </c>
      <c r="AN21" s="274">
        <f t="shared" si="7"/>
        <v>16.206963425791123</v>
      </c>
      <c r="AO21" s="275">
        <f t="shared" si="8"/>
        <v>17.461657917293888</v>
      </c>
      <c r="AP21" s="275">
        <f t="shared" si="8"/>
        <v>262.66566348493114</v>
      </c>
      <c r="AQ21" s="276">
        <f t="shared" si="9"/>
        <v>11.83484941607254</v>
      </c>
      <c r="AR21" s="280" t="str">
        <f t="shared" si="10"/>
        <v>berat</v>
      </c>
      <c r="AT21" s="281"/>
      <c r="AU21" s="239">
        <v>1</v>
      </c>
    </row>
    <row r="22" spans="1:49" x14ac:dyDescent="0.2">
      <c r="A22" s="267">
        <v>10</v>
      </c>
      <c r="B22" s="278" t="s">
        <v>33</v>
      </c>
      <c r="C22" s="279" t="s">
        <v>105</v>
      </c>
      <c r="D22" s="270">
        <v>43559</v>
      </c>
      <c r="E22" s="271">
        <v>82</v>
      </c>
      <c r="F22" s="271">
        <v>4.87</v>
      </c>
      <c r="G22" s="271">
        <v>19</v>
      </c>
      <c r="H22" s="271">
        <v>39</v>
      </c>
      <c r="I22" s="271">
        <v>0.51</v>
      </c>
      <c r="J22" s="272">
        <v>1100000</v>
      </c>
      <c r="K22" s="272">
        <v>8.8000000000000007</v>
      </c>
      <c r="L22" s="272">
        <v>7.56</v>
      </c>
      <c r="M22" s="254">
        <v>50</v>
      </c>
      <c r="N22" s="254">
        <v>4</v>
      </c>
      <c r="O22" s="254">
        <v>3</v>
      </c>
      <c r="P22" s="254">
        <v>25</v>
      </c>
      <c r="Q22" s="254">
        <v>0.2</v>
      </c>
      <c r="R22" s="254">
        <v>1000</v>
      </c>
      <c r="S22" s="254">
        <v>10</v>
      </c>
      <c r="T22" s="254">
        <v>6</v>
      </c>
      <c r="U22" s="254" t="s">
        <v>201</v>
      </c>
      <c r="V22" s="254">
        <v>9</v>
      </c>
      <c r="W22" s="255">
        <f t="shared" si="0"/>
        <v>1.64</v>
      </c>
      <c r="X22" s="255">
        <f t="shared" si="2"/>
        <v>0.17749999999999999</v>
      </c>
      <c r="Y22" s="255">
        <f t="shared" si="3"/>
        <v>6.333333333333333</v>
      </c>
      <c r="Z22" s="255">
        <f t="shared" si="3"/>
        <v>1.56</v>
      </c>
      <c r="AA22" s="255">
        <f t="shared" si="3"/>
        <v>2.5499999999999998</v>
      </c>
      <c r="AB22" s="255">
        <f t="shared" si="3"/>
        <v>1100</v>
      </c>
      <c r="AC22" s="255">
        <f t="shared" si="3"/>
        <v>0.88000000000000012</v>
      </c>
      <c r="AD22" s="255">
        <f t="shared" si="4"/>
        <v>4.1666666666666387E-2</v>
      </c>
      <c r="AE22" s="258">
        <f t="shared" si="5"/>
        <v>2.0742192402384894</v>
      </c>
      <c r="AF22" s="258">
        <f t="shared" si="1"/>
        <v>0.17749999999999999</v>
      </c>
      <c r="AG22" s="258">
        <f t="shared" si="1"/>
        <v>5.0081617311658322</v>
      </c>
      <c r="AH22" s="258">
        <f t="shared" si="1"/>
        <v>1.965622991772308</v>
      </c>
      <c r="AI22" s="258">
        <f t="shared" si="1"/>
        <v>3.0327009021697755</v>
      </c>
      <c r="AJ22" s="258">
        <f t="shared" si="1"/>
        <v>16.206963425791123</v>
      </c>
      <c r="AK22" s="258">
        <f t="shared" si="1"/>
        <v>0.88000000000000012</v>
      </c>
      <c r="AL22" s="258">
        <f t="shared" si="1"/>
        <v>4.1666666666666387E-2</v>
      </c>
      <c r="AM22" s="273">
        <f t="shared" si="6"/>
        <v>3.6733543697255246</v>
      </c>
      <c r="AN22" s="274">
        <f t="shared" si="7"/>
        <v>16.206963425791123</v>
      </c>
      <c r="AO22" s="275">
        <f t="shared" si="8"/>
        <v>13.493532325581606</v>
      </c>
      <c r="AP22" s="275">
        <f t="shared" si="8"/>
        <v>262.66566348493114</v>
      </c>
      <c r="AQ22" s="276">
        <f t="shared" si="9"/>
        <v>11.750727547911932</v>
      </c>
      <c r="AR22" s="280" t="str">
        <f t="shared" si="10"/>
        <v>berat</v>
      </c>
      <c r="AT22" s="281"/>
      <c r="AU22" s="239">
        <v>1</v>
      </c>
    </row>
    <row r="23" spans="1:49" x14ac:dyDescent="0.2">
      <c r="A23" s="267">
        <v>11</v>
      </c>
      <c r="B23" s="278" t="s">
        <v>34</v>
      </c>
      <c r="C23" s="279" t="s">
        <v>106</v>
      </c>
      <c r="D23" s="270">
        <v>43559</v>
      </c>
      <c r="E23" s="271">
        <v>20</v>
      </c>
      <c r="F23" s="271">
        <v>2.67</v>
      </c>
      <c r="G23" s="271">
        <v>57</v>
      </c>
      <c r="H23" s="271">
        <v>104</v>
      </c>
      <c r="I23" s="271">
        <v>0.39</v>
      </c>
      <c r="J23" s="272">
        <v>1100000</v>
      </c>
      <c r="K23" s="272">
        <v>0.2</v>
      </c>
      <c r="L23" s="272">
        <v>8.01</v>
      </c>
      <c r="M23" s="254">
        <v>50</v>
      </c>
      <c r="N23" s="254">
        <v>4</v>
      </c>
      <c r="O23" s="254">
        <v>3</v>
      </c>
      <c r="P23" s="254">
        <v>25</v>
      </c>
      <c r="Q23" s="254">
        <v>0.2</v>
      </c>
      <c r="R23" s="254">
        <v>1000</v>
      </c>
      <c r="S23" s="254">
        <v>10</v>
      </c>
      <c r="T23" s="254">
        <v>6</v>
      </c>
      <c r="U23" s="254" t="s">
        <v>201</v>
      </c>
      <c r="V23" s="254">
        <v>9</v>
      </c>
      <c r="W23" s="255">
        <f t="shared" si="0"/>
        <v>0.4</v>
      </c>
      <c r="X23" s="255">
        <f t="shared" si="2"/>
        <v>0.36083333333333334</v>
      </c>
      <c r="Y23" s="255">
        <f t="shared" si="3"/>
        <v>19</v>
      </c>
      <c r="Z23" s="255">
        <f t="shared" si="3"/>
        <v>4.16</v>
      </c>
      <c r="AA23" s="255">
        <f t="shared" si="3"/>
        <v>1.95</v>
      </c>
      <c r="AB23" s="255">
        <f t="shared" si="3"/>
        <v>1100</v>
      </c>
      <c r="AC23" s="255">
        <f t="shared" si="3"/>
        <v>0.02</v>
      </c>
      <c r="AD23" s="255">
        <f t="shared" si="4"/>
        <v>0.5151515151515148</v>
      </c>
      <c r="AE23" s="258">
        <f t="shared" si="5"/>
        <v>0.4</v>
      </c>
      <c r="AF23" s="258">
        <f t="shared" si="1"/>
        <v>0.36083333333333334</v>
      </c>
      <c r="AG23" s="258">
        <f t="shared" si="1"/>
        <v>7.3937680047641443</v>
      </c>
      <c r="AH23" s="258">
        <f t="shared" si="1"/>
        <v>4.0954666531337143</v>
      </c>
      <c r="AI23" s="258">
        <f t="shared" si="1"/>
        <v>2.4501730568125901</v>
      </c>
      <c r="AJ23" s="258">
        <f t="shared" si="1"/>
        <v>16.206963425791123</v>
      </c>
      <c r="AK23" s="258">
        <f t="shared" si="1"/>
        <v>0.02</v>
      </c>
      <c r="AL23" s="258">
        <f t="shared" si="1"/>
        <v>0.5151515151515148</v>
      </c>
      <c r="AM23" s="273">
        <f t="shared" si="6"/>
        <v>3.9302944986233026</v>
      </c>
      <c r="AN23" s="274">
        <f t="shared" si="7"/>
        <v>16.206963425791123</v>
      </c>
      <c r="AO23" s="275">
        <f t="shared" si="8"/>
        <v>15.447214845908597</v>
      </c>
      <c r="AP23" s="275">
        <f t="shared" si="8"/>
        <v>262.66566348493114</v>
      </c>
      <c r="AQ23" s="276">
        <f t="shared" si="9"/>
        <v>11.792219433398442</v>
      </c>
      <c r="AR23" s="280" t="str">
        <f t="shared" si="10"/>
        <v>berat</v>
      </c>
      <c r="AT23" s="281"/>
      <c r="AU23" s="239">
        <v>1</v>
      </c>
    </row>
    <row r="24" spans="1:49" x14ac:dyDescent="0.2">
      <c r="A24" s="267">
        <v>12</v>
      </c>
      <c r="B24" s="278" t="s">
        <v>54</v>
      </c>
      <c r="C24" s="279" t="s">
        <v>107</v>
      </c>
      <c r="D24" s="270">
        <v>43557</v>
      </c>
      <c r="E24" s="271">
        <v>35</v>
      </c>
      <c r="F24" s="271">
        <v>1</v>
      </c>
      <c r="G24" s="271">
        <v>129</v>
      </c>
      <c r="H24" s="271">
        <v>228</v>
      </c>
      <c r="I24" s="271">
        <v>3.65</v>
      </c>
      <c r="J24" s="272">
        <v>1100000</v>
      </c>
      <c r="K24" s="272">
        <v>8.1999999999999993</v>
      </c>
      <c r="L24" s="272">
        <v>7.76</v>
      </c>
      <c r="M24" s="254">
        <v>50</v>
      </c>
      <c r="N24" s="254">
        <v>4</v>
      </c>
      <c r="O24" s="254">
        <v>3</v>
      </c>
      <c r="P24" s="254">
        <v>25</v>
      </c>
      <c r="Q24" s="254">
        <v>0.2</v>
      </c>
      <c r="R24" s="254">
        <v>1000</v>
      </c>
      <c r="S24" s="254">
        <v>10</v>
      </c>
      <c r="T24" s="254">
        <v>6</v>
      </c>
      <c r="U24" s="254" t="s">
        <v>201</v>
      </c>
      <c r="V24" s="254">
        <v>9</v>
      </c>
      <c r="W24" s="255">
        <f t="shared" si="0"/>
        <v>0.7</v>
      </c>
      <c r="X24" s="255">
        <f t="shared" si="2"/>
        <v>0.5</v>
      </c>
      <c r="Y24" s="255">
        <f t="shared" si="3"/>
        <v>43</v>
      </c>
      <c r="Z24" s="255">
        <f t="shared" si="3"/>
        <v>9.1199999999999992</v>
      </c>
      <c r="AA24" s="255">
        <f t="shared" si="3"/>
        <v>18.25</v>
      </c>
      <c r="AB24" s="255">
        <f t="shared" si="3"/>
        <v>1100</v>
      </c>
      <c r="AC24" s="255">
        <f t="shared" si="3"/>
        <v>0.82</v>
      </c>
      <c r="AD24" s="255">
        <f t="shared" si="4"/>
        <v>0.2096774193548385</v>
      </c>
      <c r="AE24" s="258">
        <f t="shared" si="5"/>
        <v>0.7</v>
      </c>
      <c r="AF24" s="258">
        <f t="shared" si="1"/>
        <v>0.5</v>
      </c>
      <c r="AG24" s="258">
        <f t="shared" si="1"/>
        <v>9.1673422778979319</v>
      </c>
      <c r="AH24" s="258">
        <f t="shared" si="1"/>
        <v>5.7999741916420806</v>
      </c>
      <c r="AI24" s="258">
        <f t="shared" si="1"/>
        <v>7.3063143439624678</v>
      </c>
      <c r="AJ24" s="258">
        <f t="shared" si="1"/>
        <v>16.206963425791123</v>
      </c>
      <c r="AK24" s="258">
        <f t="shared" si="1"/>
        <v>0.82</v>
      </c>
      <c r="AL24" s="258">
        <f t="shared" si="1"/>
        <v>0.2096774193548385</v>
      </c>
      <c r="AM24" s="273">
        <f t="shared" si="6"/>
        <v>5.0887839573310556</v>
      </c>
      <c r="AN24" s="274">
        <f t="shared" si="7"/>
        <v>16.206963425791123</v>
      </c>
      <c r="AO24" s="275">
        <f t="shared" si="8"/>
        <v>25.89572216438992</v>
      </c>
      <c r="AP24" s="275">
        <f t="shared" si="8"/>
        <v>262.66566348493114</v>
      </c>
      <c r="AQ24" s="276">
        <f t="shared" si="9"/>
        <v>12.011689840512055</v>
      </c>
      <c r="AR24" s="280" t="str">
        <f t="shared" si="10"/>
        <v>berat</v>
      </c>
      <c r="AT24" s="281"/>
      <c r="AU24" s="239">
        <v>1</v>
      </c>
    </row>
    <row r="25" spans="1:49" x14ac:dyDescent="0.2">
      <c r="A25" s="267">
        <v>13</v>
      </c>
      <c r="B25" s="278" t="s">
        <v>27</v>
      </c>
      <c r="C25" s="279" t="s">
        <v>108</v>
      </c>
      <c r="D25" s="270">
        <v>43556</v>
      </c>
      <c r="E25" s="271">
        <v>15</v>
      </c>
      <c r="F25" s="271">
        <v>5.74</v>
      </c>
      <c r="G25" s="271">
        <v>7</v>
      </c>
      <c r="H25" s="271">
        <v>26</v>
      </c>
      <c r="I25" s="271">
        <v>0.48</v>
      </c>
      <c r="J25" s="272">
        <v>460000</v>
      </c>
      <c r="K25" s="272">
        <v>6.3</v>
      </c>
      <c r="L25" s="272">
        <v>7.32</v>
      </c>
      <c r="M25" s="254">
        <v>50</v>
      </c>
      <c r="N25" s="254">
        <v>4</v>
      </c>
      <c r="O25" s="254">
        <v>3</v>
      </c>
      <c r="P25" s="254">
        <v>25</v>
      </c>
      <c r="Q25" s="254">
        <v>0.2</v>
      </c>
      <c r="R25" s="254">
        <v>1000</v>
      </c>
      <c r="S25" s="254">
        <v>10</v>
      </c>
      <c r="T25" s="254">
        <v>6</v>
      </c>
      <c r="U25" s="254" t="s">
        <v>201</v>
      </c>
      <c r="V25" s="254">
        <v>9</v>
      </c>
      <c r="W25" s="255">
        <f t="shared" si="0"/>
        <v>0.3</v>
      </c>
      <c r="X25" s="255">
        <f t="shared" si="2"/>
        <v>0.10499999999999998</v>
      </c>
      <c r="Y25" s="255">
        <f t="shared" si="3"/>
        <v>2.3333333333333335</v>
      </c>
      <c r="Z25" s="255">
        <f t="shared" si="3"/>
        <v>1.04</v>
      </c>
      <c r="AA25" s="255">
        <f t="shared" si="3"/>
        <v>2.4</v>
      </c>
      <c r="AB25" s="255">
        <f t="shared" si="3"/>
        <v>460</v>
      </c>
      <c r="AC25" s="255">
        <f t="shared" si="3"/>
        <v>0.63</v>
      </c>
      <c r="AD25" s="255">
        <f t="shared" si="4"/>
        <v>0.13636363636363613</v>
      </c>
      <c r="AE25" s="258">
        <f t="shared" si="5"/>
        <v>0.3</v>
      </c>
      <c r="AF25" s="258">
        <f t="shared" si="1"/>
        <v>0.10499999999999998</v>
      </c>
      <c r="AG25" s="258">
        <f t="shared" si="1"/>
        <v>2.8398839264729721</v>
      </c>
      <c r="AH25" s="258">
        <f t="shared" si="1"/>
        <v>1.0851666964939017</v>
      </c>
      <c r="AI25" s="258">
        <f t="shared" si="1"/>
        <v>2.90105620855803</v>
      </c>
      <c r="AJ25" s="258">
        <f t="shared" si="1"/>
        <v>14.31378915840787</v>
      </c>
      <c r="AK25" s="258">
        <f t="shared" si="1"/>
        <v>0.63</v>
      </c>
      <c r="AL25" s="258">
        <f t="shared" si="1"/>
        <v>0.13636363636363613</v>
      </c>
      <c r="AM25" s="273">
        <f t="shared" si="6"/>
        <v>2.788907453287051</v>
      </c>
      <c r="AN25" s="274">
        <f t="shared" si="7"/>
        <v>14.31378915840787</v>
      </c>
      <c r="AO25" s="275">
        <f t="shared" si="8"/>
        <v>7.7780047830000649</v>
      </c>
      <c r="AP25" s="275">
        <f t="shared" si="8"/>
        <v>204.88456007135468</v>
      </c>
      <c r="AQ25" s="276">
        <f t="shared" si="9"/>
        <v>10.31170608712144</v>
      </c>
      <c r="AR25" s="280" t="str">
        <f t="shared" si="10"/>
        <v>berat</v>
      </c>
      <c r="AT25" s="281"/>
      <c r="AU25" s="239">
        <v>1</v>
      </c>
    </row>
    <row r="26" spans="1:49" x14ac:dyDescent="0.2">
      <c r="A26" s="267">
        <v>14</v>
      </c>
      <c r="B26" s="278" t="s">
        <v>28</v>
      </c>
      <c r="C26" s="279" t="s">
        <v>109</v>
      </c>
      <c r="D26" s="270">
        <v>43557</v>
      </c>
      <c r="E26" s="271">
        <v>72</v>
      </c>
      <c r="F26" s="271">
        <v>3.31</v>
      </c>
      <c r="G26" s="271">
        <v>50</v>
      </c>
      <c r="H26" s="271">
        <v>84</v>
      </c>
      <c r="I26" s="271">
        <v>0.44</v>
      </c>
      <c r="J26" s="272">
        <v>240000</v>
      </c>
      <c r="K26" s="272">
        <v>6.1</v>
      </c>
      <c r="L26" s="272">
        <v>7.2</v>
      </c>
      <c r="M26" s="254">
        <v>50</v>
      </c>
      <c r="N26" s="254">
        <v>4</v>
      </c>
      <c r="O26" s="254">
        <v>3</v>
      </c>
      <c r="P26" s="254">
        <v>25</v>
      </c>
      <c r="Q26" s="254">
        <v>0.2</v>
      </c>
      <c r="R26" s="254">
        <v>1000</v>
      </c>
      <c r="S26" s="254">
        <v>10</v>
      </c>
      <c r="T26" s="254">
        <v>6</v>
      </c>
      <c r="U26" s="254" t="s">
        <v>201</v>
      </c>
      <c r="V26" s="254">
        <v>9</v>
      </c>
      <c r="W26" s="255">
        <f t="shared" si="0"/>
        <v>1.44</v>
      </c>
      <c r="X26" s="255">
        <f t="shared" si="2"/>
        <v>0.3075</v>
      </c>
      <c r="Y26" s="255">
        <f t="shared" si="3"/>
        <v>16.666666666666668</v>
      </c>
      <c r="Z26" s="255">
        <f t="shared" si="3"/>
        <v>3.36</v>
      </c>
      <c r="AA26" s="255">
        <f t="shared" si="3"/>
        <v>2.1999999999999997</v>
      </c>
      <c r="AB26" s="255">
        <f t="shared" si="3"/>
        <v>240</v>
      </c>
      <c r="AC26" s="255">
        <f t="shared" si="3"/>
        <v>0.61</v>
      </c>
      <c r="AD26" s="255">
        <f t="shared" si="4"/>
        <v>0.24999999999999981</v>
      </c>
      <c r="AE26" s="258">
        <f t="shared" si="5"/>
        <v>1.7918124604762482</v>
      </c>
      <c r="AF26" s="258">
        <f t="shared" si="1"/>
        <v>0.3075</v>
      </c>
      <c r="AG26" s="258">
        <f t="shared" si="1"/>
        <v>7.1092437480817816</v>
      </c>
      <c r="AH26" s="258">
        <f t="shared" si="1"/>
        <v>3.63169638694922</v>
      </c>
      <c r="AI26" s="258">
        <f t="shared" si="1"/>
        <v>2.7121134041110309</v>
      </c>
      <c r="AJ26" s="258">
        <f t="shared" si="1"/>
        <v>12.90105620855803</v>
      </c>
      <c r="AK26" s="258">
        <f t="shared" si="1"/>
        <v>0.61</v>
      </c>
      <c r="AL26" s="258">
        <f t="shared" si="1"/>
        <v>0.24999999999999981</v>
      </c>
      <c r="AM26" s="273">
        <f t="shared" si="6"/>
        <v>3.6641777760220386</v>
      </c>
      <c r="AN26" s="274">
        <f t="shared" si="7"/>
        <v>12.90105620855803</v>
      </c>
      <c r="AO26" s="275">
        <f t="shared" si="8"/>
        <v>13.426198774293812</v>
      </c>
      <c r="AP26" s="275">
        <f t="shared" si="8"/>
        <v>166.43725129637369</v>
      </c>
      <c r="AQ26" s="276">
        <f t="shared" si="9"/>
        <v>9.4832338912068259</v>
      </c>
      <c r="AR26" s="282" t="str">
        <f t="shared" si="10"/>
        <v>sedang</v>
      </c>
      <c r="AT26" s="281"/>
      <c r="AV26" s="240">
        <v>1</v>
      </c>
    </row>
    <row r="27" spans="1:49" x14ac:dyDescent="0.2">
      <c r="A27" s="267">
        <v>15</v>
      </c>
      <c r="B27" s="278" t="s">
        <v>29</v>
      </c>
      <c r="C27" s="279" t="s">
        <v>110</v>
      </c>
      <c r="D27" s="270">
        <v>43557</v>
      </c>
      <c r="E27" s="271">
        <v>38</v>
      </c>
      <c r="F27" s="271">
        <v>3.3</v>
      </c>
      <c r="G27" s="271">
        <v>24</v>
      </c>
      <c r="H27" s="271">
        <v>50</v>
      </c>
      <c r="I27" s="271">
        <v>0.82</v>
      </c>
      <c r="J27" s="272">
        <v>460000</v>
      </c>
      <c r="K27" s="272">
        <v>5.3</v>
      </c>
      <c r="L27" s="272">
        <v>7.44</v>
      </c>
      <c r="M27" s="254">
        <v>50</v>
      </c>
      <c r="N27" s="254">
        <v>4</v>
      </c>
      <c r="O27" s="254">
        <v>3</v>
      </c>
      <c r="P27" s="254">
        <v>25</v>
      </c>
      <c r="Q27" s="254">
        <v>0.2</v>
      </c>
      <c r="R27" s="254">
        <v>1000</v>
      </c>
      <c r="S27" s="254">
        <v>10</v>
      </c>
      <c r="T27" s="254">
        <v>6</v>
      </c>
      <c r="U27" s="254" t="s">
        <v>201</v>
      </c>
      <c r="V27" s="254">
        <v>9</v>
      </c>
      <c r="W27" s="255">
        <f t="shared" si="0"/>
        <v>0.76</v>
      </c>
      <c r="X27" s="255">
        <f t="shared" si="2"/>
        <v>0.30833333333333335</v>
      </c>
      <c r="Y27" s="255">
        <f t="shared" si="3"/>
        <v>8</v>
      </c>
      <c r="Z27" s="255">
        <f t="shared" si="3"/>
        <v>2</v>
      </c>
      <c r="AA27" s="255">
        <f t="shared" si="3"/>
        <v>4.0999999999999996</v>
      </c>
      <c r="AB27" s="255">
        <f t="shared" si="3"/>
        <v>460</v>
      </c>
      <c r="AC27" s="255">
        <f t="shared" si="3"/>
        <v>0.53</v>
      </c>
      <c r="AD27" s="255">
        <f t="shared" si="4"/>
        <v>4.1666666666666387E-2</v>
      </c>
      <c r="AE27" s="258">
        <f t="shared" si="5"/>
        <v>0.76</v>
      </c>
      <c r="AF27" s="258">
        <f t="shared" si="1"/>
        <v>0.30833333333333335</v>
      </c>
      <c r="AG27" s="258">
        <f t="shared" si="1"/>
        <v>5.5154499349597179</v>
      </c>
      <c r="AH27" s="258">
        <f t="shared" si="1"/>
        <v>2.5051499783199063</v>
      </c>
      <c r="AI27" s="258">
        <f t="shared" si="1"/>
        <v>4.0639192835986773</v>
      </c>
      <c r="AJ27" s="258">
        <f t="shared" si="1"/>
        <v>14.31378915840787</v>
      </c>
      <c r="AK27" s="258">
        <f t="shared" si="1"/>
        <v>0.53</v>
      </c>
      <c r="AL27" s="258">
        <f t="shared" si="1"/>
        <v>4.1666666666666387E-2</v>
      </c>
      <c r="AM27" s="273">
        <f t="shared" si="6"/>
        <v>3.5047885444107716</v>
      </c>
      <c r="AN27" s="274">
        <f t="shared" si="7"/>
        <v>14.31378915840787</v>
      </c>
      <c r="AO27" s="275">
        <f t="shared" si="8"/>
        <v>12.283542741032974</v>
      </c>
      <c r="AP27" s="275">
        <f t="shared" si="8"/>
        <v>204.88456007135468</v>
      </c>
      <c r="AQ27" s="276">
        <f t="shared" si="9"/>
        <v>10.42036714354124</v>
      </c>
      <c r="AR27" s="280" t="str">
        <f t="shared" si="10"/>
        <v>berat</v>
      </c>
      <c r="AT27" s="281"/>
      <c r="AU27" s="239">
        <v>1</v>
      </c>
    </row>
    <row r="28" spans="1:49" x14ac:dyDescent="0.2">
      <c r="A28" s="311" t="s">
        <v>184</v>
      </c>
      <c r="B28" s="278"/>
      <c r="C28" s="279"/>
      <c r="D28" s="270"/>
      <c r="E28" s="271"/>
      <c r="F28" s="271"/>
      <c r="G28" s="271"/>
      <c r="H28" s="271"/>
      <c r="I28" s="271"/>
      <c r="J28" s="272"/>
      <c r="K28" s="272"/>
      <c r="L28" s="272"/>
      <c r="M28" s="254"/>
      <c r="N28" s="254"/>
      <c r="O28" s="254"/>
      <c r="P28" s="254"/>
      <c r="Q28" s="254"/>
      <c r="R28" s="254"/>
      <c r="S28" s="254"/>
      <c r="T28" s="254"/>
      <c r="U28" s="254"/>
      <c r="V28" s="254"/>
      <c r="W28" s="255"/>
      <c r="X28" s="255"/>
      <c r="Y28" s="255"/>
      <c r="Z28" s="255"/>
      <c r="AA28" s="255"/>
      <c r="AB28" s="255"/>
      <c r="AC28" s="255"/>
      <c r="AD28" s="255"/>
      <c r="AE28" s="258"/>
      <c r="AF28" s="258"/>
      <c r="AG28" s="258"/>
      <c r="AH28" s="258"/>
      <c r="AI28" s="258"/>
      <c r="AJ28" s="258"/>
      <c r="AK28" s="258"/>
      <c r="AL28" s="258"/>
      <c r="AM28" s="273"/>
      <c r="AN28" s="274"/>
      <c r="AO28" s="275"/>
      <c r="AP28" s="275"/>
      <c r="AQ28" s="276"/>
      <c r="AR28" s="277"/>
    </row>
    <row r="29" spans="1:49" x14ac:dyDescent="0.2">
      <c r="A29" s="267">
        <v>16</v>
      </c>
      <c r="B29" s="278" t="s">
        <v>21</v>
      </c>
      <c r="C29" s="279" t="s">
        <v>94</v>
      </c>
      <c r="D29" s="270">
        <v>43656</v>
      </c>
      <c r="E29" s="271">
        <v>76</v>
      </c>
      <c r="F29" s="271">
        <v>7.36</v>
      </c>
      <c r="G29" s="271">
        <v>5</v>
      </c>
      <c r="H29" s="271">
        <v>16</v>
      </c>
      <c r="I29" s="271">
        <v>0.16</v>
      </c>
      <c r="J29" s="272">
        <v>310</v>
      </c>
      <c r="K29" s="272">
        <v>2</v>
      </c>
      <c r="L29" s="272">
        <v>7.99</v>
      </c>
      <c r="M29" s="254">
        <v>50</v>
      </c>
      <c r="N29" s="254">
        <v>4</v>
      </c>
      <c r="O29" s="254">
        <v>3</v>
      </c>
      <c r="P29" s="254">
        <v>25</v>
      </c>
      <c r="Q29" s="254">
        <v>0.2</v>
      </c>
      <c r="R29" s="254">
        <v>1000</v>
      </c>
      <c r="S29" s="254">
        <v>10</v>
      </c>
      <c r="T29" s="254">
        <v>6</v>
      </c>
      <c r="U29" s="254" t="s">
        <v>201</v>
      </c>
      <c r="V29" s="254">
        <v>9</v>
      </c>
      <c r="W29" s="255">
        <f t="shared" ref="W29:W43" si="11">E29/M29</f>
        <v>1.52</v>
      </c>
      <c r="X29" s="255">
        <f>((7-F29)/(7-N29))/N29</f>
        <v>-3.0000000000000027E-2</v>
      </c>
      <c r="Y29" s="255">
        <f t="shared" ref="Y29:AC43" si="12">G29/O29</f>
        <v>1.6666666666666667</v>
      </c>
      <c r="Z29" s="255">
        <f t="shared" si="12"/>
        <v>0.64</v>
      </c>
      <c r="AA29" s="255">
        <f t="shared" si="12"/>
        <v>0.79999999999999993</v>
      </c>
      <c r="AB29" s="255">
        <f t="shared" si="12"/>
        <v>0.31</v>
      </c>
      <c r="AC29" s="255">
        <f t="shared" si="3"/>
        <v>0.2</v>
      </c>
      <c r="AD29" s="255">
        <f t="shared" ref="AD29:AD59" si="13">(L29-(AVERAGE(T29,V29)))/((IF(L29&lt;7.5,T29,V29)-L29))</f>
        <v>0.48514851485148547</v>
      </c>
      <c r="AE29" s="258">
        <f t="shared" ref="AE29:AL59" si="14">IF(W29&lt;1,W29,(1+(5*(LOG10(W29)))))</f>
        <v>1.9092179397238627</v>
      </c>
      <c r="AF29" s="258">
        <f t="shared" si="14"/>
        <v>-3.0000000000000027E-2</v>
      </c>
      <c r="AG29" s="258">
        <f t="shared" si="14"/>
        <v>2.1092437480817821</v>
      </c>
      <c r="AH29" s="258">
        <f t="shared" si="14"/>
        <v>0.64</v>
      </c>
      <c r="AI29" s="258">
        <f t="shared" si="14"/>
        <v>0.79999999999999993</v>
      </c>
      <c r="AJ29" s="258">
        <f t="shared" si="14"/>
        <v>0.31</v>
      </c>
      <c r="AK29" s="258">
        <f t="shared" si="14"/>
        <v>0.2</v>
      </c>
      <c r="AL29" s="258">
        <f t="shared" si="14"/>
        <v>0.48514851485148547</v>
      </c>
      <c r="AM29" s="273">
        <f t="shared" si="6"/>
        <v>0.80295127533214117</v>
      </c>
      <c r="AN29" s="274">
        <f t="shared" si="7"/>
        <v>2.1092437480817821</v>
      </c>
      <c r="AO29" s="275">
        <f t="shared" si="8"/>
        <v>0.64473075055751194</v>
      </c>
      <c r="AP29" s="275">
        <f t="shared" si="8"/>
        <v>4.4489091888220837</v>
      </c>
      <c r="AQ29" s="276">
        <f t="shared" si="9"/>
        <v>1.5958759255311166</v>
      </c>
      <c r="AR29" s="283" t="str">
        <f t="shared" si="10"/>
        <v>ringan</v>
      </c>
      <c r="AW29" s="241">
        <v>1</v>
      </c>
    </row>
    <row r="30" spans="1:49" x14ac:dyDescent="0.2">
      <c r="A30" s="267">
        <v>17</v>
      </c>
      <c r="B30" s="278" t="s">
        <v>61</v>
      </c>
      <c r="C30" s="279" t="s">
        <v>112</v>
      </c>
      <c r="D30" s="270">
        <v>43656</v>
      </c>
      <c r="E30" s="271">
        <v>317</v>
      </c>
      <c r="F30" s="271">
        <v>1.34</v>
      </c>
      <c r="G30" s="271">
        <v>25</v>
      </c>
      <c r="H30" s="271">
        <v>129</v>
      </c>
      <c r="I30" s="271">
        <v>0.2</v>
      </c>
      <c r="J30" s="272">
        <v>1480000</v>
      </c>
      <c r="K30" s="272">
        <v>1.6</v>
      </c>
      <c r="L30" s="272">
        <v>7.21</v>
      </c>
      <c r="M30" s="254">
        <v>50</v>
      </c>
      <c r="N30" s="254">
        <v>4</v>
      </c>
      <c r="O30" s="254">
        <v>3</v>
      </c>
      <c r="P30" s="254">
        <v>25</v>
      </c>
      <c r="Q30" s="254">
        <v>0.2</v>
      </c>
      <c r="R30" s="254">
        <v>1000</v>
      </c>
      <c r="S30" s="254">
        <v>10</v>
      </c>
      <c r="T30" s="254">
        <v>6</v>
      </c>
      <c r="U30" s="254" t="s">
        <v>201</v>
      </c>
      <c r="V30" s="254">
        <v>9</v>
      </c>
      <c r="W30" s="255">
        <f t="shared" si="11"/>
        <v>6.34</v>
      </c>
      <c r="X30" s="255">
        <f t="shared" ref="X30:X43" si="15">((7-F30)/(7-N30))/N30</f>
        <v>0.47166666666666668</v>
      </c>
      <c r="Y30" s="255">
        <f t="shared" si="12"/>
        <v>8.3333333333333339</v>
      </c>
      <c r="Z30" s="255">
        <f t="shared" si="12"/>
        <v>5.16</v>
      </c>
      <c r="AA30" s="255">
        <f t="shared" si="12"/>
        <v>1</v>
      </c>
      <c r="AB30" s="255">
        <f t="shared" si="12"/>
        <v>1480</v>
      </c>
      <c r="AC30" s="255">
        <f t="shared" si="12"/>
        <v>0.16</v>
      </c>
      <c r="AD30" s="255">
        <f t="shared" si="13"/>
        <v>0.23966942148760334</v>
      </c>
      <c r="AE30" s="258">
        <f t="shared" si="14"/>
        <v>5.0104462894086632</v>
      </c>
      <c r="AF30" s="258">
        <f t="shared" si="14"/>
        <v>0.47166666666666668</v>
      </c>
      <c r="AG30" s="258">
        <f t="shared" si="14"/>
        <v>5.6040937697618762</v>
      </c>
      <c r="AH30" s="258">
        <f t="shared" si="14"/>
        <v>4.5632485081360574</v>
      </c>
      <c r="AI30" s="258">
        <f t="shared" si="14"/>
        <v>1</v>
      </c>
      <c r="AJ30" s="258">
        <f t="shared" si="14"/>
        <v>16.851308576974787</v>
      </c>
      <c r="AK30" s="258">
        <f t="shared" si="14"/>
        <v>0.16</v>
      </c>
      <c r="AL30" s="258">
        <f t="shared" si="14"/>
        <v>0.23966942148760334</v>
      </c>
      <c r="AM30" s="273">
        <f t="shared" si="6"/>
        <v>4.2375541540544566</v>
      </c>
      <c r="AN30" s="274">
        <f t="shared" si="7"/>
        <v>16.851308576974787</v>
      </c>
      <c r="AO30" s="275">
        <f t="shared" si="8"/>
        <v>17.95686520854418</v>
      </c>
      <c r="AP30" s="275">
        <f t="shared" si="8"/>
        <v>283.96660075642404</v>
      </c>
      <c r="AQ30" s="276">
        <f t="shared" si="9"/>
        <v>12.286648565922446</v>
      </c>
      <c r="AR30" s="280" t="str">
        <f t="shared" si="10"/>
        <v>berat</v>
      </c>
      <c r="AU30" s="239">
        <v>1</v>
      </c>
    </row>
    <row r="31" spans="1:49" x14ac:dyDescent="0.2">
      <c r="A31" s="267">
        <v>18</v>
      </c>
      <c r="B31" s="278" t="s">
        <v>60</v>
      </c>
      <c r="C31" s="279" t="s">
        <v>97</v>
      </c>
      <c r="D31" s="270">
        <v>43655</v>
      </c>
      <c r="E31" s="271">
        <v>40</v>
      </c>
      <c r="F31" s="271">
        <v>1</v>
      </c>
      <c r="G31" s="271">
        <v>30</v>
      </c>
      <c r="H31" s="271">
        <v>105</v>
      </c>
      <c r="I31" s="271">
        <v>0.38</v>
      </c>
      <c r="J31" s="272">
        <v>9880000</v>
      </c>
      <c r="K31" s="272">
        <v>0.7</v>
      </c>
      <c r="L31" s="272">
        <v>7.72</v>
      </c>
      <c r="M31" s="254">
        <v>50</v>
      </c>
      <c r="N31" s="254">
        <v>4</v>
      </c>
      <c r="O31" s="254">
        <v>3</v>
      </c>
      <c r="P31" s="254">
        <v>25</v>
      </c>
      <c r="Q31" s="254">
        <v>0.2</v>
      </c>
      <c r="R31" s="254">
        <v>1000</v>
      </c>
      <c r="S31" s="254">
        <v>10</v>
      </c>
      <c r="T31" s="254">
        <v>6</v>
      </c>
      <c r="U31" s="254" t="s">
        <v>201</v>
      </c>
      <c r="V31" s="254">
        <v>9</v>
      </c>
      <c r="W31" s="255">
        <f t="shared" si="11"/>
        <v>0.8</v>
      </c>
      <c r="X31" s="255">
        <f t="shared" si="15"/>
        <v>0.5</v>
      </c>
      <c r="Y31" s="255">
        <f t="shared" si="12"/>
        <v>10</v>
      </c>
      <c r="Z31" s="255">
        <f t="shared" si="12"/>
        <v>4.2</v>
      </c>
      <c r="AA31" s="255">
        <f t="shared" si="12"/>
        <v>1.9</v>
      </c>
      <c r="AB31" s="255">
        <f t="shared" si="12"/>
        <v>9880</v>
      </c>
      <c r="AC31" s="255">
        <f t="shared" si="12"/>
        <v>6.9999999999999993E-2</v>
      </c>
      <c r="AD31" s="255">
        <f t="shared" si="13"/>
        <v>0.17187499999999978</v>
      </c>
      <c r="AE31" s="258">
        <f t="shared" si="14"/>
        <v>0.8</v>
      </c>
      <c r="AF31" s="258">
        <f t="shared" si="14"/>
        <v>0.5</v>
      </c>
      <c r="AG31" s="258">
        <f t="shared" si="14"/>
        <v>6</v>
      </c>
      <c r="AH31" s="258">
        <f t="shared" si="14"/>
        <v>4.1162464519895021</v>
      </c>
      <c r="AI31" s="258">
        <f t="shared" si="14"/>
        <v>2.3937680047641443</v>
      </c>
      <c r="AJ31" s="258">
        <f t="shared" si="14"/>
        <v>20.973784722938142</v>
      </c>
      <c r="AK31" s="258">
        <f t="shared" si="14"/>
        <v>6.9999999999999993E-2</v>
      </c>
      <c r="AL31" s="258">
        <f t="shared" si="14"/>
        <v>0.17187499999999978</v>
      </c>
      <c r="AM31" s="273">
        <f t="shared" si="6"/>
        <v>4.378209272461473</v>
      </c>
      <c r="AN31" s="274">
        <f t="shared" si="7"/>
        <v>20.973784722938142</v>
      </c>
      <c r="AO31" s="275">
        <f t="shared" si="8"/>
        <v>19.168716433467619</v>
      </c>
      <c r="AP31" s="275">
        <f t="shared" si="8"/>
        <v>439.89964560415336</v>
      </c>
      <c r="AQ31" s="276">
        <f t="shared" si="9"/>
        <v>15.150385507267151</v>
      </c>
      <c r="AR31" s="280" t="str">
        <f t="shared" si="10"/>
        <v>berat</v>
      </c>
      <c r="AU31" s="239">
        <v>1</v>
      </c>
    </row>
    <row r="32" spans="1:49" x14ac:dyDescent="0.2">
      <c r="A32" s="267">
        <v>19</v>
      </c>
      <c r="B32" s="278" t="s">
        <v>30</v>
      </c>
      <c r="C32" s="279" t="s">
        <v>99</v>
      </c>
      <c r="D32" s="270">
        <v>43656</v>
      </c>
      <c r="E32" s="271">
        <v>31</v>
      </c>
      <c r="F32" s="271">
        <v>2.17</v>
      </c>
      <c r="G32" s="271">
        <v>24</v>
      </c>
      <c r="H32" s="271">
        <v>90</v>
      </c>
      <c r="I32" s="271">
        <v>0.4</v>
      </c>
      <c r="J32" s="272">
        <v>6488000</v>
      </c>
      <c r="K32" s="272">
        <v>0.7</v>
      </c>
      <c r="L32" s="272">
        <v>7.34</v>
      </c>
      <c r="M32" s="254">
        <v>50</v>
      </c>
      <c r="N32" s="254">
        <v>4</v>
      </c>
      <c r="O32" s="254">
        <v>3</v>
      </c>
      <c r="P32" s="254">
        <v>25</v>
      </c>
      <c r="Q32" s="254">
        <v>0.2</v>
      </c>
      <c r="R32" s="254">
        <v>1000</v>
      </c>
      <c r="S32" s="254">
        <v>10</v>
      </c>
      <c r="T32" s="254">
        <v>6</v>
      </c>
      <c r="U32" s="254" t="s">
        <v>201</v>
      </c>
      <c r="V32" s="254">
        <v>9</v>
      </c>
      <c r="W32" s="255">
        <f t="shared" si="11"/>
        <v>0.62</v>
      </c>
      <c r="X32" s="255">
        <f t="shared" si="15"/>
        <v>0.40250000000000002</v>
      </c>
      <c r="Y32" s="255">
        <f>G32/O32</f>
        <v>8</v>
      </c>
      <c r="Z32" s="255">
        <f>H32/P32</f>
        <v>3.6</v>
      </c>
      <c r="AA32" s="255">
        <f>I32/Q32</f>
        <v>2</v>
      </c>
      <c r="AB32" s="255">
        <f>J32/R32</f>
        <v>6488</v>
      </c>
      <c r="AC32" s="255">
        <f t="shared" si="12"/>
        <v>6.9999999999999993E-2</v>
      </c>
      <c r="AD32" s="255">
        <f t="shared" si="13"/>
        <v>0.11940298507462699</v>
      </c>
      <c r="AE32" s="258">
        <f t="shared" si="14"/>
        <v>0.62</v>
      </c>
      <c r="AF32" s="258">
        <f t="shared" si="14"/>
        <v>0.40250000000000002</v>
      </c>
      <c r="AG32" s="258">
        <f t="shared" si="14"/>
        <v>5.5154499349597179</v>
      </c>
      <c r="AH32" s="258">
        <f t="shared" si="14"/>
        <v>3.7815125038364363</v>
      </c>
      <c r="AI32" s="258">
        <f t="shared" si="14"/>
        <v>2.5051499783199063</v>
      </c>
      <c r="AJ32" s="258">
        <f t="shared" si="14"/>
        <v>20.0605542060155</v>
      </c>
      <c r="AK32" s="258">
        <f t="shared" si="14"/>
        <v>6.9999999999999993E-2</v>
      </c>
      <c r="AL32" s="258">
        <f t="shared" si="14"/>
        <v>0.11940298507462699</v>
      </c>
      <c r="AM32" s="273">
        <f t="shared" si="6"/>
        <v>4.1343212010257737</v>
      </c>
      <c r="AN32" s="274">
        <f t="shared" si="7"/>
        <v>20.0605542060155</v>
      </c>
      <c r="AO32" s="275">
        <f t="shared" si="8"/>
        <v>17.092611793251194</v>
      </c>
      <c r="AP32" s="275">
        <f t="shared" si="8"/>
        <v>402.42583505248615</v>
      </c>
      <c r="AQ32" s="276">
        <f t="shared" si="9"/>
        <v>14.483066782379645</v>
      </c>
      <c r="AR32" s="280" t="str">
        <f t="shared" si="10"/>
        <v>berat</v>
      </c>
      <c r="AU32" s="239">
        <v>1</v>
      </c>
    </row>
    <row r="33" spans="1:48" x14ac:dyDescent="0.2">
      <c r="A33" s="267">
        <v>20</v>
      </c>
      <c r="B33" s="278" t="s">
        <v>31</v>
      </c>
      <c r="C33" s="279" t="s">
        <v>100</v>
      </c>
      <c r="D33" s="270">
        <v>43656</v>
      </c>
      <c r="E33" s="271">
        <v>84</v>
      </c>
      <c r="F33" s="271">
        <v>1</v>
      </c>
      <c r="G33" s="271">
        <v>34</v>
      </c>
      <c r="H33" s="271">
        <v>150</v>
      </c>
      <c r="I33" s="271">
        <v>0.79</v>
      </c>
      <c r="J33" s="272">
        <v>13140000</v>
      </c>
      <c r="K33" s="272">
        <v>1.6</v>
      </c>
      <c r="L33" s="272">
        <v>7.33</v>
      </c>
      <c r="M33" s="254">
        <v>50</v>
      </c>
      <c r="N33" s="254">
        <v>4</v>
      </c>
      <c r="O33" s="254">
        <v>3</v>
      </c>
      <c r="P33" s="254">
        <v>25</v>
      </c>
      <c r="Q33" s="254">
        <v>0.2</v>
      </c>
      <c r="R33" s="254">
        <v>1000</v>
      </c>
      <c r="S33" s="254">
        <v>10</v>
      </c>
      <c r="T33" s="254">
        <v>6</v>
      </c>
      <c r="U33" s="254" t="s">
        <v>201</v>
      </c>
      <c r="V33" s="254">
        <v>9</v>
      </c>
      <c r="W33" s="255">
        <f t="shared" si="11"/>
        <v>1.68</v>
      </c>
      <c r="X33" s="255">
        <f t="shared" si="15"/>
        <v>0.5</v>
      </c>
      <c r="Y33" s="255">
        <f t="shared" ref="Y33:AB43" si="16">G33/O33</f>
        <v>11.333333333333334</v>
      </c>
      <c r="Z33" s="255">
        <f t="shared" si="16"/>
        <v>6</v>
      </c>
      <c r="AA33" s="255">
        <f t="shared" si="16"/>
        <v>3.95</v>
      </c>
      <c r="AB33" s="255">
        <f t="shared" si="16"/>
        <v>13140</v>
      </c>
      <c r="AC33" s="255">
        <f t="shared" si="12"/>
        <v>0.16</v>
      </c>
      <c r="AD33" s="255">
        <f t="shared" si="13"/>
        <v>0.12781954887218039</v>
      </c>
      <c r="AE33" s="258">
        <f t="shared" si="14"/>
        <v>2.1265464086293142</v>
      </c>
      <c r="AF33" s="258">
        <f t="shared" si="14"/>
        <v>0.5</v>
      </c>
      <c r="AG33" s="258">
        <f t="shared" si="14"/>
        <v>6.2717883116129638</v>
      </c>
      <c r="AH33" s="258">
        <f t="shared" si="14"/>
        <v>4.8907562519182184</v>
      </c>
      <c r="AI33" s="258">
        <f t="shared" si="14"/>
        <v>3.9829854781323011</v>
      </c>
      <c r="AJ33" s="258">
        <f t="shared" si="14"/>
        <v>21.592976826118811</v>
      </c>
      <c r="AK33" s="258">
        <f t="shared" si="14"/>
        <v>0.16</v>
      </c>
      <c r="AL33" s="258">
        <f t="shared" si="14"/>
        <v>0.12781954887218039</v>
      </c>
      <c r="AM33" s="273">
        <f t="shared" si="6"/>
        <v>4.9566091031604742</v>
      </c>
      <c r="AN33" s="274">
        <f t="shared" si="7"/>
        <v>21.592976826118811</v>
      </c>
      <c r="AO33" s="275">
        <f t="shared" si="8"/>
        <v>24.567973801533281</v>
      </c>
      <c r="AP33" s="275">
        <f t="shared" si="8"/>
        <v>466.256648213304</v>
      </c>
      <c r="AQ33" s="276">
        <f t="shared" si="9"/>
        <v>15.66564109787463</v>
      </c>
      <c r="AR33" s="280" t="str">
        <f t="shared" si="10"/>
        <v>berat</v>
      </c>
      <c r="AU33" s="239">
        <v>1</v>
      </c>
    </row>
    <row r="34" spans="1:48" x14ac:dyDescent="0.2">
      <c r="A34" s="267">
        <v>21</v>
      </c>
      <c r="B34" s="278" t="s">
        <v>32</v>
      </c>
      <c r="C34" s="279" t="s">
        <v>101</v>
      </c>
      <c r="D34" s="270">
        <v>43654</v>
      </c>
      <c r="E34" s="271">
        <v>29</v>
      </c>
      <c r="F34" s="271">
        <v>1</v>
      </c>
      <c r="G34" s="271">
        <v>21</v>
      </c>
      <c r="H34" s="271">
        <v>85</v>
      </c>
      <c r="I34" s="271">
        <v>1.05</v>
      </c>
      <c r="J34" s="272">
        <v>15000000</v>
      </c>
      <c r="K34" s="272">
        <v>1.6</v>
      </c>
      <c r="L34" s="272">
        <v>7.57</v>
      </c>
      <c r="M34" s="254">
        <v>50</v>
      </c>
      <c r="N34" s="254">
        <v>4</v>
      </c>
      <c r="O34" s="254">
        <v>3</v>
      </c>
      <c r="P34" s="254">
        <v>25</v>
      </c>
      <c r="Q34" s="254">
        <v>0.2</v>
      </c>
      <c r="R34" s="254">
        <v>1000</v>
      </c>
      <c r="S34" s="254">
        <v>10</v>
      </c>
      <c r="T34" s="254">
        <v>6</v>
      </c>
      <c r="U34" s="254" t="s">
        <v>201</v>
      </c>
      <c r="V34" s="254">
        <v>9</v>
      </c>
      <c r="W34" s="255">
        <f t="shared" si="11"/>
        <v>0.57999999999999996</v>
      </c>
      <c r="X34" s="255">
        <f t="shared" si="15"/>
        <v>0.5</v>
      </c>
      <c r="Y34" s="255">
        <f t="shared" si="16"/>
        <v>7</v>
      </c>
      <c r="Z34" s="255">
        <f t="shared" si="16"/>
        <v>3.4</v>
      </c>
      <c r="AA34" s="255">
        <f t="shared" si="16"/>
        <v>5.25</v>
      </c>
      <c r="AB34" s="255">
        <f t="shared" si="16"/>
        <v>15000</v>
      </c>
      <c r="AC34" s="255">
        <f t="shared" si="12"/>
        <v>0.16</v>
      </c>
      <c r="AD34" s="255">
        <f t="shared" si="13"/>
        <v>4.895104895104916E-2</v>
      </c>
      <c r="AE34" s="258">
        <f t="shared" si="14"/>
        <v>0.57999999999999996</v>
      </c>
      <c r="AF34" s="258">
        <f t="shared" si="14"/>
        <v>0.5</v>
      </c>
      <c r="AG34" s="258">
        <f t="shared" si="14"/>
        <v>5.2254902000712837</v>
      </c>
      <c r="AH34" s="258">
        <f t="shared" si="14"/>
        <v>3.6573945852112759</v>
      </c>
      <c r="AI34" s="258">
        <f t="shared" si="14"/>
        <v>4.6007965170297851</v>
      </c>
      <c r="AJ34" s="258">
        <f t="shared" si="14"/>
        <v>21.880456295278407</v>
      </c>
      <c r="AK34" s="258">
        <f t="shared" si="14"/>
        <v>0.16</v>
      </c>
      <c r="AL34" s="258">
        <f t="shared" si="14"/>
        <v>4.895104895104916E-2</v>
      </c>
      <c r="AM34" s="273">
        <f t="shared" si="6"/>
        <v>4.5816360808177246</v>
      </c>
      <c r="AN34" s="274">
        <f t="shared" si="7"/>
        <v>21.880456295278407</v>
      </c>
      <c r="AO34" s="275">
        <f t="shared" si="8"/>
        <v>20.991389177050799</v>
      </c>
      <c r="AP34" s="275">
        <f t="shared" si="8"/>
        <v>478.75436768958843</v>
      </c>
      <c r="AQ34" s="276">
        <f t="shared" si="9"/>
        <v>15.807367852786864</v>
      </c>
      <c r="AR34" s="280" t="str">
        <f t="shared" si="10"/>
        <v>berat</v>
      </c>
      <c r="AU34" s="239">
        <v>1</v>
      </c>
    </row>
    <row r="35" spans="1:48" x14ac:dyDescent="0.2">
      <c r="A35" s="267">
        <v>22</v>
      </c>
      <c r="B35" s="278" t="s">
        <v>24</v>
      </c>
      <c r="C35" s="279" t="s">
        <v>102</v>
      </c>
      <c r="D35" s="270">
        <v>43658</v>
      </c>
      <c r="E35" s="271">
        <v>48</v>
      </c>
      <c r="F35" s="271">
        <v>3.7</v>
      </c>
      <c r="G35" s="271">
        <v>15</v>
      </c>
      <c r="H35" s="271">
        <v>77</v>
      </c>
      <c r="I35" s="271">
        <v>0.16</v>
      </c>
      <c r="J35" s="272">
        <v>528000</v>
      </c>
      <c r="K35" s="272">
        <v>1.5</v>
      </c>
      <c r="L35" s="272">
        <v>7.59</v>
      </c>
      <c r="M35" s="254">
        <v>50</v>
      </c>
      <c r="N35" s="254">
        <v>4</v>
      </c>
      <c r="O35" s="254">
        <v>3</v>
      </c>
      <c r="P35" s="254">
        <v>25</v>
      </c>
      <c r="Q35" s="254">
        <v>0.2</v>
      </c>
      <c r="R35" s="254">
        <v>1000</v>
      </c>
      <c r="S35" s="254">
        <v>10</v>
      </c>
      <c r="T35" s="254">
        <v>6</v>
      </c>
      <c r="U35" s="254" t="s">
        <v>201</v>
      </c>
      <c r="V35" s="254">
        <v>9</v>
      </c>
      <c r="W35" s="255">
        <f t="shared" si="11"/>
        <v>0.96</v>
      </c>
      <c r="X35" s="255">
        <f t="shared" si="15"/>
        <v>0.27499999999999997</v>
      </c>
      <c r="Y35" s="255">
        <f t="shared" si="16"/>
        <v>5</v>
      </c>
      <c r="Z35" s="255">
        <f t="shared" si="16"/>
        <v>3.08</v>
      </c>
      <c r="AA35" s="255">
        <f t="shared" si="16"/>
        <v>0.79999999999999993</v>
      </c>
      <c r="AB35" s="255">
        <f t="shared" si="16"/>
        <v>528</v>
      </c>
      <c r="AC35" s="255">
        <f t="shared" si="12"/>
        <v>0.15</v>
      </c>
      <c r="AD35" s="255">
        <f t="shared" si="13"/>
        <v>6.3829787234042451E-2</v>
      </c>
      <c r="AE35" s="258">
        <f t="shared" si="14"/>
        <v>0.96</v>
      </c>
      <c r="AF35" s="258">
        <f t="shared" si="14"/>
        <v>0.27499999999999997</v>
      </c>
      <c r="AG35" s="258">
        <f t="shared" si="14"/>
        <v>4.4948500216800937</v>
      </c>
      <c r="AH35" s="258">
        <f t="shared" si="14"/>
        <v>3.4427535825022213</v>
      </c>
      <c r="AI35" s="258">
        <f t="shared" si="14"/>
        <v>0.79999999999999993</v>
      </c>
      <c r="AJ35" s="258">
        <f t="shared" si="14"/>
        <v>14.613169612669061</v>
      </c>
      <c r="AK35" s="258">
        <f t="shared" si="14"/>
        <v>0.15</v>
      </c>
      <c r="AL35" s="258">
        <f t="shared" si="14"/>
        <v>6.3829787234042451E-2</v>
      </c>
      <c r="AM35" s="273">
        <f t="shared" si="6"/>
        <v>3.099950375510677</v>
      </c>
      <c r="AN35" s="274">
        <f t="shared" si="7"/>
        <v>14.613169612669061</v>
      </c>
      <c r="AO35" s="275">
        <f t="shared" si="8"/>
        <v>9.6096923306287874</v>
      </c>
      <c r="AP35" s="275">
        <f t="shared" si="8"/>
        <v>213.54472612863444</v>
      </c>
      <c r="AQ35" s="276">
        <f t="shared" si="9"/>
        <v>10.563011371272475</v>
      </c>
      <c r="AR35" s="280" t="str">
        <f t="shared" si="10"/>
        <v>berat</v>
      </c>
      <c r="AU35" s="239">
        <v>1</v>
      </c>
    </row>
    <row r="36" spans="1:48" x14ac:dyDescent="0.2">
      <c r="A36" s="267">
        <v>23</v>
      </c>
      <c r="B36" s="278" t="s">
        <v>25</v>
      </c>
      <c r="C36" s="279" t="s">
        <v>103</v>
      </c>
      <c r="D36" s="270">
        <v>43658</v>
      </c>
      <c r="E36" s="271">
        <v>346</v>
      </c>
      <c r="F36" s="271">
        <v>1.1599999999999999</v>
      </c>
      <c r="G36" s="271">
        <v>83</v>
      </c>
      <c r="H36" s="271">
        <v>112</v>
      </c>
      <c r="I36" s="271">
        <v>0.26</v>
      </c>
      <c r="J36" s="272">
        <v>7890000</v>
      </c>
      <c r="K36" s="272">
        <v>0.9</v>
      </c>
      <c r="L36" s="272">
        <v>7.56</v>
      </c>
      <c r="M36" s="254">
        <v>50</v>
      </c>
      <c r="N36" s="254">
        <v>4</v>
      </c>
      <c r="O36" s="254">
        <v>3</v>
      </c>
      <c r="P36" s="254">
        <v>25</v>
      </c>
      <c r="Q36" s="254">
        <v>0.2</v>
      </c>
      <c r="R36" s="254">
        <v>1000</v>
      </c>
      <c r="S36" s="254">
        <v>10</v>
      </c>
      <c r="T36" s="254">
        <v>6</v>
      </c>
      <c r="U36" s="254" t="s">
        <v>201</v>
      </c>
      <c r="V36" s="254">
        <v>9</v>
      </c>
      <c r="W36" s="255">
        <f t="shared" si="11"/>
        <v>6.92</v>
      </c>
      <c r="X36" s="255">
        <f t="shared" si="15"/>
        <v>0.48666666666666664</v>
      </c>
      <c r="Y36" s="255">
        <f t="shared" si="16"/>
        <v>27.666666666666668</v>
      </c>
      <c r="Z36" s="255">
        <f t="shared" si="16"/>
        <v>4.4800000000000004</v>
      </c>
      <c r="AA36" s="255">
        <f t="shared" si="16"/>
        <v>1.3</v>
      </c>
      <c r="AB36" s="255">
        <f t="shared" si="16"/>
        <v>7890</v>
      </c>
      <c r="AC36" s="255">
        <f t="shared" si="12"/>
        <v>0.09</v>
      </c>
      <c r="AD36" s="255">
        <f t="shared" si="13"/>
        <v>4.1666666666666387E-2</v>
      </c>
      <c r="AE36" s="258">
        <f t="shared" si="14"/>
        <v>5.2005304722837886</v>
      </c>
      <c r="AF36" s="258">
        <f t="shared" si="14"/>
        <v>0.48666666666666664</v>
      </c>
      <c r="AG36" s="258">
        <f t="shared" si="14"/>
        <v>8.2097841882820575</v>
      </c>
      <c r="AH36" s="258">
        <f t="shared" si="14"/>
        <v>4.2563900699907204</v>
      </c>
      <c r="AI36" s="258">
        <f t="shared" si="14"/>
        <v>1.5697167615341838</v>
      </c>
      <c r="AJ36" s="258">
        <f t="shared" si="14"/>
        <v>20.4853850160471</v>
      </c>
      <c r="AK36" s="258">
        <f t="shared" si="14"/>
        <v>0.09</v>
      </c>
      <c r="AL36" s="258">
        <f t="shared" si="14"/>
        <v>4.1666666666666387E-2</v>
      </c>
      <c r="AM36" s="273">
        <f t="shared" si="6"/>
        <v>5.0425174801838981</v>
      </c>
      <c r="AN36" s="274">
        <f t="shared" si="7"/>
        <v>20.4853850160471</v>
      </c>
      <c r="AO36" s="275">
        <f t="shared" si="8"/>
        <v>25.426982537960168</v>
      </c>
      <c r="AP36" s="275">
        <f t="shared" si="8"/>
        <v>419.65099925568705</v>
      </c>
      <c r="AQ36" s="276">
        <f t="shared" si="9"/>
        <v>14.917740810753605</v>
      </c>
      <c r="AR36" s="280" t="str">
        <f t="shared" si="10"/>
        <v>berat</v>
      </c>
      <c r="AU36" s="239">
        <v>1</v>
      </c>
    </row>
    <row r="37" spans="1:48" x14ac:dyDescent="0.2">
      <c r="A37" s="267">
        <v>24</v>
      </c>
      <c r="B37" s="278" t="s">
        <v>26</v>
      </c>
      <c r="C37" s="279" t="s">
        <v>104</v>
      </c>
      <c r="D37" s="270">
        <v>43662</v>
      </c>
      <c r="E37" s="271">
        <v>74</v>
      </c>
      <c r="F37" s="271">
        <v>1.22</v>
      </c>
      <c r="G37" s="271">
        <v>78</v>
      </c>
      <c r="H37" s="271">
        <v>138</v>
      </c>
      <c r="I37" s="271">
        <v>0.16</v>
      </c>
      <c r="J37" s="272">
        <v>15531000</v>
      </c>
      <c r="K37" s="272">
        <v>2.5</v>
      </c>
      <c r="L37" s="272">
        <v>7.43</v>
      </c>
      <c r="M37" s="254">
        <v>50</v>
      </c>
      <c r="N37" s="254">
        <v>4</v>
      </c>
      <c r="O37" s="254">
        <v>3</v>
      </c>
      <c r="P37" s="254">
        <v>25</v>
      </c>
      <c r="Q37" s="254">
        <v>0.2</v>
      </c>
      <c r="R37" s="254">
        <v>1000</v>
      </c>
      <c r="S37" s="254">
        <v>10</v>
      </c>
      <c r="T37" s="254">
        <v>6</v>
      </c>
      <c r="U37" s="254" t="s">
        <v>201</v>
      </c>
      <c r="V37" s="254">
        <v>9</v>
      </c>
      <c r="W37" s="255">
        <f t="shared" si="11"/>
        <v>1.48</v>
      </c>
      <c r="X37" s="255">
        <f t="shared" si="15"/>
        <v>0.48166666666666669</v>
      </c>
      <c r="Y37" s="255">
        <f t="shared" si="16"/>
        <v>26</v>
      </c>
      <c r="Z37" s="255">
        <f t="shared" si="16"/>
        <v>5.52</v>
      </c>
      <c r="AA37" s="255">
        <f t="shared" si="16"/>
        <v>0.79999999999999993</v>
      </c>
      <c r="AB37" s="255">
        <f t="shared" si="16"/>
        <v>15531</v>
      </c>
      <c r="AC37" s="255">
        <f t="shared" si="12"/>
        <v>0.25</v>
      </c>
      <c r="AD37" s="255">
        <f t="shared" si="13"/>
        <v>4.895104895104916E-2</v>
      </c>
      <c r="AE37" s="258">
        <f t="shared" si="14"/>
        <v>1.851308576974787</v>
      </c>
      <c r="AF37" s="258">
        <f t="shared" si="14"/>
        <v>0.48166666666666669</v>
      </c>
      <c r="AG37" s="258">
        <f t="shared" si="14"/>
        <v>8.074866739854091</v>
      </c>
      <c r="AH37" s="258">
        <f t="shared" si="14"/>
        <v>4.7096953886459945</v>
      </c>
      <c r="AI37" s="258">
        <f t="shared" si="14"/>
        <v>0.79999999999999993</v>
      </c>
      <c r="AJ37" s="258">
        <f t="shared" si="14"/>
        <v>21.955997098507591</v>
      </c>
      <c r="AK37" s="258">
        <f t="shared" si="14"/>
        <v>0.25</v>
      </c>
      <c r="AL37" s="258">
        <f t="shared" si="14"/>
        <v>4.895104895104916E-2</v>
      </c>
      <c r="AM37" s="273">
        <f t="shared" si="6"/>
        <v>4.7715606899500225</v>
      </c>
      <c r="AN37" s="274">
        <f t="shared" si="7"/>
        <v>21.955997098507591</v>
      </c>
      <c r="AO37" s="275">
        <f t="shared" si="8"/>
        <v>22.767791417876335</v>
      </c>
      <c r="AP37" s="275">
        <f t="shared" si="8"/>
        <v>482.06580858967379</v>
      </c>
      <c r="AQ37" s="276">
        <f t="shared" si="9"/>
        <v>15.887630408710264</v>
      </c>
      <c r="AR37" s="280" t="str">
        <f t="shared" si="10"/>
        <v>berat</v>
      </c>
      <c r="AU37" s="239">
        <v>1</v>
      </c>
    </row>
    <row r="38" spans="1:48" x14ac:dyDescent="0.2">
      <c r="A38" s="267">
        <v>25</v>
      </c>
      <c r="B38" s="278" t="s">
        <v>33</v>
      </c>
      <c r="C38" s="279" t="s">
        <v>105</v>
      </c>
      <c r="D38" s="270">
        <v>43662</v>
      </c>
      <c r="E38" s="271">
        <v>71</v>
      </c>
      <c r="F38" s="271">
        <v>2.63</v>
      </c>
      <c r="G38" s="271">
        <v>31</v>
      </c>
      <c r="H38" s="271">
        <v>67</v>
      </c>
      <c r="I38" s="271">
        <v>0.25</v>
      </c>
      <c r="J38" s="272">
        <v>6488000</v>
      </c>
      <c r="K38" s="272">
        <v>3.2</v>
      </c>
      <c r="L38" s="272">
        <v>7.57</v>
      </c>
      <c r="M38" s="254">
        <v>50</v>
      </c>
      <c r="N38" s="254">
        <v>4</v>
      </c>
      <c r="O38" s="254">
        <v>3</v>
      </c>
      <c r="P38" s="254">
        <v>25</v>
      </c>
      <c r="Q38" s="254">
        <v>0.2</v>
      </c>
      <c r="R38" s="254">
        <v>1000</v>
      </c>
      <c r="S38" s="254">
        <v>10</v>
      </c>
      <c r="T38" s="254">
        <v>6</v>
      </c>
      <c r="U38" s="254" t="s">
        <v>201</v>
      </c>
      <c r="V38" s="254">
        <v>9</v>
      </c>
      <c r="W38" s="255">
        <f t="shared" si="11"/>
        <v>1.42</v>
      </c>
      <c r="X38" s="255">
        <f t="shared" si="15"/>
        <v>0.36416666666666669</v>
      </c>
      <c r="Y38" s="255">
        <f t="shared" si="16"/>
        <v>10.333333333333334</v>
      </c>
      <c r="Z38" s="255">
        <f t="shared" si="16"/>
        <v>2.68</v>
      </c>
      <c r="AA38" s="255">
        <f t="shared" si="16"/>
        <v>1.25</v>
      </c>
      <c r="AB38" s="255">
        <f t="shared" si="16"/>
        <v>6488</v>
      </c>
      <c r="AC38" s="255">
        <f t="shared" si="12"/>
        <v>0.32</v>
      </c>
      <c r="AD38" s="255">
        <f t="shared" si="13"/>
        <v>4.895104895104916E-2</v>
      </c>
      <c r="AE38" s="258">
        <f t="shared" si="14"/>
        <v>1.7614417219152823</v>
      </c>
      <c r="AF38" s="258">
        <f t="shared" si="14"/>
        <v>0.36416666666666669</v>
      </c>
      <c r="AG38" s="258">
        <f t="shared" si="14"/>
        <v>6.0712021955730515</v>
      </c>
      <c r="AH38" s="258">
        <f t="shared" si="14"/>
        <v>3.1406739701439443</v>
      </c>
      <c r="AI38" s="258">
        <f t="shared" si="14"/>
        <v>1.4845500650402821</v>
      </c>
      <c r="AJ38" s="258">
        <f t="shared" si="14"/>
        <v>20.0605542060155</v>
      </c>
      <c r="AK38" s="258">
        <f t="shared" si="14"/>
        <v>0.32</v>
      </c>
      <c r="AL38" s="258">
        <f t="shared" si="14"/>
        <v>4.895104895104916E-2</v>
      </c>
      <c r="AM38" s="273">
        <f t="shared" si="6"/>
        <v>4.1564424842882222</v>
      </c>
      <c r="AN38" s="274">
        <f t="shared" si="7"/>
        <v>20.0605542060155</v>
      </c>
      <c r="AO38" s="275">
        <f t="shared" si="8"/>
        <v>17.276014125196049</v>
      </c>
      <c r="AP38" s="275">
        <f t="shared" si="8"/>
        <v>402.42583505248615</v>
      </c>
      <c r="AQ38" s="276">
        <f t="shared" si="9"/>
        <v>14.486232242679293</v>
      </c>
      <c r="AR38" s="280" t="str">
        <f t="shared" si="10"/>
        <v>berat</v>
      </c>
      <c r="AU38" s="239">
        <v>1</v>
      </c>
    </row>
    <row r="39" spans="1:48" x14ac:dyDescent="0.2">
      <c r="A39" s="267">
        <v>26</v>
      </c>
      <c r="B39" s="278" t="s">
        <v>34</v>
      </c>
      <c r="C39" s="279" t="s">
        <v>106</v>
      </c>
      <c r="D39" s="270">
        <v>43661</v>
      </c>
      <c r="E39" s="271">
        <v>44</v>
      </c>
      <c r="F39" s="271">
        <v>2.84</v>
      </c>
      <c r="G39" s="271">
        <v>29</v>
      </c>
      <c r="H39" s="271">
        <v>100</v>
      </c>
      <c r="I39" s="271">
        <v>0.21</v>
      </c>
      <c r="J39" s="272">
        <v>10462000</v>
      </c>
      <c r="K39" s="272">
        <v>2.4</v>
      </c>
      <c r="L39" s="272">
        <v>8.07</v>
      </c>
      <c r="M39" s="254">
        <v>50</v>
      </c>
      <c r="N39" s="254">
        <v>4</v>
      </c>
      <c r="O39" s="254">
        <v>3</v>
      </c>
      <c r="P39" s="254">
        <v>25</v>
      </c>
      <c r="Q39" s="254">
        <v>0.2</v>
      </c>
      <c r="R39" s="254">
        <v>1000</v>
      </c>
      <c r="S39" s="254">
        <v>10</v>
      </c>
      <c r="T39" s="254">
        <v>6</v>
      </c>
      <c r="U39" s="254" t="s">
        <v>201</v>
      </c>
      <c r="V39" s="254">
        <v>9</v>
      </c>
      <c r="W39" s="255">
        <f t="shared" si="11"/>
        <v>0.88</v>
      </c>
      <c r="X39" s="255">
        <f t="shared" si="15"/>
        <v>0.34666666666666668</v>
      </c>
      <c r="Y39" s="255">
        <f t="shared" si="16"/>
        <v>9.6666666666666661</v>
      </c>
      <c r="Z39" s="255">
        <f t="shared" si="16"/>
        <v>4</v>
      </c>
      <c r="AA39" s="255">
        <f t="shared" si="16"/>
        <v>1.0499999999999998</v>
      </c>
      <c r="AB39" s="255">
        <f t="shared" si="16"/>
        <v>10462</v>
      </c>
      <c r="AC39" s="255">
        <f t="shared" si="12"/>
        <v>0.24</v>
      </c>
      <c r="AD39" s="255">
        <f t="shared" si="13"/>
        <v>0.61290322580645207</v>
      </c>
      <c r="AE39" s="258">
        <f t="shared" si="14"/>
        <v>0.88</v>
      </c>
      <c r="AF39" s="258">
        <f t="shared" si="14"/>
        <v>0.34666666666666668</v>
      </c>
      <c r="AG39" s="258">
        <f t="shared" si="14"/>
        <v>5.9263837158964678</v>
      </c>
      <c r="AH39" s="258">
        <f t="shared" si="14"/>
        <v>4.0102999566398125</v>
      </c>
      <c r="AI39" s="258">
        <f t="shared" si="14"/>
        <v>1.10594649534969</v>
      </c>
      <c r="AJ39" s="258">
        <f t="shared" si="14"/>
        <v>21.098073578457086</v>
      </c>
      <c r="AK39" s="258">
        <f t="shared" si="14"/>
        <v>0.24</v>
      </c>
      <c r="AL39" s="258">
        <f t="shared" si="14"/>
        <v>0.61290322580645207</v>
      </c>
      <c r="AM39" s="273">
        <f t="shared" si="6"/>
        <v>4.2775342048520226</v>
      </c>
      <c r="AN39" s="274">
        <f t="shared" si="7"/>
        <v>21.098073578457086</v>
      </c>
      <c r="AO39" s="275">
        <f t="shared" si="8"/>
        <v>18.297298873679026</v>
      </c>
      <c r="AP39" s="275">
        <f t="shared" si="8"/>
        <v>445.12870872198897</v>
      </c>
      <c r="AQ39" s="276">
        <f t="shared" si="9"/>
        <v>15.222122184433877</v>
      </c>
      <c r="AR39" s="280" t="str">
        <f t="shared" si="10"/>
        <v>berat</v>
      </c>
      <c r="AU39" s="239">
        <v>1</v>
      </c>
    </row>
    <row r="40" spans="1:48" x14ac:dyDescent="0.2">
      <c r="A40" s="267">
        <v>27</v>
      </c>
      <c r="B40" s="278" t="s">
        <v>54</v>
      </c>
      <c r="C40" s="279" t="s">
        <v>107</v>
      </c>
      <c r="D40" s="270">
        <v>43654</v>
      </c>
      <c r="E40" s="271">
        <v>79</v>
      </c>
      <c r="F40" s="271">
        <v>1</v>
      </c>
      <c r="G40" s="271">
        <v>64</v>
      </c>
      <c r="H40" s="271">
        <v>280</v>
      </c>
      <c r="I40" s="271">
        <v>0.77</v>
      </c>
      <c r="J40" s="272">
        <v>43600000</v>
      </c>
      <c r="K40" s="272">
        <v>1.8</v>
      </c>
      <c r="L40" s="272">
        <v>7.93</v>
      </c>
      <c r="M40" s="254">
        <v>50</v>
      </c>
      <c r="N40" s="254">
        <v>4</v>
      </c>
      <c r="O40" s="254">
        <v>3</v>
      </c>
      <c r="P40" s="254">
        <v>25</v>
      </c>
      <c r="Q40" s="254">
        <v>0.2</v>
      </c>
      <c r="R40" s="254">
        <v>1000</v>
      </c>
      <c r="S40" s="254">
        <v>10</v>
      </c>
      <c r="T40" s="254">
        <v>6</v>
      </c>
      <c r="U40" s="254" t="s">
        <v>201</v>
      </c>
      <c r="V40" s="254">
        <v>9</v>
      </c>
      <c r="W40" s="255">
        <f t="shared" si="11"/>
        <v>1.58</v>
      </c>
      <c r="X40" s="255">
        <f t="shared" si="15"/>
        <v>0.5</v>
      </c>
      <c r="Y40" s="255">
        <f t="shared" si="16"/>
        <v>21.333333333333332</v>
      </c>
      <c r="Z40" s="255">
        <f t="shared" si="16"/>
        <v>11.2</v>
      </c>
      <c r="AA40" s="255">
        <f t="shared" si="16"/>
        <v>3.85</v>
      </c>
      <c r="AB40" s="255">
        <f t="shared" si="16"/>
        <v>43600</v>
      </c>
      <c r="AC40" s="255">
        <f t="shared" si="12"/>
        <v>0.18</v>
      </c>
      <c r="AD40" s="255">
        <f t="shared" si="13"/>
        <v>0.40186915887850427</v>
      </c>
      <c r="AE40" s="258">
        <f t="shared" si="14"/>
        <v>1.9932854347721132</v>
      </c>
      <c r="AF40" s="258">
        <f t="shared" si="14"/>
        <v>0.5</v>
      </c>
      <c r="AG40" s="258">
        <f t="shared" si="14"/>
        <v>7.6452935963211237</v>
      </c>
      <c r="AH40" s="258">
        <f t="shared" si="14"/>
        <v>6.2460901133509079</v>
      </c>
      <c r="AI40" s="258">
        <f t="shared" si="14"/>
        <v>3.9273036475425034</v>
      </c>
      <c r="AJ40" s="258">
        <f t="shared" si="14"/>
        <v>24.19743244634293</v>
      </c>
      <c r="AK40" s="258">
        <f t="shared" si="14"/>
        <v>0.18</v>
      </c>
      <c r="AL40" s="258">
        <f t="shared" si="14"/>
        <v>0.40186915887850427</v>
      </c>
      <c r="AM40" s="273">
        <f t="shared" si="6"/>
        <v>5.6364092996510102</v>
      </c>
      <c r="AN40" s="274">
        <f t="shared" si="7"/>
        <v>24.19743244634293</v>
      </c>
      <c r="AO40" s="275">
        <f t="shared" si="8"/>
        <v>31.769109793192392</v>
      </c>
      <c r="AP40" s="275">
        <f t="shared" si="8"/>
        <v>585.51573699532958</v>
      </c>
      <c r="AQ40" s="276">
        <f t="shared" si="9"/>
        <v>17.568221975893319</v>
      </c>
      <c r="AR40" s="280" t="str">
        <f t="shared" si="10"/>
        <v>berat</v>
      </c>
      <c r="AU40" s="239">
        <v>1</v>
      </c>
    </row>
    <row r="41" spans="1:48" x14ac:dyDescent="0.2">
      <c r="A41" s="267">
        <v>28</v>
      </c>
      <c r="B41" s="278" t="s">
        <v>27</v>
      </c>
      <c r="C41" s="279" t="s">
        <v>108</v>
      </c>
      <c r="D41" s="270">
        <v>43655</v>
      </c>
      <c r="E41" s="271">
        <v>156</v>
      </c>
      <c r="F41" s="271">
        <v>5.35</v>
      </c>
      <c r="G41" s="271">
        <v>29</v>
      </c>
      <c r="H41" s="271">
        <v>41</v>
      </c>
      <c r="I41" s="271">
        <v>0.16</v>
      </c>
      <c r="J41" s="272">
        <v>1860000</v>
      </c>
      <c r="K41" s="272">
        <v>4.9000000000000004</v>
      </c>
      <c r="L41" s="272">
        <v>7.45</v>
      </c>
      <c r="M41" s="254">
        <v>50</v>
      </c>
      <c r="N41" s="254">
        <v>4</v>
      </c>
      <c r="O41" s="254">
        <v>3</v>
      </c>
      <c r="P41" s="254">
        <v>25</v>
      </c>
      <c r="Q41" s="254">
        <v>0.2</v>
      </c>
      <c r="R41" s="254">
        <v>1000</v>
      </c>
      <c r="S41" s="254">
        <v>10</v>
      </c>
      <c r="T41" s="254">
        <v>6</v>
      </c>
      <c r="U41" s="254" t="s">
        <v>201</v>
      </c>
      <c r="V41" s="254">
        <v>9</v>
      </c>
      <c r="W41" s="255">
        <f t="shared" si="11"/>
        <v>3.12</v>
      </c>
      <c r="X41" s="255">
        <f t="shared" si="15"/>
        <v>0.13750000000000004</v>
      </c>
      <c r="Y41" s="255">
        <f t="shared" si="16"/>
        <v>9.6666666666666661</v>
      </c>
      <c r="Z41" s="255">
        <f t="shared" si="16"/>
        <v>1.64</v>
      </c>
      <c r="AA41" s="255">
        <f t="shared" si="16"/>
        <v>0.79999999999999993</v>
      </c>
      <c r="AB41" s="255">
        <f t="shared" si="16"/>
        <v>1860</v>
      </c>
      <c r="AC41" s="255">
        <f t="shared" si="12"/>
        <v>0.49000000000000005</v>
      </c>
      <c r="AD41" s="255">
        <f t="shared" si="13"/>
        <v>3.448275862068953E-2</v>
      </c>
      <c r="AE41" s="258">
        <f t="shared" si="14"/>
        <v>3.4707729700922139</v>
      </c>
      <c r="AF41" s="258">
        <f t="shared" si="14"/>
        <v>0.13750000000000004</v>
      </c>
      <c r="AG41" s="258">
        <f t="shared" si="14"/>
        <v>5.9263837158964678</v>
      </c>
      <c r="AH41" s="258">
        <f t="shared" si="14"/>
        <v>2.0742192402384894</v>
      </c>
      <c r="AI41" s="258">
        <f t="shared" si="14"/>
        <v>0.79999999999999993</v>
      </c>
      <c r="AJ41" s="258">
        <f t="shared" si="14"/>
        <v>17.347564721089583</v>
      </c>
      <c r="AK41" s="258">
        <f t="shared" si="14"/>
        <v>0.49000000000000005</v>
      </c>
      <c r="AL41" s="258">
        <f t="shared" si="14"/>
        <v>3.448275862068953E-2</v>
      </c>
      <c r="AM41" s="273">
        <f t="shared" si="6"/>
        <v>3.7851154257421809</v>
      </c>
      <c r="AN41" s="274">
        <f t="shared" si="7"/>
        <v>17.347564721089583</v>
      </c>
      <c r="AO41" s="275">
        <f t="shared" si="8"/>
        <v>14.327098786191412</v>
      </c>
      <c r="AP41" s="275">
        <f t="shared" si="8"/>
        <v>300.93800175239193</v>
      </c>
      <c r="AQ41" s="276">
        <f t="shared" si="9"/>
        <v>12.55518021651986</v>
      </c>
      <c r="AR41" s="280" t="str">
        <f t="shared" si="10"/>
        <v>berat</v>
      </c>
      <c r="AU41" s="239">
        <v>1</v>
      </c>
    </row>
    <row r="42" spans="1:48" x14ac:dyDescent="0.2">
      <c r="A42" s="267">
        <v>29</v>
      </c>
      <c r="B42" s="278" t="s">
        <v>28</v>
      </c>
      <c r="C42" s="279" t="s">
        <v>109</v>
      </c>
      <c r="D42" s="270">
        <v>43654</v>
      </c>
      <c r="E42" s="271">
        <v>70</v>
      </c>
      <c r="F42" s="271">
        <v>3.74</v>
      </c>
      <c r="G42" s="271">
        <v>22</v>
      </c>
      <c r="H42" s="271">
        <v>83</v>
      </c>
      <c r="I42" s="271">
        <v>0.16</v>
      </c>
      <c r="J42" s="272">
        <v>2282000</v>
      </c>
      <c r="K42" s="272">
        <v>5</v>
      </c>
      <c r="L42" s="272">
        <v>7.44</v>
      </c>
      <c r="M42" s="254">
        <v>50</v>
      </c>
      <c r="N42" s="254">
        <v>4</v>
      </c>
      <c r="O42" s="254">
        <v>3</v>
      </c>
      <c r="P42" s="254">
        <v>25</v>
      </c>
      <c r="Q42" s="254">
        <v>0.2</v>
      </c>
      <c r="R42" s="254">
        <v>1000</v>
      </c>
      <c r="S42" s="254">
        <v>10</v>
      </c>
      <c r="T42" s="254">
        <v>6</v>
      </c>
      <c r="U42" s="254" t="s">
        <v>201</v>
      </c>
      <c r="V42" s="254">
        <v>9</v>
      </c>
      <c r="W42" s="255">
        <f t="shared" si="11"/>
        <v>1.4</v>
      </c>
      <c r="X42" s="255">
        <f t="shared" si="15"/>
        <v>0.27166666666666667</v>
      </c>
      <c r="Y42" s="255">
        <f t="shared" si="16"/>
        <v>7.333333333333333</v>
      </c>
      <c r="Z42" s="255">
        <f t="shared" si="16"/>
        <v>3.32</v>
      </c>
      <c r="AA42" s="255">
        <f t="shared" si="16"/>
        <v>0.79999999999999993</v>
      </c>
      <c r="AB42" s="255">
        <f t="shared" si="16"/>
        <v>2282</v>
      </c>
      <c r="AC42" s="255">
        <f t="shared" si="12"/>
        <v>0.5</v>
      </c>
      <c r="AD42" s="255">
        <f t="shared" si="13"/>
        <v>4.1666666666666387E-2</v>
      </c>
      <c r="AE42" s="258">
        <f t="shared" si="14"/>
        <v>1.73064017839119</v>
      </c>
      <c r="AF42" s="258">
        <f t="shared" si="14"/>
        <v>0.27166666666666667</v>
      </c>
      <c r="AG42" s="258">
        <f t="shared" si="14"/>
        <v>5.3265071305127192</v>
      </c>
      <c r="AH42" s="258">
        <f t="shared" si="14"/>
        <v>3.6056904185201812</v>
      </c>
      <c r="AI42" s="258">
        <f t="shared" si="14"/>
        <v>0.79999999999999993</v>
      </c>
      <c r="AJ42" s="258">
        <f t="shared" si="14"/>
        <v>17.791578200410978</v>
      </c>
      <c r="AK42" s="258">
        <f t="shared" si="14"/>
        <v>0.5</v>
      </c>
      <c r="AL42" s="258">
        <f t="shared" si="14"/>
        <v>4.1666666666666387E-2</v>
      </c>
      <c r="AM42" s="273">
        <f t="shared" si="6"/>
        <v>3.7584686576460506</v>
      </c>
      <c r="AN42" s="274">
        <f t="shared" si="7"/>
        <v>17.791578200410978</v>
      </c>
      <c r="AO42" s="275">
        <f t="shared" si="8"/>
        <v>14.126086650507705</v>
      </c>
      <c r="AP42" s="275">
        <f t="shared" si="8"/>
        <v>316.54025486133912</v>
      </c>
      <c r="AQ42" s="276">
        <f t="shared" si="9"/>
        <v>12.858194692721192</v>
      </c>
      <c r="AR42" s="280" t="str">
        <f t="shared" si="10"/>
        <v>berat</v>
      </c>
      <c r="AU42" s="239">
        <v>1</v>
      </c>
    </row>
    <row r="43" spans="1:48" x14ac:dyDescent="0.2">
      <c r="A43" s="267">
        <v>30</v>
      </c>
      <c r="B43" s="278" t="s">
        <v>29</v>
      </c>
      <c r="C43" s="279" t="s">
        <v>113</v>
      </c>
      <c r="D43" s="270">
        <v>43654</v>
      </c>
      <c r="E43" s="271">
        <v>182</v>
      </c>
      <c r="F43" s="271">
        <v>2.97</v>
      </c>
      <c r="G43" s="271">
        <v>51</v>
      </c>
      <c r="H43" s="271">
        <v>178</v>
      </c>
      <c r="I43" s="271">
        <v>0.41</v>
      </c>
      <c r="J43" s="272">
        <v>840000</v>
      </c>
      <c r="K43" s="272">
        <v>5.2</v>
      </c>
      <c r="L43" s="272">
        <v>7.72</v>
      </c>
      <c r="M43" s="254">
        <v>50</v>
      </c>
      <c r="N43" s="254">
        <v>4</v>
      </c>
      <c r="O43" s="254">
        <v>3</v>
      </c>
      <c r="P43" s="254">
        <v>25</v>
      </c>
      <c r="Q43" s="254">
        <v>0.2</v>
      </c>
      <c r="R43" s="254">
        <v>1000</v>
      </c>
      <c r="S43" s="254">
        <v>10</v>
      </c>
      <c r="T43" s="254">
        <v>6</v>
      </c>
      <c r="U43" s="254" t="s">
        <v>201</v>
      </c>
      <c r="V43" s="254">
        <v>9</v>
      </c>
      <c r="W43" s="255">
        <f t="shared" si="11"/>
        <v>3.64</v>
      </c>
      <c r="X43" s="255">
        <f t="shared" si="15"/>
        <v>0.33583333333333326</v>
      </c>
      <c r="Y43" s="255">
        <f t="shared" si="16"/>
        <v>17</v>
      </c>
      <c r="Z43" s="255">
        <f t="shared" si="16"/>
        <v>7.12</v>
      </c>
      <c r="AA43" s="255">
        <f t="shared" si="16"/>
        <v>2.0499999999999998</v>
      </c>
      <c r="AB43" s="255">
        <f t="shared" si="16"/>
        <v>840</v>
      </c>
      <c r="AC43" s="255">
        <f t="shared" si="12"/>
        <v>0.52</v>
      </c>
      <c r="AD43" s="255">
        <f t="shared" si="13"/>
        <v>0.17187499999999978</v>
      </c>
      <c r="AE43" s="258">
        <f t="shared" si="14"/>
        <v>3.8055069182452801</v>
      </c>
      <c r="AF43" s="258">
        <f t="shared" si="14"/>
        <v>0.33583333333333326</v>
      </c>
      <c r="AG43" s="258">
        <f t="shared" si="14"/>
        <v>7.1522446068913696</v>
      </c>
      <c r="AH43" s="258">
        <f t="shared" si="14"/>
        <v>5.2623999681842815</v>
      </c>
      <c r="AI43" s="258">
        <f t="shared" si="14"/>
        <v>2.558769305278771</v>
      </c>
      <c r="AJ43" s="258">
        <f t="shared" si="14"/>
        <v>15.621396430309408</v>
      </c>
      <c r="AK43" s="258">
        <f t="shared" si="14"/>
        <v>0.52</v>
      </c>
      <c r="AL43" s="258">
        <f t="shared" si="14"/>
        <v>0.17187499999999978</v>
      </c>
      <c r="AM43" s="273">
        <f t="shared" si="6"/>
        <v>4.4285031952803067</v>
      </c>
      <c r="AN43" s="274">
        <f t="shared" si="7"/>
        <v>15.621396430309408</v>
      </c>
      <c r="AO43" s="275">
        <f t="shared" si="8"/>
        <v>19.611640550607888</v>
      </c>
      <c r="AP43" s="275">
        <f t="shared" si="8"/>
        <v>244.02802643288354</v>
      </c>
      <c r="AQ43" s="276">
        <f t="shared" si="9"/>
        <v>11.481281874936515</v>
      </c>
      <c r="AR43" s="280" t="str">
        <f t="shared" si="10"/>
        <v>berat</v>
      </c>
      <c r="AU43" s="239">
        <v>1</v>
      </c>
    </row>
    <row r="44" spans="1:48" x14ac:dyDescent="0.2">
      <c r="A44" s="311" t="s">
        <v>208</v>
      </c>
      <c r="B44" s="278"/>
      <c r="C44" s="279"/>
      <c r="D44" s="270"/>
      <c r="E44" s="271"/>
      <c r="F44" s="271"/>
      <c r="G44" s="271"/>
      <c r="H44" s="271"/>
      <c r="I44" s="271"/>
      <c r="J44" s="272"/>
      <c r="K44" s="272"/>
      <c r="L44" s="272"/>
      <c r="M44" s="254"/>
      <c r="N44" s="254"/>
      <c r="O44" s="254"/>
      <c r="P44" s="254"/>
      <c r="Q44" s="254"/>
      <c r="R44" s="254"/>
      <c r="S44" s="254"/>
      <c r="T44" s="254"/>
      <c r="U44" s="254"/>
      <c r="V44" s="254"/>
      <c r="W44" s="255"/>
      <c r="X44" s="255"/>
      <c r="Y44" s="255"/>
      <c r="Z44" s="255"/>
      <c r="AA44" s="255"/>
      <c r="AB44" s="255"/>
      <c r="AC44" s="255"/>
      <c r="AD44" s="255"/>
      <c r="AE44" s="258"/>
      <c r="AF44" s="258"/>
      <c r="AG44" s="258"/>
      <c r="AH44" s="258"/>
      <c r="AI44" s="258"/>
      <c r="AJ44" s="258"/>
      <c r="AK44" s="258"/>
      <c r="AL44" s="258"/>
      <c r="AM44" s="273"/>
      <c r="AN44" s="274"/>
      <c r="AO44" s="275"/>
      <c r="AP44" s="275"/>
      <c r="AQ44" s="276"/>
      <c r="AR44" s="277" t="str">
        <f t="shared" si="10"/>
        <v/>
      </c>
    </row>
    <row r="45" spans="1:48" x14ac:dyDescent="0.2">
      <c r="A45" s="267">
        <v>31</v>
      </c>
      <c r="B45" s="278" t="s">
        <v>21</v>
      </c>
      <c r="C45" s="279" t="s">
        <v>94</v>
      </c>
      <c r="D45" s="270">
        <v>43776</v>
      </c>
      <c r="E45" s="284">
        <v>36</v>
      </c>
      <c r="F45" s="284">
        <v>7.69</v>
      </c>
      <c r="G45" s="284">
        <v>5</v>
      </c>
      <c r="H45" s="284">
        <v>15</v>
      </c>
      <c r="I45" s="284">
        <v>0.16</v>
      </c>
      <c r="J45" s="285">
        <v>74000</v>
      </c>
      <c r="K45" s="285">
        <v>1.5</v>
      </c>
      <c r="L45" s="285">
        <v>8.0500000000000007</v>
      </c>
      <c r="M45" s="254">
        <v>50</v>
      </c>
      <c r="N45" s="254">
        <v>4</v>
      </c>
      <c r="O45" s="254">
        <v>3</v>
      </c>
      <c r="P45" s="254">
        <v>25</v>
      </c>
      <c r="Q45" s="254">
        <v>0.2</v>
      </c>
      <c r="R45" s="254">
        <v>1000</v>
      </c>
      <c r="S45" s="254">
        <v>10</v>
      </c>
      <c r="T45" s="254">
        <v>6</v>
      </c>
      <c r="U45" s="254" t="s">
        <v>201</v>
      </c>
      <c r="V45" s="254">
        <v>9</v>
      </c>
      <c r="W45" s="255">
        <f>E45/M45</f>
        <v>0.72</v>
      </c>
      <c r="X45" s="255">
        <f>((7-F45)/(7-N45))/N45</f>
        <v>-5.750000000000003E-2</v>
      </c>
      <c r="Y45" s="255">
        <f t="shared" ref="Y45:AC59" si="17">G45/O45</f>
        <v>1.6666666666666667</v>
      </c>
      <c r="Z45" s="255">
        <f t="shared" si="17"/>
        <v>0.6</v>
      </c>
      <c r="AA45" s="255">
        <f t="shared" si="17"/>
        <v>0.79999999999999993</v>
      </c>
      <c r="AB45" s="255">
        <f t="shared" si="17"/>
        <v>74</v>
      </c>
      <c r="AC45" s="255">
        <f t="shared" si="17"/>
        <v>0.15</v>
      </c>
      <c r="AD45" s="255">
        <f t="shared" si="13"/>
        <v>0.57894736842105377</v>
      </c>
      <c r="AE45" s="258">
        <f t="shared" si="14"/>
        <v>0.72</v>
      </c>
      <c r="AF45" s="258">
        <f t="shared" si="14"/>
        <v>-5.750000000000003E-2</v>
      </c>
      <c r="AG45" s="258">
        <f t="shared" si="14"/>
        <v>2.1092437480817821</v>
      </c>
      <c r="AH45" s="258">
        <f t="shared" si="14"/>
        <v>0.6</v>
      </c>
      <c r="AI45" s="258">
        <f t="shared" si="14"/>
        <v>0.79999999999999993</v>
      </c>
      <c r="AJ45" s="258">
        <f t="shared" si="14"/>
        <v>10.346158598654881</v>
      </c>
      <c r="AK45" s="258">
        <f t="shared" si="14"/>
        <v>0.15</v>
      </c>
      <c r="AL45" s="258">
        <f t="shared" si="14"/>
        <v>0.57894736842105377</v>
      </c>
      <c r="AM45" s="273">
        <f t="shared" si="6"/>
        <v>1.9058562143947146</v>
      </c>
      <c r="AN45" s="274">
        <f t="shared" si="7"/>
        <v>10.346158598654881</v>
      </c>
      <c r="AO45" s="275">
        <f t="shared" si="8"/>
        <v>3.6322879099469527</v>
      </c>
      <c r="AP45" s="275">
        <f t="shared" si="8"/>
        <v>107.04299774852034</v>
      </c>
      <c r="AQ45" s="276">
        <f t="shared" si="9"/>
        <v>7.4389275321939818</v>
      </c>
      <c r="AR45" s="282" t="str">
        <f t="shared" si="10"/>
        <v>sedang</v>
      </c>
      <c r="AV45" s="240">
        <v>1</v>
      </c>
    </row>
    <row r="46" spans="1:48" x14ac:dyDescent="0.2">
      <c r="A46" s="267">
        <v>32</v>
      </c>
      <c r="B46" s="278" t="s">
        <v>61</v>
      </c>
      <c r="C46" s="279" t="s">
        <v>112</v>
      </c>
      <c r="D46" s="270">
        <v>43774</v>
      </c>
      <c r="E46" s="284">
        <v>35</v>
      </c>
      <c r="F46" s="284">
        <v>5</v>
      </c>
      <c r="G46" s="284">
        <v>9</v>
      </c>
      <c r="H46" s="284">
        <v>31</v>
      </c>
      <c r="I46" s="284">
        <v>0.19</v>
      </c>
      <c r="J46" s="285">
        <v>816000</v>
      </c>
      <c r="K46" s="285">
        <v>1.3</v>
      </c>
      <c r="L46" s="285">
        <v>7.42</v>
      </c>
      <c r="M46" s="254">
        <v>50</v>
      </c>
      <c r="N46" s="254">
        <v>4</v>
      </c>
      <c r="O46" s="254">
        <v>3</v>
      </c>
      <c r="P46" s="254">
        <v>25</v>
      </c>
      <c r="Q46" s="254">
        <v>0.2</v>
      </c>
      <c r="R46" s="254">
        <v>1000</v>
      </c>
      <c r="S46" s="254">
        <v>10</v>
      </c>
      <c r="T46" s="254">
        <v>6</v>
      </c>
      <c r="U46" s="254" t="s">
        <v>201</v>
      </c>
      <c r="V46" s="254">
        <v>9</v>
      </c>
      <c r="W46" s="255">
        <f>E46/M46</f>
        <v>0.7</v>
      </c>
      <c r="X46" s="255">
        <f t="shared" ref="X46:X59" si="18">((7-F46)/(7-N46))/N46</f>
        <v>0.16666666666666666</v>
      </c>
      <c r="Y46" s="255">
        <f t="shared" si="17"/>
        <v>3</v>
      </c>
      <c r="Z46" s="255">
        <f t="shared" si="17"/>
        <v>1.24</v>
      </c>
      <c r="AA46" s="255">
        <f t="shared" si="17"/>
        <v>0.95</v>
      </c>
      <c r="AB46" s="255">
        <f t="shared" si="17"/>
        <v>816</v>
      </c>
      <c r="AC46" s="255">
        <f t="shared" si="17"/>
        <v>0.13</v>
      </c>
      <c r="AD46" s="255">
        <f t="shared" si="13"/>
        <v>5.6338028169014134E-2</v>
      </c>
      <c r="AE46" s="258">
        <f t="shared" si="14"/>
        <v>0.7</v>
      </c>
      <c r="AF46" s="258">
        <f t="shared" si="14"/>
        <v>0.16666666666666666</v>
      </c>
      <c r="AG46" s="258">
        <f t="shared" si="14"/>
        <v>3.3856062735983121</v>
      </c>
      <c r="AH46" s="258">
        <f t="shared" si="14"/>
        <v>1.4671084258111753</v>
      </c>
      <c r="AI46" s="258">
        <f t="shared" si="14"/>
        <v>0.95</v>
      </c>
      <c r="AJ46" s="258">
        <f t="shared" si="14"/>
        <v>15.558450793769307</v>
      </c>
      <c r="AK46" s="258">
        <f t="shared" si="14"/>
        <v>0.13</v>
      </c>
      <c r="AL46" s="258">
        <f t="shared" si="14"/>
        <v>5.6338028169014134E-2</v>
      </c>
      <c r="AM46" s="273">
        <f t="shared" si="6"/>
        <v>2.8017712735018097</v>
      </c>
      <c r="AN46" s="274">
        <f t="shared" si="7"/>
        <v>15.558450793769307</v>
      </c>
      <c r="AO46" s="275">
        <f t="shared" si="8"/>
        <v>7.8499222690199524</v>
      </c>
      <c r="AP46" s="275">
        <f t="shared" si="8"/>
        <v>242.06539110214078</v>
      </c>
      <c r="AQ46" s="276">
        <f t="shared" si="9"/>
        <v>11.178446076516197</v>
      </c>
      <c r="AR46" s="280" t="str">
        <f t="shared" si="10"/>
        <v>berat</v>
      </c>
      <c r="AU46" s="239">
        <v>1</v>
      </c>
    </row>
    <row r="47" spans="1:48" x14ac:dyDescent="0.2">
      <c r="A47" s="267">
        <v>33</v>
      </c>
      <c r="B47" s="286" t="s">
        <v>60</v>
      </c>
      <c r="C47" s="287" t="s">
        <v>97</v>
      </c>
      <c r="D47" s="270">
        <v>43774</v>
      </c>
      <c r="E47" s="288">
        <v>20</v>
      </c>
      <c r="F47" s="288">
        <v>1</v>
      </c>
      <c r="G47" s="288">
        <v>37</v>
      </c>
      <c r="H47" s="288">
        <v>138</v>
      </c>
      <c r="I47" s="288">
        <v>0.3</v>
      </c>
      <c r="J47" s="288">
        <v>13140000</v>
      </c>
      <c r="K47" s="288">
        <v>0.6</v>
      </c>
      <c r="L47" s="288">
        <v>7.82</v>
      </c>
      <c r="M47" s="254">
        <v>50</v>
      </c>
      <c r="N47" s="254">
        <v>4</v>
      </c>
      <c r="O47" s="254">
        <v>3</v>
      </c>
      <c r="P47" s="254">
        <v>25</v>
      </c>
      <c r="Q47" s="254">
        <v>0.2</v>
      </c>
      <c r="R47" s="254">
        <v>1000</v>
      </c>
      <c r="S47" s="254">
        <v>10</v>
      </c>
      <c r="T47" s="254">
        <v>6</v>
      </c>
      <c r="U47" s="254" t="s">
        <v>201</v>
      </c>
      <c r="V47" s="254">
        <v>9</v>
      </c>
      <c r="W47" s="255">
        <f t="shared" ref="W47:W59" si="19">E47/M47</f>
        <v>0.4</v>
      </c>
      <c r="X47" s="255">
        <f t="shared" si="18"/>
        <v>0.5</v>
      </c>
      <c r="Y47" s="255">
        <f t="shared" si="17"/>
        <v>12.333333333333334</v>
      </c>
      <c r="Z47" s="255">
        <f t="shared" si="17"/>
        <v>5.52</v>
      </c>
      <c r="AA47" s="255">
        <f t="shared" si="17"/>
        <v>1.4999999999999998</v>
      </c>
      <c r="AB47" s="255">
        <f t="shared" si="17"/>
        <v>13140</v>
      </c>
      <c r="AC47" s="255">
        <f t="shared" si="17"/>
        <v>0.06</v>
      </c>
      <c r="AD47" s="255">
        <f t="shared" si="13"/>
        <v>0.27118644067796643</v>
      </c>
      <c r="AE47" s="258">
        <f t="shared" si="14"/>
        <v>0.4</v>
      </c>
      <c r="AF47" s="258">
        <f t="shared" si="14"/>
        <v>0.5</v>
      </c>
      <c r="AG47" s="258">
        <f t="shared" si="14"/>
        <v>6.4554023467366628</v>
      </c>
      <c r="AH47" s="258">
        <f t="shared" si="14"/>
        <v>4.7096953886459945</v>
      </c>
      <c r="AI47" s="258">
        <f t="shared" si="14"/>
        <v>1.8804562952784059</v>
      </c>
      <c r="AJ47" s="258">
        <f t="shared" si="14"/>
        <v>21.592976826118811</v>
      </c>
      <c r="AK47" s="258">
        <f t="shared" si="14"/>
        <v>0.06</v>
      </c>
      <c r="AL47" s="258">
        <f t="shared" si="14"/>
        <v>0.27118644067796643</v>
      </c>
      <c r="AM47" s="273">
        <f t="shared" si="6"/>
        <v>4.4837146621822299</v>
      </c>
      <c r="AN47" s="274">
        <f t="shared" si="7"/>
        <v>21.592976826118811</v>
      </c>
      <c r="AO47" s="275">
        <f t="shared" ref="AO47:AP59" si="20">POWER(AM47,2)</f>
        <v>20.103697171867907</v>
      </c>
      <c r="AP47" s="275">
        <f t="shared" si="20"/>
        <v>466.256648213304</v>
      </c>
      <c r="AQ47" s="276">
        <f t="shared" si="9"/>
        <v>15.594235239106339</v>
      </c>
      <c r="AR47" s="280" t="str">
        <f t="shared" si="10"/>
        <v>berat</v>
      </c>
      <c r="AU47" s="239">
        <v>1</v>
      </c>
    </row>
    <row r="48" spans="1:48" x14ac:dyDescent="0.2">
      <c r="A48" s="289">
        <v>34</v>
      </c>
      <c r="B48" s="286" t="s">
        <v>30</v>
      </c>
      <c r="C48" s="287" t="s">
        <v>99</v>
      </c>
      <c r="D48" s="270">
        <v>43776</v>
      </c>
      <c r="E48" s="288">
        <v>26</v>
      </c>
      <c r="F48" s="288">
        <v>3.46</v>
      </c>
      <c r="G48" s="288">
        <v>53</v>
      </c>
      <c r="H48" s="288">
        <v>113</v>
      </c>
      <c r="I48" s="288">
        <v>0.2</v>
      </c>
      <c r="J48" s="288">
        <v>100</v>
      </c>
      <c r="K48" s="288">
        <v>3.5</v>
      </c>
      <c r="L48" s="288">
        <v>7.47</v>
      </c>
      <c r="M48" s="254">
        <v>50</v>
      </c>
      <c r="N48" s="254">
        <v>4</v>
      </c>
      <c r="O48" s="254">
        <v>3</v>
      </c>
      <c r="P48" s="254">
        <v>25</v>
      </c>
      <c r="Q48" s="254">
        <v>0.2</v>
      </c>
      <c r="R48" s="254">
        <v>1000</v>
      </c>
      <c r="S48" s="254">
        <v>10</v>
      </c>
      <c r="T48" s="254">
        <v>6</v>
      </c>
      <c r="U48" s="254" t="s">
        <v>201</v>
      </c>
      <c r="V48" s="254">
        <v>9</v>
      </c>
      <c r="W48" s="255">
        <f t="shared" si="19"/>
        <v>0.52</v>
      </c>
      <c r="X48" s="255">
        <f t="shared" si="18"/>
        <v>0.29499999999999998</v>
      </c>
      <c r="Y48" s="255">
        <f t="shared" si="17"/>
        <v>17.666666666666668</v>
      </c>
      <c r="Z48" s="255">
        <f t="shared" si="17"/>
        <v>4.5199999999999996</v>
      </c>
      <c r="AA48" s="255">
        <f t="shared" si="17"/>
        <v>1</v>
      </c>
      <c r="AB48" s="255">
        <f t="shared" si="17"/>
        <v>0.1</v>
      </c>
      <c r="AC48" s="255">
        <f t="shared" si="17"/>
        <v>0.35</v>
      </c>
      <c r="AD48" s="255">
        <f t="shared" si="13"/>
        <v>2.0408163265306294E-2</v>
      </c>
      <c r="AE48" s="258">
        <f t="shared" si="14"/>
        <v>0.52</v>
      </c>
      <c r="AF48" s="258">
        <f t="shared" si="14"/>
        <v>0.29499999999999998</v>
      </c>
      <c r="AG48" s="258">
        <f t="shared" si="14"/>
        <v>7.2357730744056328</v>
      </c>
      <c r="AH48" s="258">
        <f t="shared" si="14"/>
        <v>4.2756921740569105</v>
      </c>
      <c r="AI48" s="258">
        <f t="shared" si="14"/>
        <v>1</v>
      </c>
      <c r="AJ48" s="258">
        <f t="shared" si="14"/>
        <v>0.1</v>
      </c>
      <c r="AK48" s="258">
        <f t="shared" si="14"/>
        <v>0.35</v>
      </c>
      <c r="AL48" s="258">
        <f t="shared" si="14"/>
        <v>2.0408163265306294E-2</v>
      </c>
      <c r="AM48" s="273">
        <f t="shared" si="6"/>
        <v>1.7246091764659812</v>
      </c>
      <c r="AN48" s="274">
        <f t="shared" si="7"/>
        <v>7.2357730744056328</v>
      </c>
      <c r="AO48" s="275">
        <f t="shared" si="20"/>
        <v>2.9742768115506699</v>
      </c>
      <c r="AP48" s="275">
        <f t="shared" si="20"/>
        <v>52.356411984293544</v>
      </c>
      <c r="AQ48" s="276">
        <f t="shared" si="9"/>
        <v>5.2597855847859529</v>
      </c>
      <c r="AR48" s="282" t="str">
        <f t="shared" si="10"/>
        <v>sedang</v>
      </c>
      <c r="AV48" s="240">
        <v>1</v>
      </c>
    </row>
    <row r="49" spans="1:50" x14ac:dyDescent="0.2">
      <c r="A49" s="289">
        <v>35</v>
      </c>
      <c r="B49" s="286" t="s">
        <v>31</v>
      </c>
      <c r="C49" s="287" t="s">
        <v>100</v>
      </c>
      <c r="D49" s="270">
        <v>43774</v>
      </c>
      <c r="E49" s="288">
        <v>35</v>
      </c>
      <c r="F49" s="288">
        <v>1</v>
      </c>
      <c r="G49" s="288">
        <v>98</v>
      </c>
      <c r="H49" s="288">
        <v>204</v>
      </c>
      <c r="I49" s="288">
        <v>0.6</v>
      </c>
      <c r="J49" s="288">
        <v>30760000</v>
      </c>
      <c r="K49" s="288">
        <v>3</v>
      </c>
      <c r="L49" s="288">
        <v>7.41</v>
      </c>
      <c r="M49" s="254">
        <v>50</v>
      </c>
      <c r="N49" s="254">
        <v>4</v>
      </c>
      <c r="O49" s="254">
        <v>3</v>
      </c>
      <c r="P49" s="254">
        <v>25</v>
      </c>
      <c r="Q49" s="254">
        <v>0.2</v>
      </c>
      <c r="R49" s="254">
        <v>1000</v>
      </c>
      <c r="S49" s="254">
        <v>10</v>
      </c>
      <c r="T49" s="254">
        <v>6</v>
      </c>
      <c r="U49" s="254" t="s">
        <v>201</v>
      </c>
      <c r="V49" s="254">
        <v>9</v>
      </c>
      <c r="W49" s="255">
        <f t="shared" si="19"/>
        <v>0.7</v>
      </c>
      <c r="X49" s="255">
        <f t="shared" si="18"/>
        <v>0.5</v>
      </c>
      <c r="Y49" s="255">
        <f t="shared" si="17"/>
        <v>32.666666666666664</v>
      </c>
      <c r="Z49" s="255">
        <f t="shared" si="17"/>
        <v>8.16</v>
      </c>
      <c r="AA49" s="255">
        <f t="shared" si="17"/>
        <v>2.9999999999999996</v>
      </c>
      <c r="AB49" s="255">
        <f t="shared" si="17"/>
        <v>30760</v>
      </c>
      <c r="AC49" s="255">
        <f t="shared" si="17"/>
        <v>0.3</v>
      </c>
      <c r="AD49" s="255">
        <f t="shared" si="13"/>
        <v>6.3829787234042451E-2</v>
      </c>
      <c r="AE49" s="258">
        <f t="shared" si="14"/>
        <v>0.7</v>
      </c>
      <c r="AF49" s="258">
        <f t="shared" si="14"/>
        <v>0.5</v>
      </c>
      <c r="AG49" s="258">
        <f t="shared" si="14"/>
        <v>8.5705241048641625</v>
      </c>
      <c r="AH49" s="258">
        <f t="shared" si="14"/>
        <v>5.558450793769306</v>
      </c>
      <c r="AI49" s="258">
        <f t="shared" si="14"/>
        <v>3.3856062735983121</v>
      </c>
      <c r="AJ49" s="258">
        <f t="shared" si="14"/>
        <v>23.439931655646966</v>
      </c>
      <c r="AK49" s="258">
        <f t="shared" si="14"/>
        <v>0.3</v>
      </c>
      <c r="AL49" s="258">
        <f t="shared" si="14"/>
        <v>6.3829787234042451E-2</v>
      </c>
      <c r="AM49" s="273">
        <f t="shared" si="6"/>
        <v>5.3147928268890983</v>
      </c>
      <c r="AN49" s="274">
        <f t="shared" si="7"/>
        <v>23.439931655646966</v>
      </c>
      <c r="AO49" s="275">
        <f t="shared" si="20"/>
        <v>28.247022792751814</v>
      </c>
      <c r="AP49" s="275">
        <f t="shared" si="20"/>
        <v>549.43039602140072</v>
      </c>
      <c r="AQ49" s="276">
        <f t="shared" si="9"/>
        <v>16.995255496963743</v>
      </c>
      <c r="AR49" s="280" t="str">
        <f t="shared" si="10"/>
        <v>berat</v>
      </c>
      <c r="AU49" s="239">
        <v>1</v>
      </c>
    </row>
    <row r="50" spans="1:50" x14ac:dyDescent="0.2">
      <c r="A50" s="267">
        <v>36</v>
      </c>
      <c r="B50" s="286" t="s">
        <v>32</v>
      </c>
      <c r="C50" s="286" t="s">
        <v>101</v>
      </c>
      <c r="D50" s="290">
        <v>43774</v>
      </c>
      <c r="E50" s="288">
        <v>33</v>
      </c>
      <c r="F50" s="288">
        <v>1</v>
      </c>
      <c r="G50" s="288">
        <v>48</v>
      </c>
      <c r="H50" s="288">
        <v>118</v>
      </c>
      <c r="I50" s="288">
        <v>0.63</v>
      </c>
      <c r="J50" s="288">
        <v>780000</v>
      </c>
      <c r="K50" s="288">
        <v>0.9</v>
      </c>
      <c r="L50" s="288">
        <v>7.5</v>
      </c>
      <c r="M50" s="254">
        <v>50</v>
      </c>
      <c r="N50" s="254">
        <v>4</v>
      </c>
      <c r="O50" s="254">
        <v>3</v>
      </c>
      <c r="P50" s="254">
        <v>25</v>
      </c>
      <c r="Q50" s="254">
        <v>0.2</v>
      </c>
      <c r="R50" s="254">
        <v>1000</v>
      </c>
      <c r="S50" s="254">
        <v>10</v>
      </c>
      <c r="T50" s="254">
        <v>6</v>
      </c>
      <c r="U50" s="254" t="s">
        <v>201</v>
      </c>
      <c r="V50" s="254">
        <v>9</v>
      </c>
      <c r="W50" s="255">
        <f t="shared" si="19"/>
        <v>0.66</v>
      </c>
      <c r="X50" s="255">
        <f t="shared" si="18"/>
        <v>0.5</v>
      </c>
      <c r="Y50" s="255">
        <f t="shared" si="17"/>
        <v>16</v>
      </c>
      <c r="Z50" s="255">
        <f t="shared" si="17"/>
        <v>4.72</v>
      </c>
      <c r="AA50" s="255">
        <f t="shared" si="17"/>
        <v>3.15</v>
      </c>
      <c r="AB50" s="255">
        <f t="shared" si="17"/>
        <v>780</v>
      </c>
      <c r="AC50" s="255">
        <f t="shared" si="17"/>
        <v>0.09</v>
      </c>
      <c r="AD50" s="255">
        <f t="shared" si="13"/>
        <v>0</v>
      </c>
      <c r="AE50" s="258">
        <f t="shared" si="14"/>
        <v>0.66</v>
      </c>
      <c r="AF50" s="258">
        <f t="shared" si="14"/>
        <v>0.5</v>
      </c>
      <c r="AG50" s="258">
        <f t="shared" si="14"/>
        <v>7.0205999132796242</v>
      </c>
      <c r="AH50" s="258">
        <f t="shared" si="14"/>
        <v>4.3697099931704386</v>
      </c>
      <c r="AI50" s="258">
        <f t="shared" si="14"/>
        <v>3.4915527689480026</v>
      </c>
      <c r="AJ50" s="258">
        <f t="shared" si="14"/>
        <v>15.460473013452402</v>
      </c>
      <c r="AK50" s="258">
        <f t="shared" si="14"/>
        <v>0.09</v>
      </c>
      <c r="AL50" s="258">
        <f t="shared" si="14"/>
        <v>0</v>
      </c>
      <c r="AM50" s="273">
        <f t="shared" si="6"/>
        <v>3.9490419611063081</v>
      </c>
      <c r="AN50" s="274">
        <f t="shared" si="7"/>
        <v>15.460473013452402</v>
      </c>
      <c r="AO50" s="275">
        <f t="shared" si="20"/>
        <v>15.594932410578355</v>
      </c>
      <c r="AP50" s="275">
        <f t="shared" si="20"/>
        <v>239.02622579969</v>
      </c>
      <c r="AQ50" s="276">
        <f t="shared" si="9"/>
        <v>11.283198974809146</v>
      </c>
      <c r="AR50" s="280" t="str">
        <f t="shared" si="10"/>
        <v>berat</v>
      </c>
      <c r="AU50" s="239">
        <v>1</v>
      </c>
    </row>
    <row r="51" spans="1:50" x14ac:dyDescent="0.2">
      <c r="A51" s="289">
        <v>37</v>
      </c>
      <c r="B51" s="286" t="s">
        <v>24</v>
      </c>
      <c r="C51" s="286" t="s">
        <v>102</v>
      </c>
      <c r="D51" s="290">
        <v>43776</v>
      </c>
      <c r="E51" s="288">
        <v>211</v>
      </c>
      <c r="F51" s="288">
        <v>3.97</v>
      </c>
      <c r="G51" s="288">
        <v>47</v>
      </c>
      <c r="H51" s="288">
        <v>126</v>
      </c>
      <c r="I51" s="288">
        <v>0.16</v>
      </c>
      <c r="J51" s="288">
        <v>5480000</v>
      </c>
      <c r="K51" s="288">
        <v>1.5</v>
      </c>
      <c r="L51" s="288">
        <v>7.64</v>
      </c>
      <c r="M51" s="254">
        <v>50</v>
      </c>
      <c r="N51" s="254">
        <v>4</v>
      </c>
      <c r="O51" s="254">
        <v>3</v>
      </c>
      <c r="P51" s="254">
        <v>25</v>
      </c>
      <c r="Q51" s="254">
        <v>0.2</v>
      </c>
      <c r="R51" s="254">
        <v>1000</v>
      </c>
      <c r="S51" s="254">
        <v>10</v>
      </c>
      <c r="T51" s="254">
        <v>6</v>
      </c>
      <c r="U51" s="254" t="s">
        <v>201</v>
      </c>
      <c r="V51" s="254">
        <v>9</v>
      </c>
      <c r="W51" s="255">
        <f t="shared" si="19"/>
        <v>4.22</v>
      </c>
      <c r="X51" s="255">
        <f t="shared" si="18"/>
        <v>0.2525</v>
      </c>
      <c r="Y51" s="255">
        <f t="shared" si="17"/>
        <v>15.666666666666666</v>
      </c>
      <c r="Z51" s="255">
        <f t="shared" si="17"/>
        <v>5.04</v>
      </c>
      <c r="AA51" s="255">
        <f t="shared" si="17"/>
        <v>0.79999999999999993</v>
      </c>
      <c r="AB51" s="255">
        <f t="shared" si="17"/>
        <v>5480</v>
      </c>
      <c r="AC51" s="255">
        <f t="shared" si="17"/>
        <v>0.15</v>
      </c>
      <c r="AD51" s="255">
        <f t="shared" si="13"/>
        <v>0.10294117647058798</v>
      </c>
      <c r="AE51" s="258">
        <f t="shared" si="14"/>
        <v>4.1265622548083698</v>
      </c>
      <c r="AF51" s="258">
        <f t="shared" si="14"/>
        <v>0.2525</v>
      </c>
      <c r="AG51" s="258">
        <f t="shared" si="14"/>
        <v>6.9748830160802751</v>
      </c>
      <c r="AH51" s="258">
        <f t="shared" si="14"/>
        <v>4.5121526822276268</v>
      </c>
      <c r="AI51" s="258">
        <f t="shared" si="14"/>
        <v>0.79999999999999993</v>
      </c>
      <c r="AJ51" s="258">
        <f t="shared" si="14"/>
        <v>19.693902792421845</v>
      </c>
      <c r="AK51" s="258">
        <f t="shared" si="14"/>
        <v>0.15</v>
      </c>
      <c r="AL51" s="258">
        <f t="shared" si="14"/>
        <v>0.10294117647058798</v>
      </c>
      <c r="AM51" s="273">
        <f t="shared" si="6"/>
        <v>4.5766177402510877</v>
      </c>
      <c r="AN51" s="274">
        <f t="shared" si="7"/>
        <v>19.693902792421845</v>
      </c>
      <c r="AO51" s="275">
        <f t="shared" si="20"/>
        <v>20.945429940380972</v>
      </c>
      <c r="AP51" s="275">
        <f t="shared" si="20"/>
        <v>387.84980719736097</v>
      </c>
      <c r="AQ51" s="276">
        <f t="shared" si="9"/>
        <v>14.296769515134214</v>
      </c>
      <c r="AR51" s="280" t="str">
        <f t="shared" si="10"/>
        <v>berat</v>
      </c>
      <c r="AU51" s="239">
        <v>1</v>
      </c>
    </row>
    <row r="52" spans="1:50" x14ac:dyDescent="0.2">
      <c r="A52" s="267">
        <v>38</v>
      </c>
      <c r="B52" s="286" t="s">
        <v>25</v>
      </c>
      <c r="C52" s="286" t="s">
        <v>103</v>
      </c>
      <c r="D52" s="290">
        <v>43773</v>
      </c>
      <c r="E52" s="288">
        <v>35</v>
      </c>
      <c r="F52" s="288">
        <v>1.03</v>
      </c>
      <c r="G52" s="288">
        <v>59</v>
      </c>
      <c r="H52" s="288">
        <v>151</v>
      </c>
      <c r="I52" s="288">
        <v>0.48</v>
      </c>
      <c r="J52" s="288">
        <v>12033000</v>
      </c>
      <c r="K52" s="288">
        <v>1</v>
      </c>
      <c r="L52" s="288">
        <v>7.49</v>
      </c>
      <c r="M52" s="254">
        <v>50</v>
      </c>
      <c r="N52" s="254">
        <v>4</v>
      </c>
      <c r="O52" s="254">
        <v>3</v>
      </c>
      <c r="P52" s="254">
        <v>25</v>
      </c>
      <c r="Q52" s="254">
        <v>0.2</v>
      </c>
      <c r="R52" s="254">
        <v>1000</v>
      </c>
      <c r="S52" s="254">
        <v>10</v>
      </c>
      <c r="T52" s="254">
        <v>6</v>
      </c>
      <c r="U52" s="254" t="s">
        <v>201</v>
      </c>
      <c r="V52" s="254">
        <v>9</v>
      </c>
      <c r="W52" s="255">
        <f t="shared" si="19"/>
        <v>0.7</v>
      </c>
      <c r="X52" s="255">
        <f t="shared" si="18"/>
        <v>0.4975</v>
      </c>
      <c r="Y52" s="255">
        <f t="shared" si="17"/>
        <v>19.666666666666668</v>
      </c>
      <c r="Z52" s="255">
        <f t="shared" si="17"/>
        <v>6.04</v>
      </c>
      <c r="AA52" s="255">
        <f t="shared" si="17"/>
        <v>2.4</v>
      </c>
      <c r="AB52" s="255">
        <f t="shared" si="17"/>
        <v>12033</v>
      </c>
      <c r="AC52" s="255">
        <f t="shared" si="17"/>
        <v>0.1</v>
      </c>
      <c r="AD52" s="255">
        <f t="shared" si="13"/>
        <v>6.7114093959730102E-3</v>
      </c>
      <c r="AE52" s="258">
        <f t="shared" si="14"/>
        <v>0.7</v>
      </c>
      <c r="AF52" s="258">
        <f t="shared" si="14"/>
        <v>0.4975</v>
      </c>
      <c r="AG52" s="258">
        <f t="shared" si="14"/>
        <v>7.4686537846124095</v>
      </c>
      <c r="AH52" s="258">
        <f t="shared" si="14"/>
        <v>4.9051846931056593</v>
      </c>
      <c r="AI52" s="258">
        <f t="shared" si="14"/>
        <v>2.90105620855803</v>
      </c>
      <c r="AJ52" s="258">
        <f t="shared" si="14"/>
        <v>21.401869583506546</v>
      </c>
      <c r="AK52" s="258">
        <f t="shared" si="14"/>
        <v>0.1</v>
      </c>
      <c r="AL52" s="258">
        <f t="shared" si="14"/>
        <v>6.7114093959730102E-3</v>
      </c>
      <c r="AM52" s="273">
        <f t="shared" si="6"/>
        <v>4.7476219598973275</v>
      </c>
      <c r="AN52" s="274">
        <f t="shared" si="7"/>
        <v>21.401869583506546</v>
      </c>
      <c r="AO52" s="275">
        <f t="shared" si="20"/>
        <v>22.539914274099342</v>
      </c>
      <c r="AP52" s="275">
        <f t="shared" si="20"/>
        <v>458.04002166942263</v>
      </c>
      <c r="AQ52" s="276">
        <f t="shared" si="9"/>
        <v>15.501289235794582</v>
      </c>
      <c r="AR52" s="280" t="str">
        <f t="shared" si="10"/>
        <v>berat</v>
      </c>
      <c r="AU52" s="239">
        <v>1</v>
      </c>
    </row>
    <row r="53" spans="1:50" x14ac:dyDescent="0.2">
      <c r="A53" s="267">
        <v>39</v>
      </c>
      <c r="B53" s="286" t="s">
        <v>26</v>
      </c>
      <c r="C53" s="286" t="s">
        <v>104</v>
      </c>
      <c r="D53" s="291">
        <v>43775</v>
      </c>
      <c r="E53" s="288">
        <v>36</v>
      </c>
      <c r="F53" s="288">
        <v>1.3</v>
      </c>
      <c r="G53" s="288">
        <v>61</v>
      </c>
      <c r="H53" s="288">
        <v>200</v>
      </c>
      <c r="I53" s="288">
        <v>0.3</v>
      </c>
      <c r="J53" s="288">
        <v>21870000</v>
      </c>
      <c r="K53" s="288">
        <v>0.9</v>
      </c>
      <c r="L53" s="288">
        <v>7.6</v>
      </c>
      <c r="M53" s="254">
        <v>50</v>
      </c>
      <c r="N53" s="254">
        <v>4</v>
      </c>
      <c r="O53" s="254">
        <v>3</v>
      </c>
      <c r="P53" s="254">
        <v>25</v>
      </c>
      <c r="Q53" s="254">
        <v>0.2</v>
      </c>
      <c r="R53" s="254">
        <v>1000</v>
      </c>
      <c r="S53" s="254">
        <v>10</v>
      </c>
      <c r="T53" s="254">
        <v>6</v>
      </c>
      <c r="U53" s="254" t="s">
        <v>201</v>
      </c>
      <c r="V53" s="254">
        <v>9</v>
      </c>
      <c r="W53" s="255">
        <f t="shared" si="19"/>
        <v>0.72</v>
      </c>
      <c r="X53" s="255">
        <f t="shared" si="18"/>
        <v>0.47500000000000003</v>
      </c>
      <c r="Y53" s="255">
        <f t="shared" si="17"/>
        <v>20.333333333333332</v>
      </c>
      <c r="Z53" s="255">
        <f t="shared" si="17"/>
        <v>8</v>
      </c>
      <c r="AA53" s="255">
        <f t="shared" si="17"/>
        <v>1.4999999999999998</v>
      </c>
      <c r="AB53" s="255">
        <f t="shared" si="17"/>
        <v>21870</v>
      </c>
      <c r="AC53" s="255">
        <f t="shared" si="17"/>
        <v>0.09</v>
      </c>
      <c r="AD53" s="255">
        <f t="shared" si="13"/>
        <v>7.1428571428571161E-2</v>
      </c>
      <c r="AE53" s="258">
        <f t="shared" si="14"/>
        <v>0.72</v>
      </c>
      <c r="AF53" s="258">
        <f t="shared" si="14"/>
        <v>0.47500000000000003</v>
      </c>
      <c r="AG53" s="258">
        <f t="shared" si="14"/>
        <v>7.5410429014555227</v>
      </c>
      <c r="AH53" s="258">
        <f t="shared" si="14"/>
        <v>5.5154499349597179</v>
      </c>
      <c r="AI53" s="258">
        <f t="shared" si="14"/>
        <v>1.8804562952784059</v>
      </c>
      <c r="AJ53" s="258">
        <f t="shared" si="14"/>
        <v>22.699243915188188</v>
      </c>
      <c r="AK53" s="258">
        <f t="shared" si="14"/>
        <v>0.09</v>
      </c>
      <c r="AL53" s="258">
        <f t="shared" si="14"/>
        <v>7.1428571428571161E-2</v>
      </c>
      <c r="AM53" s="273">
        <f t="shared" si="6"/>
        <v>4.8740777022888011</v>
      </c>
      <c r="AN53" s="274">
        <f t="shared" si="7"/>
        <v>22.699243915188188</v>
      </c>
      <c r="AO53" s="275">
        <f t="shared" si="20"/>
        <v>23.756633447948879</v>
      </c>
      <c r="AP53" s="275">
        <f t="shared" si="20"/>
        <v>515.25567432120795</v>
      </c>
      <c r="AQ53" s="276">
        <f t="shared" si="9"/>
        <v>16.416642588683548</v>
      </c>
      <c r="AR53" s="280" t="str">
        <f t="shared" si="10"/>
        <v>berat</v>
      </c>
      <c r="AU53" s="239">
        <v>1</v>
      </c>
    </row>
    <row r="54" spans="1:50" x14ac:dyDescent="0.2">
      <c r="A54" s="267">
        <v>40</v>
      </c>
      <c r="B54" s="286" t="s">
        <v>33</v>
      </c>
      <c r="C54" s="286" t="s">
        <v>105</v>
      </c>
      <c r="D54" s="291">
        <v>43775</v>
      </c>
      <c r="E54" s="288">
        <v>22</v>
      </c>
      <c r="F54" s="288">
        <v>1</v>
      </c>
      <c r="G54" s="288">
        <v>26</v>
      </c>
      <c r="H54" s="288">
        <v>61</v>
      </c>
      <c r="I54" s="288">
        <v>0.4</v>
      </c>
      <c r="J54" s="288">
        <v>11199000</v>
      </c>
      <c r="K54" s="288">
        <v>1</v>
      </c>
      <c r="L54" s="288">
        <v>7.52</v>
      </c>
      <c r="M54" s="254">
        <v>50</v>
      </c>
      <c r="N54" s="254">
        <v>4</v>
      </c>
      <c r="O54" s="254">
        <v>3</v>
      </c>
      <c r="P54" s="254">
        <v>25</v>
      </c>
      <c r="Q54" s="254">
        <v>0.2</v>
      </c>
      <c r="R54" s="254">
        <v>1000</v>
      </c>
      <c r="S54" s="254">
        <v>10</v>
      </c>
      <c r="T54" s="254">
        <v>6</v>
      </c>
      <c r="U54" s="254" t="s">
        <v>201</v>
      </c>
      <c r="V54" s="254">
        <v>9</v>
      </c>
      <c r="W54" s="255">
        <f t="shared" si="19"/>
        <v>0.44</v>
      </c>
      <c r="X54" s="255">
        <f t="shared" si="18"/>
        <v>0.5</v>
      </c>
      <c r="Y54" s="255">
        <f t="shared" si="17"/>
        <v>8.6666666666666661</v>
      </c>
      <c r="Z54" s="255">
        <f t="shared" si="17"/>
        <v>2.44</v>
      </c>
      <c r="AA54" s="255">
        <f t="shared" si="17"/>
        <v>2</v>
      </c>
      <c r="AB54" s="255">
        <f t="shared" si="17"/>
        <v>11199</v>
      </c>
      <c r="AC54" s="255">
        <f t="shared" si="17"/>
        <v>0.1</v>
      </c>
      <c r="AD54" s="255">
        <f t="shared" si="13"/>
        <v>1.3513513513513221E-2</v>
      </c>
      <c r="AE54" s="258">
        <f t="shared" si="14"/>
        <v>0.44</v>
      </c>
      <c r="AF54" s="258">
        <f t="shared" si="14"/>
        <v>0.5</v>
      </c>
      <c r="AG54" s="258">
        <f t="shared" si="14"/>
        <v>5.6892604662557771</v>
      </c>
      <c r="AH54" s="258">
        <f t="shared" si="14"/>
        <v>2.9369491316936474</v>
      </c>
      <c r="AI54" s="258">
        <f t="shared" si="14"/>
        <v>2.5051499783199063</v>
      </c>
      <c r="AJ54" s="258">
        <f t="shared" si="14"/>
        <v>21.245896223229835</v>
      </c>
      <c r="AK54" s="258">
        <f t="shared" si="14"/>
        <v>0.1</v>
      </c>
      <c r="AL54" s="258">
        <f t="shared" si="14"/>
        <v>1.3513513513513221E-2</v>
      </c>
      <c r="AM54" s="273">
        <f t="shared" si="6"/>
        <v>4.1788461641265853</v>
      </c>
      <c r="AN54" s="274">
        <f t="shared" si="7"/>
        <v>21.245896223229835</v>
      </c>
      <c r="AO54" s="275">
        <f t="shared" si="20"/>
        <v>17.462755263435476</v>
      </c>
      <c r="AP54" s="275">
        <f t="shared" si="20"/>
        <v>451.38810632825175</v>
      </c>
      <c r="AQ54" s="276">
        <f t="shared" si="9"/>
        <v>15.310957866699379</v>
      </c>
      <c r="AR54" s="280" t="str">
        <f t="shared" si="10"/>
        <v>berat</v>
      </c>
      <c r="AU54" s="239">
        <v>1</v>
      </c>
    </row>
    <row r="55" spans="1:50" x14ac:dyDescent="0.2">
      <c r="A55" s="267">
        <v>41</v>
      </c>
      <c r="B55" s="292" t="s">
        <v>34</v>
      </c>
      <c r="C55" s="292" t="s">
        <v>106</v>
      </c>
      <c r="D55" s="291">
        <v>43775</v>
      </c>
      <c r="E55" s="288">
        <v>30</v>
      </c>
      <c r="F55" s="288">
        <v>1.29</v>
      </c>
      <c r="G55" s="288">
        <v>18</v>
      </c>
      <c r="H55" s="288">
        <v>100</v>
      </c>
      <c r="I55" s="288">
        <v>0.3</v>
      </c>
      <c r="J55" s="288">
        <v>4366500</v>
      </c>
      <c r="K55" s="288">
        <v>0.8</v>
      </c>
      <c r="L55" s="288">
        <v>7.63</v>
      </c>
      <c r="M55" s="254">
        <v>50</v>
      </c>
      <c r="N55" s="254">
        <v>4</v>
      </c>
      <c r="O55" s="254">
        <v>3</v>
      </c>
      <c r="P55" s="254">
        <v>25</v>
      </c>
      <c r="Q55" s="254">
        <v>0.2</v>
      </c>
      <c r="R55" s="254">
        <v>1000</v>
      </c>
      <c r="S55" s="254">
        <v>10</v>
      </c>
      <c r="T55" s="254">
        <v>6</v>
      </c>
      <c r="U55" s="254" t="s">
        <v>201</v>
      </c>
      <c r="V55" s="254">
        <v>9</v>
      </c>
      <c r="W55" s="255">
        <f t="shared" si="19"/>
        <v>0.6</v>
      </c>
      <c r="X55" s="255">
        <f t="shared" si="18"/>
        <v>0.47583333333333333</v>
      </c>
      <c r="Y55" s="255">
        <f t="shared" si="17"/>
        <v>6</v>
      </c>
      <c r="Z55" s="255">
        <f t="shared" si="17"/>
        <v>4</v>
      </c>
      <c r="AA55" s="255">
        <f t="shared" si="17"/>
        <v>1.4999999999999998</v>
      </c>
      <c r="AB55" s="255">
        <f t="shared" si="17"/>
        <v>4366.5</v>
      </c>
      <c r="AC55" s="255">
        <f t="shared" si="17"/>
        <v>0.08</v>
      </c>
      <c r="AD55" s="255">
        <f t="shared" si="13"/>
        <v>9.4890510948905021E-2</v>
      </c>
      <c r="AE55" s="258">
        <f t="shared" si="14"/>
        <v>0.6</v>
      </c>
      <c r="AF55" s="258">
        <f t="shared" si="14"/>
        <v>0.47583333333333333</v>
      </c>
      <c r="AG55" s="258">
        <f t="shared" si="14"/>
        <v>4.8907562519182184</v>
      </c>
      <c r="AH55" s="258">
        <f t="shared" si="14"/>
        <v>4.0102999566398125</v>
      </c>
      <c r="AI55" s="258">
        <f t="shared" si="14"/>
        <v>1.8804562952784059</v>
      </c>
      <c r="AJ55" s="258">
        <f t="shared" si="14"/>
        <v>19.200667322472459</v>
      </c>
      <c r="AK55" s="258">
        <f t="shared" si="14"/>
        <v>0.08</v>
      </c>
      <c r="AL55" s="258">
        <f t="shared" si="14"/>
        <v>9.4890510948905021E-2</v>
      </c>
      <c r="AM55" s="273">
        <f t="shared" si="6"/>
        <v>3.9041129588238914</v>
      </c>
      <c r="AN55" s="274">
        <f t="shared" si="7"/>
        <v>19.200667322472459</v>
      </c>
      <c r="AO55" s="275">
        <f t="shared" si="20"/>
        <v>15.242097995256641</v>
      </c>
      <c r="AP55" s="275">
        <f t="shared" si="20"/>
        <v>368.66562562826169</v>
      </c>
      <c r="AQ55" s="276">
        <f t="shared" si="9"/>
        <v>13.854741492058203</v>
      </c>
      <c r="AR55" s="280" t="str">
        <f t="shared" si="10"/>
        <v>berat</v>
      </c>
      <c r="AU55" s="239">
        <v>1</v>
      </c>
    </row>
    <row r="56" spans="1:50" x14ac:dyDescent="0.2">
      <c r="A56" s="267">
        <v>42</v>
      </c>
      <c r="B56" s="292" t="s">
        <v>54</v>
      </c>
      <c r="C56" s="292" t="s">
        <v>107</v>
      </c>
      <c r="D56" s="291">
        <v>43775</v>
      </c>
      <c r="E56" s="288">
        <v>26</v>
      </c>
      <c r="F56" s="288">
        <v>1</v>
      </c>
      <c r="G56" s="288">
        <v>78</v>
      </c>
      <c r="H56" s="288">
        <v>192</v>
      </c>
      <c r="I56" s="288">
        <v>1</v>
      </c>
      <c r="J56" s="288">
        <v>12010000</v>
      </c>
      <c r="K56" s="288">
        <v>1.5</v>
      </c>
      <c r="L56" s="288">
        <v>7.75</v>
      </c>
      <c r="M56" s="254">
        <v>50</v>
      </c>
      <c r="N56" s="254">
        <v>4</v>
      </c>
      <c r="O56" s="254">
        <v>3</v>
      </c>
      <c r="P56" s="254">
        <v>25</v>
      </c>
      <c r="Q56" s="254">
        <v>0.2</v>
      </c>
      <c r="R56" s="254">
        <v>1000</v>
      </c>
      <c r="S56" s="254">
        <v>10</v>
      </c>
      <c r="T56" s="254">
        <v>6</v>
      </c>
      <c r="U56" s="254" t="s">
        <v>201</v>
      </c>
      <c r="V56" s="254">
        <v>9</v>
      </c>
      <c r="W56" s="255">
        <f t="shared" si="19"/>
        <v>0.52</v>
      </c>
      <c r="X56" s="255">
        <f t="shared" si="18"/>
        <v>0.5</v>
      </c>
      <c r="Y56" s="255">
        <f t="shared" si="17"/>
        <v>26</v>
      </c>
      <c r="Z56" s="255">
        <f t="shared" si="17"/>
        <v>7.68</v>
      </c>
      <c r="AA56" s="255">
        <f t="shared" si="17"/>
        <v>5</v>
      </c>
      <c r="AB56" s="255">
        <f t="shared" si="17"/>
        <v>12010</v>
      </c>
      <c r="AC56" s="255">
        <f t="shared" si="17"/>
        <v>0.15</v>
      </c>
      <c r="AD56" s="255">
        <f t="shared" si="13"/>
        <v>0.2</v>
      </c>
      <c r="AE56" s="258">
        <f t="shared" si="14"/>
        <v>0.52</v>
      </c>
      <c r="AF56" s="258">
        <f t="shared" si="14"/>
        <v>0.5</v>
      </c>
      <c r="AG56" s="258">
        <f t="shared" si="14"/>
        <v>8.074866739854091</v>
      </c>
      <c r="AH56" s="258">
        <f t="shared" si="14"/>
        <v>5.4268061001575596</v>
      </c>
      <c r="AI56" s="258">
        <f t="shared" si="14"/>
        <v>4.4948500216800937</v>
      </c>
      <c r="AJ56" s="258">
        <f t="shared" si="14"/>
        <v>21.397715037014528</v>
      </c>
      <c r="AK56" s="258">
        <f t="shared" si="14"/>
        <v>0.15</v>
      </c>
      <c r="AL56" s="258">
        <f t="shared" si="14"/>
        <v>0.2</v>
      </c>
      <c r="AM56" s="273">
        <f t="shared" si="6"/>
        <v>5.0955297373382846</v>
      </c>
      <c r="AN56" s="274">
        <f t="shared" si="7"/>
        <v>21.397715037014528</v>
      </c>
      <c r="AO56" s="275">
        <f t="shared" si="20"/>
        <v>25.964423304098769</v>
      </c>
      <c r="AP56" s="275">
        <f t="shared" si="20"/>
        <v>457.86220880527765</v>
      </c>
      <c r="AQ56" s="276">
        <f t="shared" si="9"/>
        <v>15.553562809037942</v>
      </c>
      <c r="AR56" s="280" t="str">
        <f t="shared" si="10"/>
        <v>berat</v>
      </c>
      <c r="AU56" s="239">
        <v>1</v>
      </c>
    </row>
    <row r="57" spans="1:50" x14ac:dyDescent="0.2">
      <c r="A57" s="267">
        <v>43</v>
      </c>
      <c r="B57" s="292" t="s">
        <v>27</v>
      </c>
      <c r="C57" s="292" t="s">
        <v>108</v>
      </c>
      <c r="D57" s="290">
        <v>43773</v>
      </c>
      <c r="E57" s="288">
        <v>98</v>
      </c>
      <c r="F57" s="288">
        <v>6.19</v>
      </c>
      <c r="G57" s="288">
        <v>22</v>
      </c>
      <c r="H57" s="288">
        <v>50</v>
      </c>
      <c r="I57" s="288">
        <v>0.22</v>
      </c>
      <c r="J57" s="288">
        <v>3076000</v>
      </c>
      <c r="K57" s="288">
        <v>3.6</v>
      </c>
      <c r="L57" s="288">
        <v>7.43</v>
      </c>
      <c r="M57" s="254">
        <v>50</v>
      </c>
      <c r="N57" s="254">
        <v>4</v>
      </c>
      <c r="O57" s="254">
        <v>3</v>
      </c>
      <c r="P57" s="254">
        <v>25</v>
      </c>
      <c r="Q57" s="254">
        <v>0.2</v>
      </c>
      <c r="R57" s="254">
        <v>1000</v>
      </c>
      <c r="S57" s="254">
        <v>10</v>
      </c>
      <c r="T57" s="254">
        <v>6</v>
      </c>
      <c r="U57" s="254" t="s">
        <v>201</v>
      </c>
      <c r="V57" s="254">
        <v>9</v>
      </c>
      <c r="W57" s="255">
        <f t="shared" si="19"/>
        <v>1.96</v>
      </c>
      <c r="X57" s="255">
        <f t="shared" si="18"/>
        <v>6.7499999999999963E-2</v>
      </c>
      <c r="Y57" s="255">
        <f t="shared" si="17"/>
        <v>7.333333333333333</v>
      </c>
      <c r="Z57" s="255">
        <f t="shared" si="17"/>
        <v>2</v>
      </c>
      <c r="AA57" s="255">
        <f t="shared" si="17"/>
        <v>1.0999999999999999</v>
      </c>
      <c r="AB57" s="255">
        <f t="shared" si="17"/>
        <v>3076</v>
      </c>
      <c r="AC57" s="255">
        <f t="shared" si="17"/>
        <v>0.36</v>
      </c>
      <c r="AD57" s="255">
        <f t="shared" si="13"/>
        <v>4.895104895104916E-2</v>
      </c>
      <c r="AE57" s="258">
        <f t="shared" si="14"/>
        <v>2.46128035678238</v>
      </c>
      <c r="AF57" s="258">
        <f t="shared" si="14"/>
        <v>6.7499999999999963E-2</v>
      </c>
      <c r="AG57" s="258">
        <f t="shared" si="14"/>
        <v>5.3265071305127192</v>
      </c>
      <c r="AH57" s="258">
        <f t="shared" si="14"/>
        <v>2.5051499783199063</v>
      </c>
      <c r="AI57" s="258">
        <f t="shared" si="14"/>
        <v>1.206963425791125</v>
      </c>
      <c r="AJ57" s="258">
        <f t="shared" si="14"/>
        <v>18.439931655646966</v>
      </c>
      <c r="AK57" s="258">
        <f t="shared" si="14"/>
        <v>0.36</v>
      </c>
      <c r="AL57" s="258">
        <f t="shared" si="14"/>
        <v>4.895104895104916E-2</v>
      </c>
      <c r="AM57" s="273">
        <f t="shared" si="6"/>
        <v>3.8020354495005182</v>
      </c>
      <c r="AN57" s="274">
        <f t="shared" si="7"/>
        <v>18.439931655646966</v>
      </c>
      <c r="AO57" s="275">
        <f t="shared" si="20"/>
        <v>14.455473559258607</v>
      </c>
      <c r="AP57" s="275">
        <f t="shared" si="20"/>
        <v>340.03107946493105</v>
      </c>
      <c r="AQ57" s="276">
        <f t="shared" si="9"/>
        <v>13.313274447411306</v>
      </c>
      <c r="AR57" s="280" t="str">
        <f t="shared" si="10"/>
        <v>berat</v>
      </c>
      <c r="AU57" s="239">
        <v>1</v>
      </c>
    </row>
    <row r="58" spans="1:50" x14ac:dyDescent="0.2">
      <c r="A58" s="267">
        <v>44</v>
      </c>
      <c r="B58" s="292" t="s">
        <v>28</v>
      </c>
      <c r="C58" s="292" t="s">
        <v>109</v>
      </c>
      <c r="D58" s="290">
        <v>43773</v>
      </c>
      <c r="E58" s="288">
        <v>72</v>
      </c>
      <c r="F58" s="288">
        <v>5.53</v>
      </c>
      <c r="G58" s="288">
        <v>39</v>
      </c>
      <c r="H58" s="288">
        <v>92</v>
      </c>
      <c r="I58" s="288">
        <v>0.16</v>
      </c>
      <c r="J58" s="288">
        <v>5475000</v>
      </c>
      <c r="K58" s="288">
        <v>2.5</v>
      </c>
      <c r="L58" s="288">
        <v>7.43</v>
      </c>
      <c r="M58" s="254">
        <v>50</v>
      </c>
      <c r="N58" s="254">
        <v>4</v>
      </c>
      <c r="O58" s="254">
        <v>3</v>
      </c>
      <c r="P58" s="254">
        <v>25</v>
      </c>
      <c r="Q58" s="254">
        <v>0.2</v>
      </c>
      <c r="R58" s="254">
        <v>1000</v>
      </c>
      <c r="S58" s="254">
        <v>10</v>
      </c>
      <c r="T58" s="254">
        <v>6</v>
      </c>
      <c r="U58" s="254" t="s">
        <v>201</v>
      </c>
      <c r="V58" s="254">
        <v>9</v>
      </c>
      <c r="W58" s="255">
        <f t="shared" si="19"/>
        <v>1.44</v>
      </c>
      <c r="X58" s="255">
        <f t="shared" si="18"/>
        <v>0.12249999999999998</v>
      </c>
      <c r="Y58" s="255">
        <f t="shared" si="17"/>
        <v>13</v>
      </c>
      <c r="Z58" s="255">
        <f t="shared" si="17"/>
        <v>3.68</v>
      </c>
      <c r="AA58" s="255">
        <f t="shared" si="17"/>
        <v>0.79999999999999993</v>
      </c>
      <c r="AB58" s="255">
        <f t="shared" si="17"/>
        <v>5475</v>
      </c>
      <c r="AC58" s="255">
        <f t="shared" si="17"/>
        <v>0.25</v>
      </c>
      <c r="AD58" s="255">
        <f t="shared" si="13"/>
        <v>4.895104895104916E-2</v>
      </c>
      <c r="AE58" s="258">
        <f t="shared" si="14"/>
        <v>1.7918124604762482</v>
      </c>
      <c r="AF58" s="258">
        <f t="shared" si="14"/>
        <v>0.12249999999999998</v>
      </c>
      <c r="AG58" s="258">
        <f t="shared" si="14"/>
        <v>6.5697167615341838</v>
      </c>
      <c r="AH58" s="258">
        <f t="shared" si="14"/>
        <v>3.8292390933675882</v>
      </c>
      <c r="AI58" s="258">
        <f t="shared" si="14"/>
        <v>0.79999999999999993</v>
      </c>
      <c r="AJ58" s="258">
        <f t="shared" si="14"/>
        <v>19.691920617560779</v>
      </c>
      <c r="AK58" s="258">
        <f t="shared" si="14"/>
        <v>0.25</v>
      </c>
      <c r="AL58" s="258">
        <f t="shared" si="14"/>
        <v>4.895104895104916E-2</v>
      </c>
      <c r="AM58" s="273">
        <f t="shared" si="6"/>
        <v>4.1380174977362314</v>
      </c>
      <c r="AN58" s="274">
        <f t="shared" si="7"/>
        <v>19.691920617560779</v>
      </c>
      <c r="AO58" s="275">
        <f t="shared" si="20"/>
        <v>17.123188811571222</v>
      </c>
      <c r="AP58" s="275">
        <f t="shared" si="20"/>
        <v>387.77173760831528</v>
      </c>
      <c r="AQ58" s="276">
        <f t="shared" si="9"/>
        <v>14.228403396373862</v>
      </c>
      <c r="AR58" s="280" t="str">
        <f t="shared" si="10"/>
        <v>berat</v>
      </c>
      <c r="AU58" s="239">
        <v>1</v>
      </c>
    </row>
    <row r="59" spans="1:50" x14ac:dyDescent="0.2">
      <c r="A59" s="267">
        <v>45</v>
      </c>
      <c r="B59" s="292" t="s">
        <v>29</v>
      </c>
      <c r="C59" s="292" t="s">
        <v>113</v>
      </c>
      <c r="D59" s="290">
        <v>43773</v>
      </c>
      <c r="E59" s="288">
        <v>57</v>
      </c>
      <c r="F59" s="288">
        <v>4.3099999999999996</v>
      </c>
      <c r="G59" s="288">
        <v>21</v>
      </c>
      <c r="H59" s="288">
        <v>73</v>
      </c>
      <c r="I59" s="288">
        <v>0.16</v>
      </c>
      <c r="J59" s="288">
        <v>1455000</v>
      </c>
      <c r="K59" s="288">
        <v>3.5</v>
      </c>
      <c r="L59" s="288">
        <v>7.37</v>
      </c>
      <c r="M59" s="254">
        <v>50</v>
      </c>
      <c r="N59" s="254">
        <v>4</v>
      </c>
      <c r="O59" s="254">
        <v>3</v>
      </c>
      <c r="P59" s="254">
        <v>25</v>
      </c>
      <c r="Q59" s="254">
        <v>0.2</v>
      </c>
      <c r="R59" s="254">
        <v>1000</v>
      </c>
      <c r="S59" s="254">
        <v>10</v>
      </c>
      <c r="T59" s="254">
        <v>6</v>
      </c>
      <c r="U59" s="254" t="s">
        <v>201</v>
      </c>
      <c r="V59" s="254">
        <v>9</v>
      </c>
      <c r="W59" s="255">
        <f t="shared" si="19"/>
        <v>1.1399999999999999</v>
      </c>
      <c r="X59" s="255">
        <f t="shared" si="18"/>
        <v>0.22416666666666671</v>
      </c>
      <c r="Y59" s="255">
        <f t="shared" si="17"/>
        <v>7</v>
      </c>
      <c r="Z59" s="255">
        <f t="shared" si="17"/>
        <v>2.92</v>
      </c>
      <c r="AA59" s="255">
        <f t="shared" si="17"/>
        <v>0.79999999999999993</v>
      </c>
      <c r="AB59" s="255">
        <f t="shared" si="17"/>
        <v>1455</v>
      </c>
      <c r="AC59" s="255">
        <f t="shared" si="17"/>
        <v>0.35</v>
      </c>
      <c r="AD59" s="255">
        <f t="shared" si="13"/>
        <v>9.4890510948905021E-2</v>
      </c>
      <c r="AE59" s="258">
        <f t="shared" si="14"/>
        <v>1.2845242566823627</v>
      </c>
      <c r="AF59" s="258">
        <f t="shared" si="14"/>
        <v>0.22416666666666671</v>
      </c>
      <c r="AG59" s="258">
        <f t="shared" si="14"/>
        <v>5.2254902000712837</v>
      </c>
      <c r="AH59" s="258">
        <f t="shared" si="14"/>
        <v>3.3269142572420916</v>
      </c>
      <c r="AI59" s="258">
        <f t="shared" si="14"/>
        <v>0.79999999999999993</v>
      </c>
      <c r="AJ59" s="258">
        <f t="shared" si="14"/>
        <v>16.814314966609629</v>
      </c>
      <c r="AK59" s="258">
        <f t="shared" si="14"/>
        <v>0.35</v>
      </c>
      <c r="AL59" s="258">
        <f t="shared" si="14"/>
        <v>9.4890510948905021E-2</v>
      </c>
      <c r="AM59" s="273">
        <f t="shared" si="6"/>
        <v>3.5150376072776175</v>
      </c>
      <c r="AN59" s="274">
        <f t="shared" si="7"/>
        <v>16.814314966609629</v>
      </c>
      <c r="AO59" s="275">
        <f t="shared" si="20"/>
        <v>12.355489380575959</v>
      </c>
      <c r="AP59" s="275">
        <f t="shared" si="20"/>
        <v>282.72118779635258</v>
      </c>
      <c r="AQ59" s="276">
        <f t="shared" si="9"/>
        <v>12.146536073649321</v>
      </c>
      <c r="AR59" s="280" t="str">
        <f t="shared" si="10"/>
        <v>berat</v>
      </c>
      <c r="AU59" s="239">
        <v>1</v>
      </c>
    </row>
    <row r="60" spans="1:50" x14ac:dyDescent="0.2">
      <c r="AQ60" s="281">
        <f>MAX(AQ12:AQ59)</f>
        <v>17.568221975893319</v>
      </c>
      <c r="AR60" s="237" t="str">
        <f t="shared" si="10"/>
        <v>berat</v>
      </c>
      <c r="AT60" s="237" t="s">
        <v>202</v>
      </c>
      <c r="AU60" s="239">
        <f>SUM(AU13:AU59)</f>
        <v>39</v>
      </c>
      <c r="AV60" s="240">
        <f>SUM(AV13:AV59)</f>
        <v>5</v>
      </c>
      <c r="AW60" s="241">
        <f>SUM(AW13:AW59)</f>
        <v>1</v>
      </c>
      <c r="AX60" s="242">
        <f>SUM(AX13:AX59)</f>
        <v>0</v>
      </c>
    </row>
    <row r="62" spans="1:50" x14ac:dyDescent="0.2">
      <c r="A62" s="244" t="s">
        <v>37</v>
      </c>
      <c r="B62" s="237" t="s">
        <v>203</v>
      </c>
    </row>
    <row r="63" spans="1:50" x14ac:dyDescent="0.2">
      <c r="A63" s="244" t="s">
        <v>39</v>
      </c>
      <c r="B63" s="237" t="s">
        <v>204</v>
      </c>
    </row>
    <row r="65" spans="1:6" x14ac:dyDescent="0.2">
      <c r="A65" s="293" t="s">
        <v>41</v>
      </c>
      <c r="B65" s="294" t="s">
        <v>205</v>
      </c>
      <c r="D65" s="295"/>
    </row>
    <row r="66" spans="1:6" x14ac:dyDescent="0.2">
      <c r="B66" s="296" t="s">
        <v>43</v>
      </c>
      <c r="C66" s="297" t="s">
        <v>44</v>
      </c>
      <c r="D66" s="297" t="s">
        <v>45</v>
      </c>
      <c r="E66" s="297" t="s">
        <v>46</v>
      </c>
      <c r="F66" s="297" t="s">
        <v>47</v>
      </c>
    </row>
    <row r="67" spans="1:6" x14ac:dyDescent="0.2">
      <c r="B67" s="298" t="s">
        <v>206</v>
      </c>
      <c r="C67" s="298">
        <v>0</v>
      </c>
      <c r="D67" s="299">
        <f>C67/C71</f>
        <v>0</v>
      </c>
      <c r="E67" s="267">
        <v>70</v>
      </c>
      <c r="F67" s="300">
        <f>E67*D67</f>
        <v>0</v>
      </c>
    </row>
    <row r="68" spans="1:6" x14ac:dyDescent="0.2">
      <c r="B68" s="301" t="s">
        <v>49</v>
      </c>
      <c r="C68" s="301">
        <v>1</v>
      </c>
      <c r="D68" s="302">
        <f>C68/C71</f>
        <v>2.2222222222222223E-2</v>
      </c>
      <c r="E68" s="267">
        <v>50</v>
      </c>
      <c r="F68" s="300">
        <f>D68*E68</f>
        <v>1.1111111111111112</v>
      </c>
    </row>
    <row r="69" spans="1:6" x14ac:dyDescent="0.2">
      <c r="B69" s="303" t="s">
        <v>50</v>
      </c>
      <c r="C69" s="303">
        <v>5</v>
      </c>
      <c r="D69" s="304">
        <f>C69/C71</f>
        <v>0.1111111111111111</v>
      </c>
      <c r="E69" s="267">
        <v>30</v>
      </c>
      <c r="F69" s="300">
        <f>E69*D69</f>
        <v>3.333333333333333</v>
      </c>
    </row>
    <row r="70" spans="1:6" x14ac:dyDescent="0.2">
      <c r="B70" s="305" t="s">
        <v>51</v>
      </c>
      <c r="C70" s="305">
        <v>39</v>
      </c>
      <c r="D70" s="306">
        <f>C70/C71</f>
        <v>0.8666666666666667</v>
      </c>
      <c r="E70" s="267">
        <v>10</v>
      </c>
      <c r="F70" s="300">
        <f>E70*D70</f>
        <v>8.6666666666666679</v>
      </c>
    </row>
    <row r="71" spans="1:6" x14ac:dyDescent="0.2">
      <c r="B71" s="267"/>
      <c r="C71" s="267">
        <f>SUM(C67:C70)</f>
        <v>45</v>
      </c>
      <c r="D71" s="307"/>
      <c r="E71" s="267"/>
      <c r="F71" s="308"/>
    </row>
    <row r="72" spans="1:6" x14ac:dyDescent="0.2">
      <c r="B72" s="292" t="s">
        <v>207</v>
      </c>
      <c r="C72" s="309"/>
      <c r="D72" s="309"/>
      <c r="E72" s="309"/>
      <c r="F72" s="310">
        <f>SUM(F67:F71)</f>
        <v>13.111111111111112</v>
      </c>
    </row>
  </sheetData>
  <mergeCells count="10">
    <mergeCell ref="W10:AD10"/>
    <mergeCell ref="AE10:AL10"/>
    <mergeCell ref="AR10:AR11"/>
    <mergeCell ref="T11:V11"/>
    <mergeCell ref="A10:A11"/>
    <mergeCell ref="B10:B11"/>
    <mergeCell ref="C10:C11"/>
    <mergeCell ref="D10:D11"/>
    <mergeCell ref="E10:L10"/>
    <mergeCell ref="M10:V10"/>
  </mergeCells>
  <pageMargins left="0.25" right="0.2" top="1.26" bottom="0.75" header="0.3" footer="0.3"/>
  <pageSetup paperSize="256" scale="55" orientation="landscape" horizontalDpi="4294967293" verticalDpi="4294967293"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3:R39"/>
  <sheetViews>
    <sheetView showGridLines="0" topLeftCell="C1" zoomScale="145" zoomScaleNormal="145" zoomScaleSheetLayoutView="145" workbookViewId="0">
      <selection activeCell="L4" sqref="L4"/>
    </sheetView>
  </sheetViews>
  <sheetFormatPr defaultColWidth="9.140625" defaultRowHeight="15" x14ac:dyDescent="0.25"/>
  <cols>
    <col min="1" max="1" width="3.42578125" style="39" bestFit="1" customWidth="1"/>
    <col min="2" max="2" width="9.140625" style="39"/>
    <col min="3" max="3" width="17.28515625" style="39" customWidth="1"/>
    <col min="4" max="4" width="19.42578125" style="39" customWidth="1"/>
    <col min="5" max="5" width="30.7109375" style="39" customWidth="1"/>
    <col min="6" max="6" width="9.140625" style="39"/>
    <col min="7" max="7" width="9.140625" style="39" customWidth="1"/>
    <col min="8" max="16384" width="9.140625" style="39"/>
  </cols>
  <sheetData>
    <row r="3" spans="1:13" ht="51" x14ac:dyDescent="0.35">
      <c r="A3" s="506" t="s">
        <v>4</v>
      </c>
      <c r="B3" s="506" t="s">
        <v>90</v>
      </c>
      <c r="C3" s="506" t="s">
        <v>89</v>
      </c>
      <c r="D3" s="507" t="s">
        <v>88</v>
      </c>
      <c r="E3" s="511" t="s">
        <v>250</v>
      </c>
      <c r="F3" s="337" t="s">
        <v>87</v>
      </c>
      <c r="G3" s="337" t="s">
        <v>86</v>
      </c>
      <c r="H3" s="337" t="s">
        <v>85</v>
      </c>
      <c r="I3" s="52" t="s">
        <v>84</v>
      </c>
      <c r="J3" s="337" t="s">
        <v>83</v>
      </c>
      <c r="K3" s="337" t="s">
        <v>82</v>
      </c>
      <c r="L3" s="337" t="s">
        <v>81</v>
      </c>
      <c r="M3" s="50" t="s">
        <v>80</v>
      </c>
    </row>
    <row r="4" spans="1:13" ht="39.75" customHeight="1" x14ac:dyDescent="0.25">
      <c r="A4" s="506"/>
      <c r="B4" s="506"/>
      <c r="C4" s="506"/>
      <c r="D4" s="507"/>
      <c r="E4" s="512"/>
      <c r="F4" s="48" t="s">
        <v>79</v>
      </c>
      <c r="G4" s="48" t="s">
        <v>79</v>
      </c>
      <c r="H4" s="48" t="s">
        <v>79</v>
      </c>
      <c r="I4" s="48" t="s">
        <v>79</v>
      </c>
      <c r="J4" s="48" t="s">
        <v>79</v>
      </c>
      <c r="K4" s="48" t="s">
        <v>79</v>
      </c>
      <c r="L4" s="47" t="s">
        <v>78</v>
      </c>
      <c r="M4" s="46" t="s">
        <v>78</v>
      </c>
    </row>
    <row r="5" spans="1:13" ht="16.5" x14ac:dyDescent="0.3">
      <c r="A5" s="508">
        <v>1</v>
      </c>
      <c r="B5" s="509" t="s">
        <v>77</v>
      </c>
      <c r="C5" s="509" t="s">
        <v>76</v>
      </c>
      <c r="D5" s="338" t="s">
        <v>75</v>
      </c>
      <c r="E5" s="338" t="s">
        <v>242</v>
      </c>
      <c r="F5" s="313">
        <v>8.52</v>
      </c>
      <c r="G5" s="313">
        <v>13.22</v>
      </c>
      <c r="H5" s="313">
        <v>36.5</v>
      </c>
      <c r="I5" s="313">
        <v>16.62</v>
      </c>
      <c r="J5" s="45">
        <f>AVERAGE(F5:G12)</f>
        <v>15.223125000000001</v>
      </c>
      <c r="K5" s="45">
        <f>AVERAGE(H5:I12)</f>
        <v>22.321874999999999</v>
      </c>
      <c r="L5" s="44">
        <f>((J5/20)+(K5/40))/2</f>
        <v>0.65960156250000002</v>
      </c>
      <c r="M5" s="43">
        <f>100-(50/0.9*(L5-0.1))</f>
        <v>68.911024305555557</v>
      </c>
    </row>
    <row r="6" spans="1:13" ht="16.5" x14ac:dyDescent="0.3">
      <c r="A6" s="508"/>
      <c r="B6" s="509"/>
      <c r="C6" s="509"/>
      <c r="D6" s="338" t="s">
        <v>241</v>
      </c>
      <c r="E6" s="338" t="s">
        <v>298</v>
      </c>
      <c r="F6" s="313">
        <v>29.7</v>
      </c>
      <c r="G6" s="313">
        <v>31.18</v>
      </c>
      <c r="H6" s="313">
        <v>31.6</v>
      </c>
      <c r="I6" s="313">
        <v>27.38</v>
      </c>
      <c r="J6" s="505"/>
      <c r="K6" s="505"/>
      <c r="L6" s="505"/>
      <c r="M6" s="505"/>
    </row>
    <row r="7" spans="1:13" ht="16.5" x14ac:dyDescent="0.3">
      <c r="A7" s="508"/>
      <c r="B7" s="509"/>
      <c r="C7" s="509"/>
      <c r="D7" s="338" t="s">
        <v>73</v>
      </c>
      <c r="E7" s="338" t="s">
        <v>244</v>
      </c>
      <c r="F7" s="313">
        <v>4.0599999999999996</v>
      </c>
      <c r="G7" s="313">
        <v>10.65</v>
      </c>
      <c r="H7" s="313">
        <v>10.9</v>
      </c>
      <c r="I7" s="313">
        <v>11.44</v>
      </c>
      <c r="J7" s="505"/>
      <c r="K7" s="505"/>
      <c r="L7" s="505"/>
      <c r="M7" s="505"/>
    </row>
    <row r="8" spans="1:13" ht="17.25" thickBot="1" x14ac:dyDescent="0.35">
      <c r="A8" s="508"/>
      <c r="B8" s="509"/>
      <c r="C8" s="509"/>
      <c r="D8" s="341" t="s">
        <v>72</v>
      </c>
      <c r="E8" s="341" t="s">
        <v>245</v>
      </c>
      <c r="F8" s="342">
        <v>8.77</v>
      </c>
      <c r="G8" s="342">
        <v>8.33</v>
      </c>
      <c r="H8" s="342">
        <v>19.899999999999999</v>
      </c>
      <c r="I8" s="342">
        <v>25.61</v>
      </c>
      <c r="J8" s="505"/>
      <c r="K8" s="505"/>
      <c r="L8" s="505"/>
      <c r="M8" s="505"/>
    </row>
    <row r="9" spans="1:13" ht="16.5" x14ac:dyDescent="0.3">
      <c r="A9" s="508"/>
      <c r="B9" s="509"/>
      <c r="C9" s="509"/>
      <c r="D9" s="339" t="s">
        <v>75</v>
      </c>
      <c r="E9" s="339" t="s">
        <v>246</v>
      </c>
      <c r="F9" s="340">
        <v>9.5500000000000007</v>
      </c>
      <c r="G9" s="340">
        <v>12.65</v>
      </c>
      <c r="H9" s="340">
        <v>23.3</v>
      </c>
      <c r="I9" s="340">
        <v>20.99</v>
      </c>
      <c r="J9" s="505"/>
      <c r="K9" s="505"/>
      <c r="L9" s="505"/>
      <c r="M9" s="505"/>
    </row>
    <row r="10" spans="1:13" ht="16.5" x14ac:dyDescent="0.3">
      <c r="A10" s="508"/>
      <c r="B10" s="509"/>
      <c r="C10" s="509"/>
      <c r="D10" s="338" t="s">
        <v>241</v>
      </c>
      <c r="E10" s="350" t="s">
        <v>299</v>
      </c>
      <c r="F10" s="313">
        <v>20.420000000000002</v>
      </c>
      <c r="G10" s="313">
        <v>27.91</v>
      </c>
      <c r="H10" s="313">
        <v>23</v>
      </c>
      <c r="I10" s="313">
        <v>22.24</v>
      </c>
      <c r="J10" s="505"/>
      <c r="K10" s="505"/>
      <c r="L10" s="505"/>
      <c r="M10" s="505"/>
    </row>
    <row r="11" spans="1:13" ht="16.5" x14ac:dyDescent="0.3">
      <c r="A11" s="508"/>
      <c r="B11" s="509"/>
      <c r="C11" s="509"/>
      <c r="D11" s="338" t="s">
        <v>73</v>
      </c>
      <c r="E11" s="338" t="s">
        <v>248</v>
      </c>
      <c r="F11" s="313">
        <v>25.3</v>
      </c>
      <c r="G11" s="313">
        <v>10.96</v>
      </c>
      <c r="H11" s="313">
        <v>13.67</v>
      </c>
      <c r="I11" s="313">
        <v>28.33</v>
      </c>
      <c r="J11" s="505"/>
      <c r="K11" s="505"/>
      <c r="L11" s="505"/>
      <c r="M11" s="505"/>
    </row>
    <row r="12" spans="1:13" ht="16.5" x14ac:dyDescent="0.3">
      <c r="A12" s="508"/>
      <c r="B12" s="509"/>
      <c r="C12" s="509"/>
      <c r="D12" s="338" t="s">
        <v>72</v>
      </c>
      <c r="E12" s="338" t="s">
        <v>300</v>
      </c>
      <c r="F12" s="313">
        <v>9.81</v>
      </c>
      <c r="G12" s="313">
        <v>12.54</v>
      </c>
      <c r="H12" s="313">
        <v>21.4</v>
      </c>
      <c r="I12" s="313">
        <v>24.27</v>
      </c>
      <c r="J12" s="505"/>
      <c r="K12" s="505"/>
      <c r="L12" s="505"/>
      <c r="M12" s="505"/>
    </row>
    <row r="13" spans="1:13" ht="16.5" x14ac:dyDescent="0.3">
      <c r="A13" s="336" t="s">
        <v>239</v>
      </c>
      <c r="B13" s="40"/>
      <c r="D13" s="40"/>
      <c r="E13" s="40"/>
      <c r="F13" s="40"/>
      <c r="G13" s="40"/>
      <c r="H13" s="40"/>
      <c r="I13" s="40"/>
    </row>
    <row r="14" spans="1:13" ht="16.5" x14ac:dyDescent="0.3">
      <c r="A14" s="336" t="s">
        <v>240</v>
      </c>
      <c r="B14" s="40"/>
      <c r="D14" s="40"/>
      <c r="E14" s="40"/>
      <c r="F14" s="40"/>
      <c r="G14" s="40"/>
      <c r="H14" s="40"/>
      <c r="I14" s="40"/>
    </row>
    <row r="15" spans="1:13" ht="16.5" x14ac:dyDescent="0.3">
      <c r="A15" s="351" t="s">
        <v>296</v>
      </c>
      <c r="B15" s="40"/>
      <c r="C15" s="40"/>
      <c r="D15" s="40"/>
      <c r="E15" s="40"/>
      <c r="F15" s="40"/>
      <c r="G15" s="40"/>
      <c r="H15" s="40"/>
      <c r="I15" s="40"/>
    </row>
    <row r="16" spans="1:13" x14ac:dyDescent="0.25">
      <c r="A16" s="351" t="s">
        <v>297</v>
      </c>
    </row>
    <row r="39" spans="18:18" x14ac:dyDescent="0.25">
      <c r="R39" s="99" t="s">
        <v>115</v>
      </c>
    </row>
  </sheetData>
  <mergeCells count="9">
    <mergeCell ref="J6:M12"/>
    <mergeCell ref="A3:A4"/>
    <mergeCell ref="B3:B4"/>
    <mergeCell ref="C3:C4"/>
    <mergeCell ref="D3:D4"/>
    <mergeCell ref="E3:E4"/>
    <mergeCell ref="A5:A12"/>
    <mergeCell ref="B5:B12"/>
    <mergeCell ref="C5:C12"/>
  </mergeCells>
  <pageMargins left="0.7" right="0.7" top="0.75" bottom="0.75" header="0.3" footer="0.3"/>
  <pageSetup paperSize="10000" scale="68"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9"/>
  <sheetViews>
    <sheetView topLeftCell="A10" workbookViewId="0">
      <selection activeCell="I30" sqref="I30:I35"/>
    </sheetView>
  </sheetViews>
  <sheetFormatPr defaultColWidth="8.7109375" defaultRowHeight="15" x14ac:dyDescent="0.25"/>
  <cols>
    <col min="2" max="2" width="18.140625" customWidth="1"/>
    <col min="3" max="3" width="24.7109375" customWidth="1"/>
    <col min="4" max="4" width="20.7109375" customWidth="1"/>
    <col min="5" max="5" width="17.7109375" customWidth="1"/>
    <col min="6" max="6" width="17.7109375" style="149" customWidth="1"/>
    <col min="7" max="7" width="14.28515625" customWidth="1"/>
    <col min="8" max="8" width="16.140625" customWidth="1"/>
    <col min="9" max="9" width="21.140625" customWidth="1"/>
  </cols>
  <sheetData>
    <row r="4" spans="2:7" x14ac:dyDescent="0.25">
      <c r="B4" t="s">
        <v>120</v>
      </c>
      <c r="C4" t="s">
        <v>121</v>
      </c>
      <c r="D4" t="s">
        <v>123</v>
      </c>
      <c r="E4" t="s">
        <v>125</v>
      </c>
    </row>
    <row r="5" spans="2:7" x14ac:dyDescent="0.25">
      <c r="B5" t="s">
        <v>122</v>
      </c>
      <c r="C5" t="s">
        <v>122</v>
      </c>
      <c r="D5" t="s">
        <v>124</v>
      </c>
    </row>
    <row r="6" spans="2:7" x14ac:dyDescent="0.25">
      <c r="B6">
        <v>334.51</v>
      </c>
      <c r="C6">
        <v>72.683999999999997</v>
      </c>
      <c r="D6" s="107">
        <f>C6/B6</f>
        <v>0.21728498400645721</v>
      </c>
      <c r="G6">
        <f>100 - (21.73)</f>
        <v>78.27</v>
      </c>
    </row>
    <row r="10" spans="2:7" ht="52.5" customHeight="1" x14ac:dyDescent="0.25">
      <c r="B10" s="504" t="s">
        <v>142</v>
      </c>
      <c r="C10" s="504"/>
      <c r="D10" s="504"/>
      <c r="E10" s="504"/>
      <c r="F10" s="150"/>
    </row>
    <row r="11" spans="2:7" ht="15.75" x14ac:dyDescent="0.25">
      <c r="B11" s="504" t="s">
        <v>133</v>
      </c>
      <c r="C11" s="504"/>
      <c r="D11" s="504"/>
      <c r="E11" s="504"/>
      <c r="F11" s="150"/>
    </row>
    <row r="12" spans="2:7" ht="15.75" x14ac:dyDescent="0.25">
      <c r="B12" s="504" t="s">
        <v>134</v>
      </c>
      <c r="C12" s="504"/>
      <c r="D12" s="504"/>
      <c r="E12" s="504"/>
      <c r="F12" s="150"/>
    </row>
    <row r="13" spans="2:7" ht="15.75" x14ac:dyDescent="0.25">
      <c r="B13" s="504" t="s">
        <v>135</v>
      </c>
      <c r="C13" s="504"/>
      <c r="D13" s="504"/>
      <c r="E13" s="504"/>
      <c r="F13" s="150"/>
    </row>
    <row r="14" spans="2:7" ht="15.75" x14ac:dyDescent="0.25">
      <c r="B14" s="504" t="s">
        <v>136</v>
      </c>
      <c r="C14" s="504"/>
      <c r="D14" s="504"/>
      <c r="E14" s="504"/>
      <c r="F14" s="150"/>
    </row>
    <row r="15" spans="2:7" ht="15.75" x14ac:dyDescent="0.25">
      <c r="B15" s="504" t="s">
        <v>137</v>
      </c>
      <c r="C15" s="504"/>
      <c r="D15" s="504"/>
      <c r="E15" s="504"/>
      <c r="F15" s="150"/>
    </row>
    <row r="16" spans="2:7" ht="15.75" x14ac:dyDescent="0.25">
      <c r="B16" s="504" t="s">
        <v>138</v>
      </c>
      <c r="C16" s="504"/>
      <c r="D16" s="504"/>
      <c r="E16" s="504"/>
      <c r="F16" s="150"/>
    </row>
    <row r="17" spans="1:11" ht="32.25" customHeight="1" x14ac:dyDescent="0.25">
      <c r="B17" s="504" t="s">
        <v>139</v>
      </c>
      <c r="C17" s="504"/>
      <c r="D17" s="504"/>
      <c r="E17" s="504"/>
      <c r="F17" s="150"/>
    </row>
    <row r="18" spans="1:11" ht="15.75" x14ac:dyDescent="0.25">
      <c r="B18" s="504" t="s">
        <v>140</v>
      </c>
      <c r="C18" s="504"/>
      <c r="D18" s="504"/>
      <c r="E18" s="504"/>
      <c r="F18" s="150"/>
    </row>
    <row r="19" spans="1:11" ht="15.75" x14ac:dyDescent="0.25">
      <c r="B19" s="504" t="s">
        <v>141</v>
      </c>
      <c r="C19" s="504"/>
      <c r="D19" s="504"/>
      <c r="E19" s="504"/>
      <c r="F19" s="150"/>
    </row>
    <row r="22" spans="1:11" x14ac:dyDescent="0.25">
      <c r="B22" t="s">
        <v>143</v>
      </c>
    </row>
    <row r="24" spans="1:11" x14ac:dyDescent="0.25">
      <c r="A24" t="s">
        <v>122</v>
      </c>
      <c r="B24" s="153" t="s">
        <v>144</v>
      </c>
      <c r="C24" s="153" t="s">
        <v>145</v>
      </c>
      <c r="D24" s="162" t="s">
        <v>146</v>
      </c>
      <c r="E24" s="160"/>
      <c r="F24" s="161"/>
      <c r="G24" s="154" t="s">
        <v>149</v>
      </c>
      <c r="H24" s="154" t="s">
        <v>153</v>
      </c>
      <c r="I24" s="154" t="s">
        <v>154</v>
      </c>
    </row>
    <row r="25" spans="1:11" hidden="1" x14ac:dyDescent="0.25">
      <c r="C25" t="s">
        <v>152</v>
      </c>
      <c r="D25" t="s">
        <v>147</v>
      </c>
      <c r="E25" t="s">
        <v>148</v>
      </c>
    </row>
    <row r="26" spans="1:11" hidden="1" x14ac:dyDescent="0.25">
      <c r="E26" t="s">
        <v>150</v>
      </c>
      <c r="F26" s="149">
        <v>608877.65</v>
      </c>
    </row>
    <row r="27" spans="1:11" hidden="1" x14ac:dyDescent="0.25">
      <c r="E27" t="s">
        <v>151</v>
      </c>
      <c r="F27" s="149">
        <v>86084.6</v>
      </c>
    </row>
    <row r="28" spans="1:11" hidden="1" x14ac:dyDescent="0.25">
      <c r="A28">
        <v>2013</v>
      </c>
      <c r="B28" s="152">
        <v>96894</v>
      </c>
      <c r="C28">
        <v>0</v>
      </c>
      <c r="D28" s="149">
        <v>2364295</v>
      </c>
      <c r="E28" s="151">
        <f>SUM(F26:F28)</f>
        <v>694962.25</v>
      </c>
      <c r="G28">
        <f>41.81+14.56</f>
        <v>56.370000000000005</v>
      </c>
      <c r="H28">
        <f>41.81+14.56</f>
        <v>56.370000000000005</v>
      </c>
      <c r="I28" s="151">
        <f>H28/10000</f>
        <v>5.6370000000000005E-3</v>
      </c>
      <c r="J28">
        <v>4025</v>
      </c>
      <c r="K28" s="151">
        <f>(I28/J28)*100</f>
        <v>1.400496894409938E-4</v>
      </c>
    </row>
    <row r="29" spans="1:11" hidden="1" x14ac:dyDescent="0.25"/>
    <row r="30" spans="1:11" x14ac:dyDescent="0.25">
      <c r="A30" s="154">
        <v>2017</v>
      </c>
      <c r="B30" s="156">
        <f>96894/10000</f>
        <v>9.6893999999999991</v>
      </c>
      <c r="C30" s="157">
        <v>0</v>
      </c>
      <c r="D30" s="159">
        <f>11.15%*4025</f>
        <v>448.78750000000002</v>
      </c>
      <c r="E30" s="160"/>
      <c r="F30" s="161"/>
      <c r="G30" s="154">
        <f>41.81+14.56</f>
        <v>56.370000000000005</v>
      </c>
      <c r="H30" s="158">
        <f>SUM(B30:G30)</f>
        <v>514.84690000000001</v>
      </c>
      <c r="I30" s="172">
        <f>H30/4025</f>
        <v>0.12791227329192548</v>
      </c>
    </row>
    <row r="31" spans="1:11" x14ac:dyDescent="0.25">
      <c r="A31" s="100">
        <v>2018</v>
      </c>
      <c r="B31" s="155">
        <f>B30*0.9</f>
        <v>8.7204599999999992</v>
      </c>
      <c r="C31" s="100"/>
      <c r="D31" s="163">
        <f>11.15%*4025</f>
        <v>448.78750000000002</v>
      </c>
      <c r="E31" s="165"/>
      <c r="F31" s="166"/>
      <c r="G31" s="100">
        <f>G30</f>
        <v>56.370000000000005</v>
      </c>
      <c r="H31" s="164">
        <f t="shared" ref="H31:H35" si="0">SUM(B31:G31)</f>
        <v>513.87796000000003</v>
      </c>
      <c r="I31" s="173">
        <f t="shared" ref="I31:I35" si="1">H31/4025</f>
        <v>0.12767154285714286</v>
      </c>
    </row>
    <row r="32" spans="1:11" x14ac:dyDescent="0.25">
      <c r="A32" s="100">
        <v>2019</v>
      </c>
      <c r="B32" s="155">
        <f t="shared" ref="B32:B35" si="2">B31*0.9</f>
        <v>7.8484139999999991</v>
      </c>
      <c r="C32" s="100"/>
      <c r="D32" s="167">
        <f>11.84%*4025</f>
        <v>476.56</v>
      </c>
      <c r="E32" s="165"/>
      <c r="F32" s="166"/>
      <c r="G32" s="100">
        <f t="shared" ref="G32:G35" si="3">G31</f>
        <v>56.370000000000005</v>
      </c>
      <c r="H32" s="164">
        <f t="shared" si="0"/>
        <v>540.778414</v>
      </c>
      <c r="I32" s="173">
        <f>H32/4025</f>
        <v>0.13435488546583851</v>
      </c>
    </row>
    <row r="33" spans="1:9" x14ac:dyDescent="0.25">
      <c r="A33" s="100">
        <v>2020</v>
      </c>
      <c r="B33" s="155">
        <f t="shared" si="2"/>
        <v>7.0635725999999996</v>
      </c>
      <c r="C33" s="100"/>
      <c r="D33" s="167">
        <f>11.94%*4025</f>
        <v>480.58499999999998</v>
      </c>
      <c r="E33" s="165"/>
      <c r="F33" s="166"/>
      <c r="G33" s="100">
        <f t="shared" si="3"/>
        <v>56.370000000000005</v>
      </c>
      <c r="H33" s="164">
        <f t="shared" si="0"/>
        <v>544.01857259999997</v>
      </c>
      <c r="I33" s="173">
        <f t="shared" si="1"/>
        <v>0.13515989381366458</v>
      </c>
    </row>
    <row r="34" spans="1:9" x14ac:dyDescent="0.25">
      <c r="A34" s="100">
        <v>2021</v>
      </c>
      <c r="B34" s="155">
        <f t="shared" si="2"/>
        <v>6.3572153399999998</v>
      </c>
      <c r="C34" s="100"/>
      <c r="D34" s="167">
        <f>12.04%*4025</f>
        <v>484.60999999999996</v>
      </c>
      <c r="E34" s="165"/>
      <c r="F34" s="166"/>
      <c r="G34" s="100">
        <f t="shared" si="3"/>
        <v>56.370000000000005</v>
      </c>
      <c r="H34" s="164">
        <f t="shared" si="0"/>
        <v>547.33721533999994</v>
      </c>
      <c r="I34" s="173">
        <f t="shared" si="1"/>
        <v>0.13598440132670805</v>
      </c>
    </row>
    <row r="35" spans="1:9" x14ac:dyDescent="0.25">
      <c r="A35" s="100">
        <v>2022</v>
      </c>
      <c r="B35" s="155">
        <f t="shared" si="2"/>
        <v>5.7214938059999998</v>
      </c>
      <c r="C35" s="100"/>
      <c r="D35" s="167">
        <f>12.14%*4025</f>
        <v>488.63500000000005</v>
      </c>
      <c r="E35" s="165"/>
      <c r="F35" s="166"/>
      <c r="G35" s="100">
        <f t="shared" si="3"/>
        <v>56.370000000000005</v>
      </c>
      <c r="H35" s="164">
        <f t="shared" si="0"/>
        <v>550.72649380600001</v>
      </c>
      <c r="I35" s="173">
        <f t="shared" si="1"/>
        <v>0.13682645808844721</v>
      </c>
    </row>
    <row r="37" spans="1:9" x14ac:dyDescent="0.25">
      <c r="C37" s="175">
        <v>2017</v>
      </c>
      <c r="D37" s="176">
        <v>2018</v>
      </c>
      <c r="E37" s="176">
        <v>2019</v>
      </c>
      <c r="F37" s="176">
        <v>2020</v>
      </c>
      <c r="G37" s="176">
        <v>2021</v>
      </c>
      <c r="H37" s="176">
        <v>2022</v>
      </c>
    </row>
    <row r="38" spans="1:9" x14ac:dyDescent="0.25">
      <c r="B38" s="100" t="s">
        <v>157</v>
      </c>
      <c r="C38" s="168">
        <v>0.12791227329192548</v>
      </c>
      <c r="D38" s="168">
        <v>0.12767154285714286</v>
      </c>
      <c r="E38" s="168">
        <v>0.13435488546583851</v>
      </c>
      <c r="F38" s="177">
        <v>0.13515989381366458</v>
      </c>
      <c r="G38" s="168">
        <v>0.13598440132670805</v>
      </c>
      <c r="H38" s="168">
        <v>0.13682645808844721</v>
      </c>
    </row>
    <row r="39" spans="1:9" x14ac:dyDescent="0.25">
      <c r="B39" s="100" t="s">
        <v>118</v>
      </c>
      <c r="C39" s="101">
        <f>100 - ((84.3 - (C38*100))*(50/54.3))</f>
        <v>34.153984649348573</v>
      </c>
      <c r="D39" s="101">
        <f t="shared" ref="D39:H39" si="4">100 - ((84.3 - (D38*100))*(50/54.3))</f>
        <v>34.131817942646663</v>
      </c>
      <c r="E39" s="101">
        <f t="shared" si="4"/>
        <v>34.747227022637063</v>
      </c>
      <c r="F39" s="101">
        <f t="shared" si="4"/>
        <v>34.82135302151606</v>
      </c>
      <c r="G39" s="101">
        <f t="shared" si="4"/>
        <v>34.897274523637932</v>
      </c>
      <c r="H39" s="101">
        <f t="shared" si="4"/>
        <v>34.974811978678375</v>
      </c>
    </row>
  </sheetData>
  <mergeCells count="10">
    <mergeCell ref="B16:E16"/>
    <mergeCell ref="B17:E17"/>
    <mergeCell ref="B18:E18"/>
    <mergeCell ref="B19:E19"/>
    <mergeCell ref="B10:E10"/>
    <mergeCell ref="B11:E11"/>
    <mergeCell ref="B12:E12"/>
    <mergeCell ref="B13:E13"/>
    <mergeCell ref="B14:E14"/>
    <mergeCell ref="B15:E15"/>
  </mergeCells>
  <pageMargins left="0.7" right="0.7" top="0.75" bottom="0.75" header="0.3" footer="0.3"/>
  <pageSetup paperSize="10001"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Y97"/>
  <sheetViews>
    <sheetView showGridLines="0" topLeftCell="A10" zoomScaleNormal="100" workbookViewId="0">
      <pane ySplit="2" topLeftCell="A48" activePane="bottomLeft" state="frozen"/>
      <selection activeCell="A10" sqref="A10"/>
      <selection pane="bottomLeft" activeCell="AR60" sqref="AR60"/>
    </sheetView>
  </sheetViews>
  <sheetFormatPr defaultColWidth="9.140625" defaultRowHeight="12.75" x14ac:dyDescent="0.2"/>
  <cols>
    <col min="1" max="1" width="3.7109375" style="237" bestFit="1" customWidth="1"/>
    <col min="2" max="2" width="22.42578125" style="237" customWidth="1"/>
    <col min="3" max="3" width="14.42578125" style="237" customWidth="1"/>
    <col min="4" max="4" width="14.7109375" style="237" customWidth="1"/>
    <col min="5" max="5" width="14.28515625" style="237" customWidth="1"/>
    <col min="6" max="6" width="8.42578125" style="237" customWidth="1"/>
    <col min="7" max="7" width="9.140625" style="237" customWidth="1"/>
    <col min="8" max="8" width="5" style="237" customWidth="1"/>
    <col min="9" max="9" width="7.7109375" style="237" customWidth="1"/>
    <col min="10" max="10" width="7" style="237" customWidth="1"/>
    <col min="11" max="11" width="12.7109375" style="237" customWidth="1"/>
    <col min="12" max="13" width="8" style="237" customWidth="1"/>
    <col min="14" max="14" width="6.28515625" style="237" hidden="1" customWidth="1"/>
    <col min="15" max="15" width="3.42578125" style="237" hidden="1" customWidth="1"/>
    <col min="16" max="16" width="4.7109375" style="237" hidden="1" customWidth="1"/>
    <col min="17" max="17" width="4.42578125" style="237" hidden="1" customWidth="1"/>
    <col min="18" max="18" width="6.42578125" style="237" hidden="1" customWidth="1"/>
    <col min="19" max="19" width="7.7109375" style="237" hidden="1" customWidth="1"/>
    <col min="20" max="20" width="4.42578125" style="237" hidden="1" customWidth="1"/>
    <col min="21" max="21" width="2" style="237" hidden="1" customWidth="1"/>
    <col min="22" max="22" width="1.7109375" style="237" hidden="1" customWidth="1"/>
    <col min="23" max="23" width="2" style="237" hidden="1" customWidth="1"/>
    <col min="24" max="24" width="5.42578125" style="237" hidden="1" customWidth="1"/>
    <col min="25" max="25" width="6.140625" style="237" hidden="1" customWidth="1"/>
    <col min="26" max="27" width="6.28515625" style="237" hidden="1" customWidth="1"/>
    <col min="28" max="28" width="7" style="237" hidden="1" customWidth="1"/>
    <col min="29" max="29" width="9.7109375" style="237" hidden="1" customWidth="1"/>
    <col min="30" max="31" width="5.28515625" style="237" hidden="1" customWidth="1"/>
    <col min="32" max="33" width="6.140625" style="237" hidden="1" customWidth="1"/>
    <col min="34" max="34" width="5.42578125" style="237" hidden="1" customWidth="1"/>
    <col min="35" max="35" width="6.140625" style="237" hidden="1" customWidth="1"/>
    <col min="36" max="36" width="6.28515625" style="237" hidden="1" customWidth="1"/>
    <col min="37" max="37" width="6.140625" style="237" hidden="1" customWidth="1"/>
    <col min="38" max="39" width="5.28515625" style="237" hidden="1" customWidth="1"/>
    <col min="40" max="40" width="9.7109375" style="237" hidden="1" customWidth="1"/>
    <col min="41" max="41" width="8.7109375" style="237" hidden="1" customWidth="1"/>
    <col min="42" max="42" width="10.7109375" style="237" hidden="1" customWidth="1"/>
    <col min="43" max="43" width="12.42578125" style="237" hidden="1" customWidth="1"/>
    <col min="44" max="44" width="8.42578125" style="237" customWidth="1"/>
    <col min="45" max="45" width="9.42578125" style="237" customWidth="1"/>
    <col min="46" max="47" width="9.140625" style="237"/>
    <col min="48" max="51" width="9.140625" style="327"/>
    <col min="52" max="257" width="9.140625" style="237"/>
    <col min="258" max="258" width="3.7109375" style="237" bestFit="1" customWidth="1"/>
    <col min="259" max="259" width="17.7109375" style="237" customWidth="1"/>
    <col min="260" max="260" width="26.42578125" style="237" customWidth="1"/>
    <col min="261" max="261" width="13.42578125" style="237" customWidth="1"/>
    <col min="262" max="262" width="8.42578125" style="237" bestFit="1" customWidth="1"/>
    <col min="263" max="263" width="9.140625" style="237" customWidth="1"/>
    <col min="264" max="264" width="5" style="237" bestFit="1" customWidth="1"/>
    <col min="265" max="265" width="7.7109375" style="237" bestFit="1" customWidth="1"/>
    <col min="266" max="266" width="7" style="237" bestFit="1" customWidth="1"/>
    <col min="267" max="267" width="8.42578125" style="237" bestFit="1" customWidth="1"/>
    <col min="268" max="268" width="8" style="237" bestFit="1" customWidth="1"/>
    <col min="269" max="269" width="8" style="237" customWidth="1"/>
    <col min="270" max="270" width="6.28515625" style="237" customWidth="1"/>
    <col min="271" max="271" width="3.42578125" style="237" bestFit="1" customWidth="1"/>
    <col min="272" max="272" width="4.7109375" style="237" bestFit="1" customWidth="1"/>
    <col min="273" max="273" width="4.42578125" style="237" bestFit="1" customWidth="1"/>
    <col min="274" max="274" width="6.42578125" style="237" bestFit="1" customWidth="1"/>
    <col min="275" max="275" width="7.7109375" style="237" customWidth="1"/>
    <col min="276" max="276" width="4.42578125" style="237" bestFit="1" customWidth="1"/>
    <col min="277" max="277" width="2" style="237" bestFit="1" customWidth="1"/>
    <col min="278" max="278" width="1.7109375" style="237" customWidth="1"/>
    <col min="279" max="279" width="2" style="237" bestFit="1" customWidth="1"/>
    <col min="280" max="280" width="5.42578125" style="237" bestFit="1" customWidth="1"/>
    <col min="281" max="281" width="6.140625" style="237" bestFit="1" customWidth="1"/>
    <col min="282" max="283" width="6.28515625" style="237" bestFit="1" customWidth="1"/>
    <col min="284" max="284" width="7" style="237" bestFit="1" customWidth="1"/>
    <col min="285" max="285" width="9.7109375" style="237" bestFit="1" customWidth="1"/>
    <col min="286" max="287" width="5.28515625" style="237" bestFit="1" customWidth="1"/>
    <col min="288" max="289" width="6.140625" style="237" bestFit="1" customWidth="1"/>
    <col min="290" max="290" width="5.42578125" style="237" bestFit="1" customWidth="1"/>
    <col min="291" max="291" width="6.140625" style="237" bestFit="1" customWidth="1"/>
    <col min="292" max="292" width="6.28515625" style="237" bestFit="1" customWidth="1"/>
    <col min="293" max="293" width="6.140625" style="237" customWidth="1"/>
    <col min="294" max="295" width="5.28515625" style="237" bestFit="1" customWidth="1"/>
    <col min="296" max="296" width="9.7109375" style="237" bestFit="1" customWidth="1"/>
    <col min="297" max="297" width="8.7109375" style="237" bestFit="1" customWidth="1"/>
    <col min="298" max="298" width="10.7109375" style="237" bestFit="1" customWidth="1"/>
    <col min="299" max="299" width="12.42578125" style="237" bestFit="1" customWidth="1"/>
    <col min="300" max="300" width="8.42578125" style="237" bestFit="1" customWidth="1"/>
    <col min="301" max="301" width="9.42578125" style="237" customWidth="1"/>
    <col min="302" max="513" width="9.140625" style="237"/>
    <col min="514" max="514" width="3.7109375" style="237" bestFit="1" customWidth="1"/>
    <col min="515" max="515" width="17.7109375" style="237" customWidth="1"/>
    <col min="516" max="516" width="26.42578125" style="237" customWidth="1"/>
    <col min="517" max="517" width="13.42578125" style="237" customWidth="1"/>
    <col min="518" max="518" width="8.42578125" style="237" bestFit="1" customWidth="1"/>
    <col min="519" max="519" width="9.140625" style="237" customWidth="1"/>
    <col min="520" max="520" width="5" style="237" bestFit="1" customWidth="1"/>
    <col min="521" max="521" width="7.7109375" style="237" bestFit="1" customWidth="1"/>
    <col min="522" max="522" width="7" style="237" bestFit="1" customWidth="1"/>
    <col min="523" max="523" width="8.42578125" style="237" bestFit="1" customWidth="1"/>
    <col min="524" max="524" width="8" style="237" bestFit="1" customWidth="1"/>
    <col min="525" max="525" width="8" style="237" customWidth="1"/>
    <col min="526" max="526" width="6.28515625" style="237" customWidth="1"/>
    <col min="527" max="527" width="3.42578125" style="237" bestFit="1" customWidth="1"/>
    <col min="528" max="528" width="4.7109375" style="237" bestFit="1" customWidth="1"/>
    <col min="529" max="529" width="4.42578125" style="237" bestFit="1" customWidth="1"/>
    <col min="530" max="530" width="6.42578125" style="237" bestFit="1" customWidth="1"/>
    <col min="531" max="531" width="7.7109375" style="237" customWidth="1"/>
    <col min="532" max="532" width="4.42578125" style="237" bestFit="1" customWidth="1"/>
    <col min="533" max="533" width="2" style="237" bestFit="1" customWidth="1"/>
    <col min="534" max="534" width="1.7109375" style="237" customWidth="1"/>
    <col min="535" max="535" width="2" style="237" bestFit="1" customWidth="1"/>
    <col min="536" max="536" width="5.42578125" style="237" bestFit="1" customWidth="1"/>
    <col min="537" max="537" width="6.140625" style="237" bestFit="1" customWidth="1"/>
    <col min="538" max="539" width="6.28515625" style="237" bestFit="1" customWidth="1"/>
    <col min="540" max="540" width="7" style="237" bestFit="1" customWidth="1"/>
    <col min="541" max="541" width="9.7109375" style="237" bestFit="1" customWidth="1"/>
    <col min="542" max="543" width="5.28515625" style="237" bestFit="1" customWidth="1"/>
    <col min="544" max="545" width="6.140625" style="237" bestFit="1" customWidth="1"/>
    <col min="546" max="546" width="5.42578125" style="237" bestFit="1" customWidth="1"/>
    <col min="547" max="547" width="6.140625" style="237" bestFit="1" customWidth="1"/>
    <col min="548" max="548" width="6.28515625" style="237" bestFit="1" customWidth="1"/>
    <col min="549" max="549" width="6.140625" style="237" customWidth="1"/>
    <col min="550" max="551" width="5.28515625" style="237" bestFit="1" customWidth="1"/>
    <col min="552" max="552" width="9.7109375" style="237" bestFit="1" customWidth="1"/>
    <col min="553" max="553" width="8.7109375" style="237" bestFit="1" customWidth="1"/>
    <col min="554" max="554" width="10.7109375" style="237" bestFit="1" customWidth="1"/>
    <col min="555" max="555" width="12.42578125" style="237" bestFit="1" customWidth="1"/>
    <col min="556" max="556" width="8.42578125" style="237" bestFit="1" customWidth="1"/>
    <col min="557" max="557" width="9.42578125" style="237" customWidth="1"/>
    <col min="558" max="769" width="9.140625" style="237"/>
    <col min="770" max="770" width="3.7109375" style="237" bestFit="1" customWidth="1"/>
    <col min="771" max="771" width="17.7109375" style="237" customWidth="1"/>
    <col min="772" max="772" width="26.42578125" style="237" customWidth="1"/>
    <col min="773" max="773" width="13.42578125" style="237" customWidth="1"/>
    <col min="774" max="774" width="8.42578125" style="237" bestFit="1" customWidth="1"/>
    <col min="775" max="775" width="9.140625" style="237" customWidth="1"/>
    <col min="776" max="776" width="5" style="237" bestFit="1" customWidth="1"/>
    <col min="777" max="777" width="7.7109375" style="237" bestFit="1" customWidth="1"/>
    <col min="778" max="778" width="7" style="237" bestFit="1" customWidth="1"/>
    <col min="779" max="779" width="8.42578125" style="237" bestFit="1" customWidth="1"/>
    <col min="780" max="780" width="8" style="237" bestFit="1" customWidth="1"/>
    <col min="781" max="781" width="8" style="237" customWidth="1"/>
    <col min="782" max="782" width="6.28515625" style="237" customWidth="1"/>
    <col min="783" max="783" width="3.42578125" style="237" bestFit="1" customWidth="1"/>
    <col min="784" max="784" width="4.7109375" style="237" bestFit="1" customWidth="1"/>
    <col min="785" max="785" width="4.42578125" style="237" bestFit="1" customWidth="1"/>
    <col min="786" max="786" width="6.42578125" style="237" bestFit="1" customWidth="1"/>
    <col min="787" max="787" width="7.7109375" style="237" customWidth="1"/>
    <col min="788" max="788" width="4.42578125" style="237" bestFit="1" customWidth="1"/>
    <col min="789" max="789" width="2" style="237" bestFit="1" customWidth="1"/>
    <col min="790" max="790" width="1.7109375" style="237" customWidth="1"/>
    <col min="791" max="791" width="2" style="237" bestFit="1" customWidth="1"/>
    <col min="792" max="792" width="5.42578125" style="237" bestFit="1" customWidth="1"/>
    <col min="793" max="793" width="6.140625" style="237" bestFit="1" customWidth="1"/>
    <col min="794" max="795" width="6.28515625" style="237" bestFit="1" customWidth="1"/>
    <col min="796" max="796" width="7" style="237" bestFit="1" customWidth="1"/>
    <col min="797" max="797" width="9.7109375" style="237" bestFit="1" customWidth="1"/>
    <col min="798" max="799" width="5.28515625" style="237" bestFit="1" customWidth="1"/>
    <col min="800" max="801" width="6.140625" style="237" bestFit="1" customWidth="1"/>
    <col min="802" max="802" width="5.42578125" style="237" bestFit="1" customWidth="1"/>
    <col min="803" max="803" width="6.140625" style="237" bestFit="1" customWidth="1"/>
    <col min="804" max="804" width="6.28515625" style="237" bestFit="1" customWidth="1"/>
    <col min="805" max="805" width="6.140625" style="237" customWidth="1"/>
    <col min="806" max="807" width="5.28515625" style="237" bestFit="1" customWidth="1"/>
    <col min="808" max="808" width="9.7109375" style="237" bestFit="1" customWidth="1"/>
    <col min="809" max="809" width="8.7109375" style="237" bestFit="1" customWidth="1"/>
    <col min="810" max="810" width="10.7109375" style="237" bestFit="1" customWidth="1"/>
    <col min="811" max="811" width="12.42578125" style="237" bestFit="1" customWidth="1"/>
    <col min="812" max="812" width="8.42578125" style="237" bestFit="1" customWidth="1"/>
    <col min="813" max="813" width="9.42578125" style="237" customWidth="1"/>
    <col min="814" max="1025" width="9.140625" style="237"/>
    <col min="1026" max="1026" width="3.7109375" style="237" bestFit="1" customWidth="1"/>
    <col min="1027" max="1027" width="17.7109375" style="237" customWidth="1"/>
    <col min="1028" max="1028" width="26.42578125" style="237" customWidth="1"/>
    <col min="1029" max="1029" width="13.42578125" style="237" customWidth="1"/>
    <col min="1030" max="1030" width="8.42578125" style="237" bestFit="1" customWidth="1"/>
    <col min="1031" max="1031" width="9.140625" style="237" customWidth="1"/>
    <col min="1032" max="1032" width="5" style="237" bestFit="1" customWidth="1"/>
    <col min="1033" max="1033" width="7.7109375" style="237" bestFit="1" customWidth="1"/>
    <col min="1034" max="1034" width="7" style="237" bestFit="1" customWidth="1"/>
    <col min="1035" max="1035" width="8.42578125" style="237" bestFit="1" customWidth="1"/>
    <col min="1036" max="1036" width="8" style="237" bestFit="1" customWidth="1"/>
    <col min="1037" max="1037" width="8" style="237" customWidth="1"/>
    <col min="1038" max="1038" width="6.28515625" style="237" customWidth="1"/>
    <col min="1039" max="1039" width="3.42578125" style="237" bestFit="1" customWidth="1"/>
    <col min="1040" max="1040" width="4.7109375" style="237" bestFit="1" customWidth="1"/>
    <col min="1041" max="1041" width="4.42578125" style="237" bestFit="1" customWidth="1"/>
    <col min="1042" max="1042" width="6.42578125" style="237" bestFit="1" customWidth="1"/>
    <col min="1043" max="1043" width="7.7109375" style="237" customWidth="1"/>
    <col min="1044" max="1044" width="4.42578125" style="237" bestFit="1" customWidth="1"/>
    <col min="1045" max="1045" width="2" style="237" bestFit="1" customWidth="1"/>
    <col min="1046" max="1046" width="1.7109375" style="237" customWidth="1"/>
    <col min="1047" max="1047" width="2" style="237" bestFit="1" customWidth="1"/>
    <col min="1048" max="1048" width="5.42578125" style="237" bestFit="1" customWidth="1"/>
    <col min="1049" max="1049" width="6.140625" style="237" bestFit="1" customWidth="1"/>
    <col min="1050" max="1051" width="6.28515625" style="237" bestFit="1" customWidth="1"/>
    <col min="1052" max="1052" width="7" style="237" bestFit="1" customWidth="1"/>
    <col min="1053" max="1053" width="9.7109375" style="237" bestFit="1" customWidth="1"/>
    <col min="1054" max="1055" width="5.28515625" style="237" bestFit="1" customWidth="1"/>
    <col min="1056" max="1057" width="6.140625" style="237" bestFit="1" customWidth="1"/>
    <col min="1058" max="1058" width="5.42578125" style="237" bestFit="1" customWidth="1"/>
    <col min="1059" max="1059" width="6.140625" style="237" bestFit="1" customWidth="1"/>
    <col min="1060" max="1060" width="6.28515625" style="237" bestFit="1" customWidth="1"/>
    <col min="1061" max="1061" width="6.140625" style="237" customWidth="1"/>
    <col min="1062" max="1063" width="5.28515625" style="237" bestFit="1" customWidth="1"/>
    <col min="1064" max="1064" width="9.7109375" style="237" bestFit="1" customWidth="1"/>
    <col min="1065" max="1065" width="8.7109375" style="237" bestFit="1" customWidth="1"/>
    <col min="1066" max="1066" width="10.7109375" style="237" bestFit="1" customWidth="1"/>
    <col min="1067" max="1067" width="12.42578125" style="237" bestFit="1" customWidth="1"/>
    <col min="1068" max="1068" width="8.42578125" style="237" bestFit="1" customWidth="1"/>
    <col min="1069" max="1069" width="9.42578125" style="237" customWidth="1"/>
    <col min="1070" max="1281" width="9.140625" style="237"/>
    <col min="1282" max="1282" width="3.7109375" style="237" bestFit="1" customWidth="1"/>
    <col min="1283" max="1283" width="17.7109375" style="237" customWidth="1"/>
    <col min="1284" max="1284" width="26.42578125" style="237" customWidth="1"/>
    <col min="1285" max="1285" width="13.42578125" style="237" customWidth="1"/>
    <col min="1286" max="1286" width="8.42578125" style="237" bestFit="1" customWidth="1"/>
    <col min="1287" max="1287" width="9.140625" style="237" customWidth="1"/>
    <col min="1288" max="1288" width="5" style="237" bestFit="1" customWidth="1"/>
    <col min="1289" max="1289" width="7.7109375" style="237" bestFit="1" customWidth="1"/>
    <col min="1290" max="1290" width="7" style="237" bestFit="1" customWidth="1"/>
    <col min="1291" max="1291" width="8.42578125" style="237" bestFit="1" customWidth="1"/>
    <col min="1292" max="1292" width="8" style="237" bestFit="1" customWidth="1"/>
    <col min="1293" max="1293" width="8" style="237" customWidth="1"/>
    <col min="1294" max="1294" width="6.28515625" style="237" customWidth="1"/>
    <col min="1295" max="1295" width="3.42578125" style="237" bestFit="1" customWidth="1"/>
    <col min="1296" max="1296" width="4.7109375" style="237" bestFit="1" customWidth="1"/>
    <col min="1297" max="1297" width="4.42578125" style="237" bestFit="1" customWidth="1"/>
    <col min="1298" max="1298" width="6.42578125" style="237" bestFit="1" customWidth="1"/>
    <col min="1299" max="1299" width="7.7109375" style="237" customWidth="1"/>
    <col min="1300" max="1300" width="4.42578125" style="237" bestFit="1" customWidth="1"/>
    <col min="1301" max="1301" width="2" style="237" bestFit="1" customWidth="1"/>
    <col min="1302" max="1302" width="1.7109375" style="237" customWidth="1"/>
    <col min="1303" max="1303" width="2" style="237" bestFit="1" customWidth="1"/>
    <col min="1304" max="1304" width="5.42578125" style="237" bestFit="1" customWidth="1"/>
    <col min="1305" max="1305" width="6.140625" style="237" bestFit="1" customWidth="1"/>
    <col min="1306" max="1307" width="6.28515625" style="237" bestFit="1" customWidth="1"/>
    <col min="1308" max="1308" width="7" style="237" bestFit="1" customWidth="1"/>
    <col min="1309" max="1309" width="9.7109375" style="237" bestFit="1" customWidth="1"/>
    <col min="1310" max="1311" width="5.28515625" style="237" bestFit="1" customWidth="1"/>
    <col min="1312" max="1313" width="6.140625" style="237" bestFit="1" customWidth="1"/>
    <col min="1314" max="1314" width="5.42578125" style="237" bestFit="1" customWidth="1"/>
    <col min="1315" max="1315" width="6.140625" style="237" bestFit="1" customWidth="1"/>
    <col min="1316" max="1316" width="6.28515625" style="237" bestFit="1" customWidth="1"/>
    <col min="1317" max="1317" width="6.140625" style="237" customWidth="1"/>
    <col min="1318" max="1319" width="5.28515625" style="237" bestFit="1" customWidth="1"/>
    <col min="1320" max="1320" width="9.7109375" style="237" bestFit="1" customWidth="1"/>
    <col min="1321" max="1321" width="8.7109375" style="237" bestFit="1" customWidth="1"/>
    <col min="1322" max="1322" width="10.7109375" style="237" bestFit="1" customWidth="1"/>
    <col min="1323" max="1323" width="12.42578125" style="237" bestFit="1" customWidth="1"/>
    <col min="1324" max="1324" width="8.42578125" style="237" bestFit="1" customWidth="1"/>
    <col min="1325" max="1325" width="9.42578125" style="237" customWidth="1"/>
    <col min="1326" max="1537" width="9.140625" style="237"/>
    <col min="1538" max="1538" width="3.7109375" style="237" bestFit="1" customWidth="1"/>
    <col min="1539" max="1539" width="17.7109375" style="237" customWidth="1"/>
    <col min="1540" max="1540" width="26.42578125" style="237" customWidth="1"/>
    <col min="1541" max="1541" width="13.42578125" style="237" customWidth="1"/>
    <col min="1542" max="1542" width="8.42578125" style="237" bestFit="1" customWidth="1"/>
    <col min="1543" max="1543" width="9.140625" style="237" customWidth="1"/>
    <col min="1544" max="1544" width="5" style="237" bestFit="1" customWidth="1"/>
    <col min="1545" max="1545" width="7.7109375" style="237" bestFit="1" customWidth="1"/>
    <col min="1546" max="1546" width="7" style="237" bestFit="1" customWidth="1"/>
    <col min="1547" max="1547" width="8.42578125" style="237" bestFit="1" customWidth="1"/>
    <col min="1548" max="1548" width="8" style="237" bestFit="1" customWidth="1"/>
    <col min="1549" max="1549" width="8" style="237" customWidth="1"/>
    <col min="1550" max="1550" width="6.28515625" style="237" customWidth="1"/>
    <col min="1551" max="1551" width="3.42578125" style="237" bestFit="1" customWidth="1"/>
    <col min="1552" max="1552" width="4.7109375" style="237" bestFit="1" customWidth="1"/>
    <col min="1553" max="1553" width="4.42578125" style="237" bestFit="1" customWidth="1"/>
    <col min="1554" max="1554" width="6.42578125" style="237" bestFit="1" customWidth="1"/>
    <col min="1555" max="1555" width="7.7109375" style="237" customWidth="1"/>
    <col min="1556" max="1556" width="4.42578125" style="237" bestFit="1" customWidth="1"/>
    <col min="1557" max="1557" width="2" style="237" bestFit="1" customWidth="1"/>
    <col min="1558" max="1558" width="1.7109375" style="237" customWidth="1"/>
    <col min="1559" max="1559" width="2" style="237" bestFit="1" customWidth="1"/>
    <col min="1560" max="1560" width="5.42578125" style="237" bestFit="1" customWidth="1"/>
    <col min="1561" max="1561" width="6.140625" style="237" bestFit="1" customWidth="1"/>
    <col min="1562" max="1563" width="6.28515625" style="237" bestFit="1" customWidth="1"/>
    <col min="1564" max="1564" width="7" style="237" bestFit="1" customWidth="1"/>
    <col min="1565" max="1565" width="9.7109375" style="237" bestFit="1" customWidth="1"/>
    <col min="1566" max="1567" width="5.28515625" style="237" bestFit="1" customWidth="1"/>
    <col min="1568" max="1569" width="6.140625" style="237" bestFit="1" customWidth="1"/>
    <col min="1570" max="1570" width="5.42578125" style="237" bestFit="1" customWidth="1"/>
    <col min="1571" max="1571" width="6.140625" style="237" bestFit="1" customWidth="1"/>
    <col min="1572" max="1572" width="6.28515625" style="237" bestFit="1" customWidth="1"/>
    <col min="1573" max="1573" width="6.140625" style="237" customWidth="1"/>
    <col min="1574" max="1575" width="5.28515625" style="237" bestFit="1" customWidth="1"/>
    <col min="1576" max="1576" width="9.7109375" style="237" bestFit="1" customWidth="1"/>
    <col min="1577" max="1577" width="8.7109375" style="237" bestFit="1" customWidth="1"/>
    <col min="1578" max="1578" width="10.7109375" style="237" bestFit="1" customWidth="1"/>
    <col min="1579" max="1579" width="12.42578125" style="237" bestFit="1" customWidth="1"/>
    <col min="1580" max="1580" width="8.42578125" style="237" bestFit="1" customWidth="1"/>
    <col min="1581" max="1581" width="9.42578125" style="237" customWidth="1"/>
    <col min="1582" max="1793" width="9.140625" style="237"/>
    <col min="1794" max="1794" width="3.7109375" style="237" bestFit="1" customWidth="1"/>
    <col min="1795" max="1795" width="17.7109375" style="237" customWidth="1"/>
    <col min="1796" max="1796" width="26.42578125" style="237" customWidth="1"/>
    <col min="1797" max="1797" width="13.42578125" style="237" customWidth="1"/>
    <col min="1798" max="1798" width="8.42578125" style="237" bestFit="1" customWidth="1"/>
    <col min="1799" max="1799" width="9.140625" style="237" customWidth="1"/>
    <col min="1800" max="1800" width="5" style="237" bestFit="1" customWidth="1"/>
    <col min="1801" max="1801" width="7.7109375" style="237" bestFit="1" customWidth="1"/>
    <col min="1802" max="1802" width="7" style="237" bestFit="1" customWidth="1"/>
    <col min="1803" max="1803" width="8.42578125" style="237" bestFit="1" customWidth="1"/>
    <col min="1804" max="1804" width="8" style="237" bestFit="1" customWidth="1"/>
    <col min="1805" max="1805" width="8" style="237" customWidth="1"/>
    <col min="1806" max="1806" width="6.28515625" style="237" customWidth="1"/>
    <col min="1807" max="1807" width="3.42578125" style="237" bestFit="1" customWidth="1"/>
    <col min="1808" max="1808" width="4.7109375" style="237" bestFit="1" customWidth="1"/>
    <col min="1809" max="1809" width="4.42578125" style="237" bestFit="1" customWidth="1"/>
    <col min="1810" max="1810" width="6.42578125" style="237" bestFit="1" customWidth="1"/>
    <col min="1811" max="1811" width="7.7109375" style="237" customWidth="1"/>
    <col min="1812" max="1812" width="4.42578125" style="237" bestFit="1" customWidth="1"/>
    <col min="1813" max="1813" width="2" style="237" bestFit="1" customWidth="1"/>
    <col min="1814" max="1814" width="1.7109375" style="237" customWidth="1"/>
    <col min="1815" max="1815" width="2" style="237" bestFit="1" customWidth="1"/>
    <col min="1816" max="1816" width="5.42578125" style="237" bestFit="1" customWidth="1"/>
    <col min="1817" max="1817" width="6.140625" style="237" bestFit="1" customWidth="1"/>
    <col min="1818" max="1819" width="6.28515625" style="237" bestFit="1" customWidth="1"/>
    <col min="1820" max="1820" width="7" style="237" bestFit="1" customWidth="1"/>
    <col min="1821" max="1821" width="9.7109375" style="237" bestFit="1" customWidth="1"/>
    <col min="1822" max="1823" width="5.28515625" style="237" bestFit="1" customWidth="1"/>
    <col min="1824" max="1825" width="6.140625" style="237" bestFit="1" customWidth="1"/>
    <col min="1826" max="1826" width="5.42578125" style="237" bestFit="1" customWidth="1"/>
    <col min="1827" max="1827" width="6.140625" style="237" bestFit="1" customWidth="1"/>
    <col min="1828" max="1828" width="6.28515625" style="237" bestFit="1" customWidth="1"/>
    <col min="1829" max="1829" width="6.140625" style="237" customWidth="1"/>
    <col min="1830" max="1831" width="5.28515625" style="237" bestFit="1" customWidth="1"/>
    <col min="1832" max="1832" width="9.7109375" style="237" bestFit="1" customWidth="1"/>
    <col min="1833" max="1833" width="8.7109375" style="237" bestFit="1" customWidth="1"/>
    <col min="1834" max="1834" width="10.7109375" style="237" bestFit="1" customWidth="1"/>
    <col min="1835" max="1835" width="12.42578125" style="237" bestFit="1" customWidth="1"/>
    <col min="1836" max="1836" width="8.42578125" style="237" bestFit="1" customWidth="1"/>
    <col min="1837" max="1837" width="9.42578125" style="237" customWidth="1"/>
    <col min="1838" max="2049" width="9.140625" style="237"/>
    <col min="2050" max="2050" width="3.7109375" style="237" bestFit="1" customWidth="1"/>
    <col min="2051" max="2051" width="17.7109375" style="237" customWidth="1"/>
    <col min="2052" max="2052" width="26.42578125" style="237" customWidth="1"/>
    <col min="2053" max="2053" width="13.42578125" style="237" customWidth="1"/>
    <col min="2054" max="2054" width="8.42578125" style="237" bestFit="1" customWidth="1"/>
    <col min="2055" max="2055" width="9.140625" style="237" customWidth="1"/>
    <col min="2056" max="2056" width="5" style="237" bestFit="1" customWidth="1"/>
    <col min="2057" max="2057" width="7.7109375" style="237" bestFit="1" customWidth="1"/>
    <col min="2058" max="2058" width="7" style="237" bestFit="1" customWidth="1"/>
    <col min="2059" max="2059" width="8.42578125" style="237" bestFit="1" customWidth="1"/>
    <col min="2060" max="2060" width="8" style="237" bestFit="1" customWidth="1"/>
    <col min="2061" max="2061" width="8" style="237" customWidth="1"/>
    <col min="2062" max="2062" width="6.28515625" style="237" customWidth="1"/>
    <col min="2063" max="2063" width="3.42578125" style="237" bestFit="1" customWidth="1"/>
    <col min="2064" max="2064" width="4.7109375" style="237" bestFit="1" customWidth="1"/>
    <col min="2065" max="2065" width="4.42578125" style="237" bestFit="1" customWidth="1"/>
    <col min="2066" max="2066" width="6.42578125" style="237" bestFit="1" customWidth="1"/>
    <col min="2067" max="2067" width="7.7109375" style="237" customWidth="1"/>
    <col min="2068" max="2068" width="4.42578125" style="237" bestFit="1" customWidth="1"/>
    <col min="2069" max="2069" width="2" style="237" bestFit="1" customWidth="1"/>
    <col min="2070" max="2070" width="1.7109375" style="237" customWidth="1"/>
    <col min="2071" max="2071" width="2" style="237" bestFit="1" customWidth="1"/>
    <col min="2072" max="2072" width="5.42578125" style="237" bestFit="1" customWidth="1"/>
    <col min="2073" max="2073" width="6.140625" style="237" bestFit="1" customWidth="1"/>
    <col min="2074" max="2075" width="6.28515625" style="237" bestFit="1" customWidth="1"/>
    <col min="2076" max="2076" width="7" style="237" bestFit="1" customWidth="1"/>
    <col min="2077" max="2077" width="9.7109375" style="237" bestFit="1" customWidth="1"/>
    <col min="2078" max="2079" width="5.28515625" style="237" bestFit="1" customWidth="1"/>
    <col min="2080" max="2081" width="6.140625" style="237" bestFit="1" customWidth="1"/>
    <col min="2082" max="2082" width="5.42578125" style="237" bestFit="1" customWidth="1"/>
    <col min="2083" max="2083" width="6.140625" style="237" bestFit="1" customWidth="1"/>
    <col min="2084" max="2084" width="6.28515625" style="237" bestFit="1" customWidth="1"/>
    <col min="2085" max="2085" width="6.140625" style="237" customWidth="1"/>
    <col min="2086" max="2087" width="5.28515625" style="237" bestFit="1" customWidth="1"/>
    <col min="2088" max="2088" width="9.7109375" style="237" bestFit="1" customWidth="1"/>
    <col min="2089" max="2089" width="8.7109375" style="237" bestFit="1" customWidth="1"/>
    <col min="2090" max="2090" width="10.7109375" style="237" bestFit="1" customWidth="1"/>
    <col min="2091" max="2091" width="12.42578125" style="237" bestFit="1" customWidth="1"/>
    <col min="2092" max="2092" width="8.42578125" style="237" bestFit="1" customWidth="1"/>
    <col min="2093" max="2093" width="9.42578125" style="237" customWidth="1"/>
    <col min="2094" max="2305" width="9.140625" style="237"/>
    <col min="2306" max="2306" width="3.7109375" style="237" bestFit="1" customWidth="1"/>
    <col min="2307" max="2307" width="17.7109375" style="237" customWidth="1"/>
    <col min="2308" max="2308" width="26.42578125" style="237" customWidth="1"/>
    <col min="2309" max="2309" width="13.42578125" style="237" customWidth="1"/>
    <col min="2310" max="2310" width="8.42578125" style="237" bestFit="1" customWidth="1"/>
    <col min="2311" max="2311" width="9.140625" style="237" customWidth="1"/>
    <col min="2312" max="2312" width="5" style="237" bestFit="1" customWidth="1"/>
    <col min="2313" max="2313" width="7.7109375" style="237" bestFit="1" customWidth="1"/>
    <col min="2314" max="2314" width="7" style="237" bestFit="1" customWidth="1"/>
    <col min="2315" max="2315" width="8.42578125" style="237" bestFit="1" customWidth="1"/>
    <col min="2316" max="2316" width="8" style="237" bestFit="1" customWidth="1"/>
    <col min="2317" max="2317" width="8" style="237" customWidth="1"/>
    <col min="2318" max="2318" width="6.28515625" style="237" customWidth="1"/>
    <col min="2319" max="2319" width="3.42578125" style="237" bestFit="1" customWidth="1"/>
    <col min="2320" max="2320" width="4.7109375" style="237" bestFit="1" customWidth="1"/>
    <col min="2321" max="2321" width="4.42578125" style="237" bestFit="1" customWidth="1"/>
    <col min="2322" max="2322" width="6.42578125" style="237" bestFit="1" customWidth="1"/>
    <col min="2323" max="2323" width="7.7109375" style="237" customWidth="1"/>
    <col min="2324" max="2324" width="4.42578125" style="237" bestFit="1" customWidth="1"/>
    <col min="2325" max="2325" width="2" style="237" bestFit="1" customWidth="1"/>
    <col min="2326" max="2326" width="1.7109375" style="237" customWidth="1"/>
    <col min="2327" max="2327" width="2" style="237" bestFit="1" customWidth="1"/>
    <col min="2328" max="2328" width="5.42578125" style="237" bestFit="1" customWidth="1"/>
    <col min="2329" max="2329" width="6.140625" style="237" bestFit="1" customWidth="1"/>
    <col min="2330" max="2331" width="6.28515625" style="237" bestFit="1" customWidth="1"/>
    <col min="2332" max="2332" width="7" style="237" bestFit="1" customWidth="1"/>
    <col min="2333" max="2333" width="9.7109375" style="237" bestFit="1" customWidth="1"/>
    <col min="2334" max="2335" width="5.28515625" style="237" bestFit="1" customWidth="1"/>
    <col min="2336" max="2337" width="6.140625" style="237" bestFit="1" customWidth="1"/>
    <col min="2338" max="2338" width="5.42578125" style="237" bestFit="1" customWidth="1"/>
    <col min="2339" max="2339" width="6.140625" style="237" bestFit="1" customWidth="1"/>
    <col min="2340" max="2340" width="6.28515625" style="237" bestFit="1" customWidth="1"/>
    <col min="2341" max="2341" width="6.140625" style="237" customWidth="1"/>
    <col min="2342" max="2343" width="5.28515625" style="237" bestFit="1" customWidth="1"/>
    <col min="2344" max="2344" width="9.7109375" style="237" bestFit="1" customWidth="1"/>
    <col min="2345" max="2345" width="8.7109375" style="237" bestFit="1" customWidth="1"/>
    <col min="2346" max="2346" width="10.7109375" style="237" bestFit="1" customWidth="1"/>
    <col min="2347" max="2347" width="12.42578125" style="237" bestFit="1" customWidth="1"/>
    <col min="2348" max="2348" width="8.42578125" style="237" bestFit="1" customWidth="1"/>
    <col min="2349" max="2349" width="9.42578125" style="237" customWidth="1"/>
    <col min="2350" max="2561" width="9.140625" style="237"/>
    <col min="2562" max="2562" width="3.7109375" style="237" bestFit="1" customWidth="1"/>
    <col min="2563" max="2563" width="17.7109375" style="237" customWidth="1"/>
    <col min="2564" max="2564" width="26.42578125" style="237" customWidth="1"/>
    <col min="2565" max="2565" width="13.42578125" style="237" customWidth="1"/>
    <col min="2566" max="2566" width="8.42578125" style="237" bestFit="1" customWidth="1"/>
    <col min="2567" max="2567" width="9.140625" style="237" customWidth="1"/>
    <col min="2568" max="2568" width="5" style="237" bestFit="1" customWidth="1"/>
    <col min="2569" max="2569" width="7.7109375" style="237" bestFit="1" customWidth="1"/>
    <col min="2570" max="2570" width="7" style="237" bestFit="1" customWidth="1"/>
    <col min="2571" max="2571" width="8.42578125" style="237" bestFit="1" customWidth="1"/>
    <col min="2572" max="2572" width="8" style="237" bestFit="1" customWidth="1"/>
    <col min="2573" max="2573" width="8" style="237" customWidth="1"/>
    <col min="2574" max="2574" width="6.28515625" style="237" customWidth="1"/>
    <col min="2575" max="2575" width="3.42578125" style="237" bestFit="1" customWidth="1"/>
    <col min="2576" max="2576" width="4.7109375" style="237" bestFit="1" customWidth="1"/>
    <col min="2577" max="2577" width="4.42578125" style="237" bestFit="1" customWidth="1"/>
    <col min="2578" max="2578" width="6.42578125" style="237" bestFit="1" customWidth="1"/>
    <col min="2579" max="2579" width="7.7109375" style="237" customWidth="1"/>
    <col min="2580" max="2580" width="4.42578125" style="237" bestFit="1" customWidth="1"/>
    <col min="2581" max="2581" width="2" style="237" bestFit="1" customWidth="1"/>
    <col min="2582" max="2582" width="1.7109375" style="237" customWidth="1"/>
    <col min="2583" max="2583" width="2" style="237" bestFit="1" customWidth="1"/>
    <col min="2584" max="2584" width="5.42578125" style="237" bestFit="1" customWidth="1"/>
    <col min="2585" max="2585" width="6.140625" style="237" bestFit="1" customWidth="1"/>
    <col min="2586" max="2587" width="6.28515625" style="237" bestFit="1" customWidth="1"/>
    <col min="2588" max="2588" width="7" style="237" bestFit="1" customWidth="1"/>
    <col min="2589" max="2589" width="9.7109375" style="237" bestFit="1" customWidth="1"/>
    <col min="2590" max="2591" width="5.28515625" style="237" bestFit="1" customWidth="1"/>
    <col min="2592" max="2593" width="6.140625" style="237" bestFit="1" customWidth="1"/>
    <col min="2594" max="2594" width="5.42578125" style="237" bestFit="1" customWidth="1"/>
    <col min="2595" max="2595" width="6.140625" style="237" bestFit="1" customWidth="1"/>
    <col min="2596" max="2596" width="6.28515625" style="237" bestFit="1" customWidth="1"/>
    <col min="2597" max="2597" width="6.140625" style="237" customWidth="1"/>
    <col min="2598" max="2599" width="5.28515625" style="237" bestFit="1" customWidth="1"/>
    <col min="2600" max="2600" width="9.7109375" style="237" bestFit="1" customWidth="1"/>
    <col min="2601" max="2601" width="8.7109375" style="237" bestFit="1" customWidth="1"/>
    <col min="2602" max="2602" width="10.7109375" style="237" bestFit="1" customWidth="1"/>
    <col min="2603" max="2603" width="12.42578125" style="237" bestFit="1" customWidth="1"/>
    <col min="2604" max="2604" width="8.42578125" style="237" bestFit="1" customWidth="1"/>
    <col min="2605" max="2605" width="9.42578125" style="237" customWidth="1"/>
    <col min="2606" max="2817" width="9.140625" style="237"/>
    <col min="2818" max="2818" width="3.7109375" style="237" bestFit="1" customWidth="1"/>
    <col min="2819" max="2819" width="17.7109375" style="237" customWidth="1"/>
    <col min="2820" max="2820" width="26.42578125" style="237" customWidth="1"/>
    <col min="2821" max="2821" width="13.42578125" style="237" customWidth="1"/>
    <col min="2822" max="2822" width="8.42578125" style="237" bestFit="1" customWidth="1"/>
    <col min="2823" max="2823" width="9.140625" style="237" customWidth="1"/>
    <col min="2824" max="2824" width="5" style="237" bestFit="1" customWidth="1"/>
    <col min="2825" max="2825" width="7.7109375" style="237" bestFit="1" customWidth="1"/>
    <col min="2826" max="2826" width="7" style="237" bestFit="1" customWidth="1"/>
    <col min="2827" max="2827" width="8.42578125" style="237" bestFit="1" customWidth="1"/>
    <col min="2828" max="2828" width="8" style="237" bestFit="1" customWidth="1"/>
    <col min="2829" max="2829" width="8" style="237" customWidth="1"/>
    <col min="2830" max="2830" width="6.28515625" style="237" customWidth="1"/>
    <col min="2831" max="2831" width="3.42578125" style="237" bestFit="1" customWidth="1"/>
    <col min="2832" max="2832" width="4.7109375" style="237" bestFit="1" customWidth="1"/>
    <col min="2833" max="2833" width="4.42578125" style="237" bestFit="1" customWidth="1"/>
    <col min="2834" max="2834" width="6.42578125" style="237" bestFit="1" customWidth="1"/>
    <col min="2835" max="2835" width="7.7109375" style="237" customWidth="1"/>
    <col min="2836" max="2836" width="4.42578125" style="237" bestFit="1" customWidth="1"/>
    <col min="2837" max="2837" width="2" style="237" bestFit="1" customWidth="1"/>
    <col min="2838" max="2838" width="1.7109375" style="237" customWidth="1"/>
    <col min="2839" max="2839" width="2" style="237" bestFit="1" customWidth="1"/>
    <col min="2840" max="2840" width="5.42578125" style="237" bestFit="1" customWidth="1"/>
    <col min="2841" max="2841" width="6.140625" style="237" bestFit="1" customWidth="1"/>
    <col min="2842" max="2843" width="6.28515625" style="237" bestFit="1" customWidth="1"/>
    <col min="2844" max="2844" width="7" style="237" bestFit="1" customWidth="1"/>
    <col min="2845" max="2845" width="9.7109375" style="237" bestFit="1" customWidth="1"/>
    <col min="2846" max="2847" width="5.28515625" style="237" bestFit="1" customWidth="1"/>
    <col min="2848" max="2849" width="6.140625" style="237" bestFit="1" customWidth="1"/>
    <col min="2850" max="2850" width="5.42578125" style="237" bestFit="1" customWidth="1"/>
    <col min="2851" max="2851" width="6.140625" style="237" bestFit="1" customWidth="1"/>
    <col min="2852" max="2852" width="6.28515625" style="237" bestFit="1" customWidth="1"/>
    <col min="2853" max="2853" width="6.140625" style="237" customWidth="1"/>
    <col min="2854" max="2855" width="5.28515625" style="237" bestFit="1" customWidth="1"/>
    <col min="2856" max="2856" width="9.7109375" style="237" bestFit="1" customWidth="1"/>
    <col min="2857" max="2857" width="8.7109375" style="237" bestFit="1" customWidth="1"/>
    <col min="2858" max="2858" width="10.7109375" style="237" bestFit="1" customWidth="1"/>
    <col min="2859" max="2859" width="12.42578125" style="237" bestFit="1" customWidth="1"/>
    <col min="2860" max="2860" width="8.42578125" style="237" bestFit="1" customWidth="1"/>
    <col min="2861" max="2861" width="9.42578125" style="237" customWidth="1"/>
    <col min="2862" max="3073" width="9.140625" style="237"/>
    <col min="3074" max="3074" width="3.7109375" style="237" bestFit="1" customWidth="1"/>
    <col min="3075" max="3075" width="17.7109375" style="237" customWidth="1"/>
    <col min="3076" max="3076" width="26.42578125" style="237" customWidth="1"/>
    <col min="3077" max="3077" width="13.42578125" style="237" customWidth="1"/>
    <col min="3078" max="3078" width="8.42578125" style="237" bestFit="1" customWidth="1"/>
    <col min="3079" max="3079" width="9.140625" style="237" customWidth="1"/>
    <col min="3080" max="3080" width="5" style="237" bestFit="1" customWidth="1"/>
    <col min="3081" max="3081" width="7.7109375" style="237" bestFit="1" customWidth="1"/>
    <col min="3082" max="3082" width="7" style="237" bestFit="1" customWidth="1"/>
    <col min="3083" max="3083" width="8.42578125" style="237" bestFit="1" customWidth="1"/>
    <col min="3084" max="3084" width="8" style="237" bestFit="1" customWidth="1"/>
    <col min="3085" max="3085" width="8" style="237" customWidth="1"/>
    <col min="3086" max="3086" width="6.28515625" style="237" customWidth="1"/>
    <col min="3087" max="3087" width="3.42578125" style="237" bestFit="1" customWidth="1"/>
    <col min="3088" max="3088" width="4.7109375" style="237" bestFit="1" customWidth="1"/>
    <col min="3089" max="3089" width="4.42578125" style="237" bestFit="1" customWidth="1"/>
    <col min="3090" max="3090" width="6.42578125" style="237" bestFit="1" customWidth="1"/>
    <col min="3091" max="3091" width="7.7109375" style="237" customWidth="1"/>
    <col min="3092" max="3092" width="4.42578125" style="237" bestFit="1" customWidth="1"/>
    <col min="3093" max="3093" width="2" style="237" bestFit="1" customWidth="1"/>
    <col min="3094" max="3094" width="1.7109375" style="237" customWidth="1"/>
    <col min="3095" max="3095" width="2" style="237" bestFit="1" customWidth="1"/>
    <col min="3096" max="3096" width="5.42578125" style="237" bestFit="1" customWidth="1"/>
    <col min="3097" max="3097" width="6.140625" style="237" bestFit="1" customWidth="1"/>
    <col min="3098" max="3099" width="6.28515625" style="237" bestFit="1" customWidth="1"/>
    <col min="3100" max="3100" width="7" style="237" bestFit="1" customWidth="1"/>
    <col min="3101" max="3101" width="9.7109375" style="237" bestFit="1" customWidth="1"/>
    <col min="3102" max="3103" width="5.28515625" style="237" bestFit="1" customWidth="1"/>
    <col min="3104" max="3105" width="6.140625" style="237" bestFit="1" customWidth="1"/>
    <col min="3106" max="3106" width="5.42578125" style="237" bestFit="1" customWidth="1"/>
    <col min="3107" max="3107" width="6.140625" style="237" bestFit="1" customWidth="1"/>
    <col min="3108" max="3108" width="6.28515625" style="237" bestFit="1" customWidth="1"/>
    <col min="3109" max="3109" width="6.140625" style="237" customWidth="1"/>
    <col min="3110" max="3111" width="5.28515625" style="237" bestFit="1" customWidth="1"/>
    <col min="3112" max="3112" width="9.7109375" style="237" bestFit="1" customWidth="1"/>
    <col min="3113" max="3113" width="8.7109375" style="237" bestFit="1" customWidth="1"/>
    <col min="3114" max="3114" width="10.7109375" style="237" bestFit="1" customWidth="1"/>
    <col min="3115" max="3115" width="12.42578125" style="237" bestFit="1" customWidth="1"/>
    <col min="3116" max="3116" width="8.42578125" style="237" bestFit="1" customWidth="1"/>
    <col min="3117" max="3117" width="9.42578125" style="237" customWidth="1"/>
    <col min="3118" max="3329" width="9.140625" style="237"/>
    <col min="3330" max="3330" width="3.7109375" style="237" bestFit="1" customWidth="1"/>
    <col min="3331" max="3331" width="17.7109375" style="237" customWidth="1"/>
    <col min="3332" max="3332" width="26.42578125" style="237" customWidth="1"/>
    <col min="3333" max="3333" width="13.42578125" style="237" customWidth="1"/>
    <col min="3334" max="3334" width="8.42578125" style="237" bestFit="1" customWidth="1"/>
    <col min="3335" max="3335" width="9.140625" style="237" customWidth="1"/>
    <col min="3336" max="3336" width="5" style="237" bestFit="1" customWidth="1"/>
    <col min="3337" max="3337" width="7.7109375" style="237" bestFit="1" customWidth="1"/>
    <col min="3338" max="3338" width="7" style="237" bestFit="1" customWidth="1"/>
    <col min="3339" max="3339" width="8.42578125" style="237" bestFit="1" customWidth="1"/>
    <col min="3340" max="3340" width="8" style="237" bestFit="1" customWidth="1"/>
    <col min="3341" max="3341" width="8" style="237" customWidth="1"/>
    <col min="3342" max="3342" width="6.28515625" style="237" customWidth="1"/>
    <col min="3343" max="3343" width="3.42578125" style="237" bestFit="1" customWidth="1"/>
    <col min="3344" max="3344" width="4.7109375" style="237" bestFit="1" customWidth="1"/>
    <col min="3345" max="3345" width="4.42578125" style="237" bestFit="1" customWidth="1"/>
    <col min="3346" max="3346" width="6.42578125" style="237" bestFit="1" customWidth="1"/>
    <col min="3347" max="3347" width="7.7109375" style="237" customWidth="1"/>
    <col min="3348" max="3348" width="4.42578125" style="237" bestFit="1" customWidth="1"/>
    <col min="3349" max="3349" width="2" style="237" bestFit="1" customWidth="1"/>
    <col min="3350" max="3350" width="1.7109375" style="237" customWidth="1"/>
    <col min="3351" max="3351" width="2" style="237" bestFit="1" customWidth="1"/>
    <col min="3352" max="3352" width="5.42578125" style="237" bestFit="1" customWidth="1"/>
    <col min="3353" max="3353" width="6.140625" style="237" bestFit="1" customWidth="1"/>
    <col min="3354" max="3355" width="6.28515625" style="237" bestFit="1" customWidth="1"/>
    <col min="3356" max="3356" width="7" style="237" bestFit="1" customWidth="1"/>
    <col min="3357" max="3357" width="9.7109375" style="237" bestFit="1" customWidth="1"/>
    <col min="3358" max="3359" width="5.28515625" style="237" bestFit="1" customWidth="1"/>
    <col min="3360" max="3361" width="6.140625" style="237" bestFit="1" customWidth="1"/>
    <col min="3362" max="3362" width="5.42578125" style="237" bestFit="1" customWidth="1"/>
    <col min="3363" max="3363" width="6.140625" style="237" bestFit="1" customWidth="1"/>
    <col min="3364" max="3364" width="6.28515625" style="237" bestFit="1" customWidth="1"/>
    <col min="3365" max="3365" width="6.140625" style="237" customWidth="1"/>
    <col min="3366" max="3367" width="5.28515625" style="237" bestFit="1" customWidth="1"/>
    <col min="3368" max="3368" width="9.7109375" style="237" bestFit="1" customWidth="1"/>
    <col min="3369" max="3369" width="8.7109375" style="237" bestFit="1" customWidth="1"/>
    <col min="3370" max="3370" width="10.7109375" style="237" bestFit="1" customWidth="1"/>
    <col min="3371" max="3371" width="12.42578125" style="237" bestFit="1" customWidth="1"/>
    <col min="3372" max="3372" width="8.42578125" style="237" bestFit="1" customWidth="1"/>
    <col min="3373" max="3373" width="9.42578125" style="237" customWidth="1"/>
    <col min="3374" max="3585" width="9.140625" style="237"/>
    <col min="3586" max="3586" width="3.7109375" style="237" bestFit="1" customWidth="1"/>
    <col min="3587" max="3587" width="17.7109375" style="237" customWidth="1"/>
    <col min="3588" max="3588" width="26.42578125" style="237" customWidth="1"/>
    <col min="3589" max="3589" width="13.42578125" style="237" customWidth="1"/>
    <col min="3590" max="3590" width="8.42578125" style="237" bestFit="1" customWidth="1"/>
    <col min="3591" max="3591" width="9.140625" style="237" customWidth="1"/>
    <col min="3592" max="3592" width="5" style="237" bestFit="1" customWidth="1"/>
    <col min="3593" max="3593" width="7.7109375" style="237" bestFit="1" customWidth="1"/>
    <col min="3594" max="3594" width="7" style="237" bestFit="1" customWidth="1"/>
    <col min="3595" max="3595" width="8.42578125" style="237" bestFit="1" customWidth="1"/>
    <col min="3596" max="3596" width="8" style="237" bestFit="1" customWidth="1"/>
    <col min="3597" max="3597" width="8" style="237" customWidth="1"/>
    <col min="3598" max="3598" width="6.28515625" style="237" customWidth="1"/>
    <col min="3599" max="3599" width="3.42578125" style="237" bestFit="1" customWidth="1"/>
    <col min="3600" max="3600" width="4.7109375" style="237" bestFit="1" customWidth="1"/>
    <col min="3601" max="3601" width="4.42578125" style="237" bestFit="1" customWidth="1"/>
    <col min="3602" max="3602" width="6.42578125" style="237" bestFit="1" customWidth="1"/>
    <col min="3603" max="3603" width="7.7109375" style="237" customWidth="1"/>
    <col min="3604" max="3604" width="4.42578125" style="237" bestFit="1" customWidth="1"/>
    <col min="3605" max="3605" width="2" style="237" bestFit="1" customWidth="1"/>
    <col min="3606" max="3606" width="1.7109375" style="237" customWidth="1"/>
    <col min="3607" max="3607" width="2" style="237" bestFit="1" customWidth="1"/>
    <col min="3608" max="3608" width="5.42578125" style="237" bestFit="1" customWidth="1"/>
    <col min="3609" max="3609" width="6.140625" style="237" bestFit="1" customWidth="1"/>
    <col min="3610" max="3611" width="6.28515625" style="237" bestFit="1" customWidth="1"/>
    <col min="3612" max="3612" width="7" style="237" bestFit="1" customWidth="1"/>
    <col min="3613" max="3613" width="9.7109375" style="237" bestFit="1" customWidth="1"/>
    <col min="3614" max="3615" width="5.28515625" style="237" bestFit="1" customWidth="1"/>
    <col min="3616" max="3617" width="6.140625" style="237" bestFit="1" customWidth="1"/>
    <col min="3618" max="3618" width="5.42578125" style="237" bestFit="1" customWidth="1"/>
    <col min="3619" max="3619" width="6.140625" style="237" bestFit="1" customWidth="1"/>
    <col min="3620" max="3620" width="6.28515625" style="237" bestFit="1" customWidth="1"/>
    <col min="3621" max="3621" width="6.140625" style="237" customWidth="1"/>
    <col min="3622" max="3623" width="5.28515625" style="237" bestFit="1" customWidth="1"/>
    <col min="3624" max="3624" width="9.7109375" style="237" bestFit="1" customWidth="1"/>
    <col min="3625" max="3625" width="8.7109375" style="237" bestFit="1" customWidth="1"/>
    <col min="3626" max="3626" width="10.7109375" style="237" bestFit="1" customWidth="1"/>
    <col min="3627" max="3627" width="12.42578125" style="237" bestFit="1" customWidth="1"/>
    <col min="3628" max="3628" width="8.42578125" style="237" bestFit="1" customWidth="1"/>
    <col min="3629" max="3629" width="9.42578125" style="237" customWidth="1"/>
    <col min="3630" max="3841" width="9.140625" style="237"/>
    <col min="3842" max="3842" width="3.7109375" style="237" bestFit="1" customWidth="1"/>
    <col min="3843" max="3843" width="17.7109375" style="237" customWidth="1"/>
    <col min="3844" max="3844" width="26.42578125" style="237" customWidth="1"/>
    <col min="3845" max="3845" width="13.42578125" style="237" customWidth="1"/>
    <col min="3846" max="3846" width="8.42578125" style="237" bestFit="1" customWidth="1"/>
    <col min="3847" max="3847" width="9.140625" style="237" customWidth="1"/>
    <col min="3848" max="3848" width="5" style="237" bestFit="1" customWidth="1"/>
    <col min="3849" max="3849" width="7.7109375" style="237" bestFit="1" customWidth="1"/>
    <col min="3850" max="3850" width="7" style="237" bestFit="1" customWidth="1"/>
    <col min="3851" max="3851" width="8.42578125" style="237" bestFit="1" customWidth="1"/>
    <col min="3852" max="3852" width="8" style="237" bestFit="1" customWidth="1"/>
    <col min="3853" max="3853" width="8" style="237" customWidth="1"/>
    <col min="3854" max="3854" width="6.28515625" style="237" customWidth="1"/>
    <col min="3855" max="3855" width="3.42578125" style="237" bestFit="1" customWidth="1"/>
    <col min="3856" max="3856" width="4.7109375" style="237" bestFit="1" customWidth="1"/>
    <col min="3857" max="3857" width="4.42578125" style="237" bestFit="1" customWidth="1"/>
    <col min="3858" max="3858" width="6.42578125" style="237" bestFit="1" customWidth="1"/>
    <col min="3859" max="3859" width="7.7109375" style="237" customWidth="1"/>
    <col min="3860" max="3860" width="4.42578125" style="237" bestFit="1" customWidth="1"/>
    <col min="3861" max="3861" width="2" style="237" bestFit="1" customWidth="1"/>
    <col min="3862" max="3862" width="1.7109375" style="237" customWidth="1"/>
    <col min="3863" max="3863" width="2" style="237" bestFit="1" customWidth="1"/>
    <col min="3864" max="3864" width="5.42578125" style="237" bestFit="1" customWidth="1"/>
    <col min="3865" max="3865" width="6.140625" style="237" bestFit="1" customWidth="1"/>
    <col min="3866" max="3867" width="6.28515625" style="237" bestFit="1" customWidth="1"/>
    <col min="3868" max="3868" width="7" style="237" bestFit="1" customWidth="1"/>
    <col min="3869" max="3869" width="9.7109375" style="237" bestFit="1" customWidth="1"/>
    <col min="3870" max="3871" width="5.28515625" style="237" bestFit="1" customWidth="1"/>
    <col min="3872" max="3873" width="6.140625" style="237" bestFit="1" customWidth="1"/>
    <col min="3874" max="3874" width="5.42578125" style="237" bestFit="1" customWidth="1"/>
    <col min="3875" max="3875" width="6.140625" style="237" bestFit="1" customWidth="1"/>
    <col min="3876" max="3876" width="6.28515625" style="237" bestFit="1" customWidth="1"/>
    <col min="3877" max="3877" width="6.140625" style="237" customWidth="1"/>
    <col min="3878" max="3879" width="5.28515625" style="237" bestFit="1" customWidth="1"/>
    <col min="3880" max="3880" width="9.7109375" style="237" bestFit="1" customWidth="1"/>
    <col min="3881" max="3881" width="8.7109375" style="237" bestFit="1" customWidth="1"/>
    <col min="3882" max="3882" width="10.7109375" style="237" bestFit="1" customWidth="1"/>
    <col min="3883" max="3883" width="12.42578125" style="237" bestFit="1" customWidth="1"/>
    <col min="3884" max="3884" width="8.42578125" style="237" bestFit="1" customWidth="1"/>
    <col min="3885" max="3885" width="9.42578125" style="237" customWidth="1"/>
    <col min="3886" max="4097" width="9.140625" style="237"/>
    <col min="4098" max="4098" width="3.7109375" style="237" bestFit="1" customWidth="1"/>
    <col min="4099" max="4099" width="17.7109375" style="237" customWidth="1"/>
    <col min="4100" max="4100" width="26.42578125" style="237" customWidth="1"/>
    <col min="4101" max="4101" width="13.42578125" style="237" customWidth="1"/>
    <col min="4102" max="4102" width="8.42578125" style="237" bestFit="1" customWidth="1"/>
    <col min="4103" max="4103" width="9.140625" style="237" customWidth="1"/>
    <col min="4104" max="4104" width="5" style="237" bestFit="1" customWidth="1"/>
    <col min="4105" max="4105" width="7.7109375" style="237" bestFit="1" customWidth="1"/>
    <col min="4106" max="4106" width="7" style="237" bestFit="1" customWidth="1"/>
    <col min="4107" max="4107" width="8.42578125" style="237" bestFit="1" customWidth="1"/>
    <col min="4108" max="4108" width="8" style="237" bestFit="1" customWidth="1"/>
    <col min="4109" max="4109" width="8" style="237" customWidth="1"/>
    <col min="4110" max="4110" width="6.28515625" style="237" customWidth="1"/>
    <col min="4111" max="4111" width="3.42578125" style="237" bestFit="1" customWidth="1"/>
    <col min="4112" max="4112" width="4.7109375" style="237" bestFit="1" customWidth="1"/>
    <col min="4113" max="4113" width="4.42578125" style="237" bestFit="1" customWidth="1"/>
    <col min="4114" max="4114" width="6.42578125" style="237" bestFit="1" customWidth="1"/>
    <col min="4115" max="4115" width="7.7109375" style="237" customWidth="1"/>
    <col min="4116" max="4116" width="4.42578125" style="237" bestFit="1" customWidth="1"/>
    <col min="4117" max="4117" width="2" style="237" bestFit="1" customWidth="1"/>
    <col min="4118" max="4118" width="1.7109375" style="237" customWidth="1"/>
    <col min="4119" max="4119" width="2" style="237" bestFit="1" customWidth="1"/>
    <col min="4120" max="4120" width="5.42578125" style="237" bestFit="1" customWidth="1"/>
    <col min="4121" max="4121" width="6.140625" style="237" bestFit="1" customWidth="1"/>
    <col min="4122" max="4123" width="6.28515625" style="237" bestFit="1" customWidth="1"/>
    <col min="4124" max="4124" width="7" style="237" bestFit="1" customWidth="1"/>
    <col min="4125" max="4125" width="9.7109375" style="237" bestFit="1" customWidth="1"/>
    <col min="4126" max="4127" width="5.28515625" style="237" bestFit="1" customWidth="1"/>
    <col min="4128" max="4129" width="6.140625" style="237" bestFit="1" customWidth="1"/>
    <col min="4130" max="4130" width="5.42578125" style="237" bestFit="1" customWidth="1"/>
    <col min="4131" max="4131" width="6.140625" style="237" bestFit="1" customWidth="1"/>
    <col min="4132" max="4132" width="6.28515625" style="237" bestFit="1" customWidth="1"/>
    <col min="4133" max="4133" width="6.140625" style="237" customWidth="1"/>
    <col min="4134" max="4135" width="5.28515625" style="237" bestFit="1" customWidth="1"/>
    <col min="4136" max="4136" width="9.7109375" style="237" bestFit="1" customWidth="1"/>
    <col min="4137" max="4137" width="8.7109375" style="237" bestFit="1" customWidth="1"/>
    <col min="4138" max="4138" width="10.7109375" style="237" bestFit="1" customWidth="1"/>
    <col min="4139" max="4139" width="12.42578125" style="237" bestFit="1" customWidth="1"/>
    <col min="4140" max="4140" width="8.42578125" style="237" bestFit="1" customWidth="1"/>
    <col min="4141" max="4141" width="9.42578125" style="237" customWidth="1"/>
    <col min="4142" max="4353" width="9.140625" style="237"/>
    <col min="4354" max="4354" width="3.7109375" style="237" bestFit="1" customWidth="1"/>
    <col min="4355" max="4355" width="17.7109375" style="237" customWidth="1"/>
    <col min="4356" max="4356" width="26.42578125" style="237" customWidth="1"/>
    <col min="4357" max="4357" width="13.42578125" style="237" customWidth="1"/>
    <col min="4358" max="4358" width="8.42578125" style="237" bestFit="1" customWidth="1"/>
    <col min="4359" max="4359" width="9.140625" style="237" customWidth="1"/>
    <col min="4360" max="4360" width="5" style="237" bestFit="1" customWidth="1"/>
    <col min="4361" max="4361" width="7.7109375" style="237" bestFit="1" customWidth="1"/>
    <col min="4362" max="4362" width="7" style="237" bestFit="1" customWidth="1"/>
    <col min="4363" max="4363" width="8.42578125" style="237" bestFit="1" customWidth="1"/>
    <col min="4364" max="4364" width="8" style="237" bestFit="1" customWidth="1"/>
    <col min="4365" max="4365" width="8" style="237" customWidth="1"/>
    <col min="4366" max="4366" width="6.28515625" style="237" customWidth="1"/>
    <col min="4367" max="4367" width="3.42578125" style="237" bestFit="1" customWidth="1"/>
    <col min="4368" max="4368" width="4.7109375" style="237" bestFit="1" customWidth="1"/>
    <col min="4369" max="4369" width="4.42578125" style="237" bestFit="1" customWidth="1"/>
    <col min="4370" max="4370" width="6.42578125" style="237" bestFit="1" customWidth="1"/>
    <col min="4371" max="4371" width="7.7109375" style="237" customWidth="1"/>
    <col min="4372" max="4372" width="4.42578125" style="237" bestFit="1" customWidth="1"/>
    <col min="4373" max="4373" width="2" style="237" bestFit="1" customWidth="1"/>
    <col min="4374" max="4374" width="1.7109375" style="237" customWidth="1"/>
    <col min="4375" max="4375" width="2" style="237" bestFit="1" customWidth="1"/>
    <col min="4376" max="4376" width="5.42578125" style="237" bestFit="1" customWidth="1"/>
    <col min="4377" max="4377" width="6.140625" style="237" bestFit="1" customWidth="1"/>
    <col min="4378" max="4379" width="6.28515625" style="237" bestFit="1" customWidth="1"/>
    <col min="4380" max="4380" width="7" style="237" bestFit="1" customWidth="1"/>
    <col min="4381" max="4381" width="9.7109375" style="237" bestFit="1" customWidth="1"/>
    <col min="4382" max="4383" width="5.28515625" style="237" bestFit="1" customWidth="1"/>
    <col min="4384" max="4385" width="6.140625" style="237" bestFit="1" customWidth="1"/>
    <col min="4386" max="4386" width="5.42578125" style="237" bestFit="1" customWidth="1"/>
    <col min="4387" max="4387" width="6.140625" style="237" bestFit="1" customWidth="1"/>
    <col min="4388" max="4388" width="6.28515625" style="237" bestFit="1" customWidth="1"/>
    <col min="4389" max="4389" width="6.140625" style="237" customWidth="1"/>
    <col min="4390" max="4391" width="5.28515625" style="237" bestFit="1" customWidth="1"/>
    <col min="4392" max="4392" width="9.7109375" style="237" bestFit="1" customWidth="1"/>
    <col min="4393" max="4393" width="8.7109375" style="237" bestFit="1" customWidth="1"/>
    <col min="4394" max="4394" width="10.7109375" style="237" bestFit="1" customWidth="1"/>
    <col min="4395" max="4395" width="12.42578125" style="237" bestFit="1" customWidth="1"/>
    <col min="4396" max="4396" width="8.42578125" style="237" bestFit="1" customWidth="1"/>
    <col min="4397" max="4397" width="9.42578125" style="237" customWidth="1"/>
    <col min="4398" max="4609" width="9.140625" style="237"/>
    <col min="4610" max="4610" width="3.7109375" style="237" bestFit="1" customWidth="1"/>
    <col min="4611" max="4611" width="17.7109375" style="237" customWidth="1"/>
    <col min="4612" max="4612" width="26.42578125" style="237" customWidth="1"/>
    <col min="4613" max="4613" width="13.42578125" style="237" customWidth="1"/>
    <col min="4614" max="4614" width="8.42578125" style="237" bestFit="1" customWidth="1"/>
    <col min="4615" max="4615" width="9.140625" style="237" customWidth="1"/>
    <col min="4616" max="4616" width="5" style="237" bestFit="1" customWidth="1"/>
    <col min="4617" max="4617" width="7.7109375" style="237" bestFit="1" customWidth="1"/>
    <col min="4618" max="4618" width="7" style="237" bestFit="1" customWidth="1"/>
    <col min="4619" max="4619" width="8.42578125" style="237" bestFit="1" customWidth="1"/>
    <col min="4620" max="4620" width="8" style="237" bestFit="1" customWidth="1"/>
    <col min="4621" max="4621" width="8" style="237" customWidth="1"/>
    <col min="4622" max="4622" width="6.28515625" style="237" customWidth="1"/>
    <col min="4623" max="4623" width="3.42578125" style="237" bestFit="1" customWidth="1"/>
    <col min="4624" max="4624" width="4.7109375" style="237" bestFit="1" customWidth="1"/>
    <col min="4625" max="4625" width="4.42578125" style="237" bestFit="1" customWidth="1"/>
    <col min="4626" max="4626" width="6.42578125" style="237" bestFit="1" customWidth="1"/>
    <col min="4627" max="4627" width="7.7109375" style="237" customWidth="1"/>
    <col min="4628" max="4628" width="4.42578125" style="237" bestFit="1" customWidth="1"/>
    <col min="4629" max="4629" width="2" style="237" bestFit="1" customWidth="1"/>
    <col min="4630" max="4630" width="1.7109375" style="237" customWidth="1"/>
    <col min="4631" max="4631" width="2" style="237" bestFit="1" customWidth="1"/>
    <col min="4632" max="4632" width="5.42578125" style="237" bestFit="1" customWidth="1"/>
    <col min="4633" max="4633" width="6.140625" style="237" bestFit="1" customWidth="1"/>
    <col min="4634" max="4635" width="6.28515625" style="237" bestFit="1" customWidth="1"/>
    <col min="4636" max="4636" width="7" style="237" bestFit="1" customWidth="1"/>
    <col min="4637" max="4637" width="9.7109375" style="237" bestFit="1" customWidth="1"/>
    <col min="4638" max="4639" width="5.28515625" style="237" bestFit="1" customWidth="1"/>
    <col min="4640" max="4641" width="6.140625" style="237" bestFit="1" customWidth="1"/>
    <col min="4642" max="4642" width="5.42578125" style="237" bestFit="1" customWidth="1"/>
    <col min="4643" max="4643" width="6.140625" style="237" bestFit="1" customWidth="1"/>
    <col min="4644" max="4644" width="6.28515625" style="237" bestFit="1" customWidth="1"/>
    <col min="4645" max="4645" width="6.140625" style="237" customWidth="1"/>
    <col min="4646" max="4647" width="5.28515625" style="237" bestFit="1" customWidth="1"/>
    <col min="4648" max="4648" width="9.7109375" style="237" bestFit="1" customWidth="1"/>
    <col min="4649" max="4649" width="8.7109375" style="237" bestFit="1" customWidth="1"/>
    <col min="4650" max="4650" width="10.7109375" style="237" bestFit="1" customWidth="1"/>
    <col min="4651" max="4651" width="12.42578125" style="237" bestFit="1" customWidth="1"/>
    <col min="4652" max="4652" width="8.42578125" style="237" bestFit="1" customWidth="1"/>
    <col min="4653" max="4653" width="9.42578125" style="237" customWidth="1"/>
    <col min="4654" max="4865" width="9.140625" style="237"/>
    <col min="4866" max="4866" width="3.7109375" style="237" bestFit="1" customWidth="1"/>
    <col min="4867" max="4867" width="17.7109375" style="237" customWidth="1"/>
    <col min="4868" max="4868" width="26.42578125" style="237" customWidth="1"/>
    <col min="4869" max="4869" width="13.42578125" style="237" customWidth="1"/>
    <col min="4870" max="4870" width="8.42578125" style="237" bestFit="1" customWidth="1"/>
    <col min="4871" max="4871" width="9.140625" style="237" customWidth="1"/>
    <col min="4872" max="4872" width="5" style="237" bestFit="1" customWidth="1"/>
    <col min="4873" max="4873" width="7.7109375" style="237" bestFit="1" customWidth="1"/>
    <col min="4874" max="4874" width="7" style="237" bestFit="1" customWidth="1"/>
    <col min="4875" max="4875" width="8.42578125" style="237" bestFit="1" customWidth="1"/>
    <col min="4876" max="4876" width="8" style="237" bestFit="1" customWidth="1"/>
    <col min="4877" max="4877" width="8" style="237" customWidth="1"/>
    <col min="4878" max="4878" width="6.28515625" style="237" customWidth="1"/>
    <col min="4879" max="4879" width="3.42578125" style="237" bestFit="1" customWidth="1"/>
    <col min="4880" max="4880" width="4.7109375" style="237" bestFit="1" customWidth="1"/>
    <col min="4881" max="4881" width="4.42578125" style="237" bestFit="1" customWidth="1"/>
    <col min="4882" max="4882" width="6.42578125" style="237" bestFit="1" customWidth="1"/>
    <col min="4883" max="4883" width="7.7109375" style="237" customWidth="1"/>
    <col min="4884" max="4884" width="4.42578125" style="237" bestFit="1" customWidth="1"/>
    <col min="4885" max="4885" width="2" style="237" bestFit="1" customWidth="1"/>
    <col min="4886" max="4886" width="1.7109375" style="237" customWidth="1"/>
    <col min="4887" max="4887" width="2" style="237" bestFit="1" customWidth="1"/>
    <col min="4888" max="4888" width="5.42578125" style="237" bestFit="1" customWidth="1"/>
    <col min="4889" max="4889" width="6.140625" style="237" bestFit="1" customWidth="1"/>
    <col min="4890" max="4891" width="6.28515625" style="237" bestFit="1" customWidth="1"/>
    <col min="4892" max="4892" width="7" style="237" bestFit="1" customWidth="1"/>
    <col min="4893" max="4893" width="9.7109375" style="237" bestFit="1" customWidth="1"/>
    <col min="4894" max="4895" width="5.28515625" style="237" bestFit="1" customWidth="1"/>
    <col min="4896" max="4897" width="6.140625" style="237" bestFit="1" customWidth="1"/>
    <col min="4898" max="4898" width="5.42578125" style="237" bestFit="1" customWidth="1"/>
    <col min="4899" max="4899" width="6.140625" style="237" bestFit="1" customWidth="1"/>
    <col min="4900" max="4900" width="6.28515625" style="237" bestFit="1" customWidth="1"/>
    <col min="4901" max="4901" width="6.140625" style="237" customWidth="1"/>
    <col min="4902" max="4903" width="5.28515625" style="237" bestFit="1" customWidth="1"/>
    <col min="4904" max="4904" width="9.7109375" style="237" bestFit="1" customWidth="1"/>
    <col min="4905" max="4905" width="8.7109375" style="237" bestFit="1" customWidth="1"/>
    <col min="4906" max="4906" width="10.7109375" style="237" bestFit="1" customWidth="1"/>
    <col min="4907" max="4907" width="12.42578125" style="237" bestFit="1" customWidth="1"/>
    <col min="4908" max="4908" width="8.42578125" style="237" bestFit="1" customWidth="1"/>
    <col min="4909" max="4909" width="9.42578125" style="237" customWidth="1"/>
    <col min="4910" max="5121" width="9.140625" style="237"/>
    <col min="5122" max="5122" width="3.7109375" style="237" bestFit="1" customWidth="1"/>
    <col min="5123" max="5123" width="17.7109375" style="237" customWidth="1"/>
    <col min="5124" max="5124" width="26.42578125" style="237" customWidth="1"/>
    <col min="5125" max="5125" width="13.42578125" style="237" customWidth="1"/>
    <col min="5126" max="5126" width="8.42578125" style="237" bestFit="1" customWidth="1"/>
    <col min="5127" max="5127" width="9.140625" style="237" customWidth="1"/>
    <col min="5128" max="5128" width="5" style="237" bestFit="1" customWidth="1"/>
    <col min="5129" max="5129" width="7.7109375" style="237" bestFit="1" customWidth="1"/>
    <col min="5130" max="5130" width="7" style="237" bestFit="1" customWidth="1"/>
    <col min="5131" max="5131" width="8.42578125" style="237" bestFit="1" customWidth="1"/>
    <col min="5132" max="5132" width="8" style="237" bestFit="1" customWidth="1"/>
    <col min="5133" max="5133" width="8" style="237" customWidth="1"/>
    <col min="5134" max="5134" width="6.28515625" style="237" customWidth="1"/>
    <col min="5135" max="5135" width="3.42578125" style="237" bestFit="1" customWidth="1"/>
    <col min="5136" max="5136" width="4.7109375" style="237" bestFit="1" customWidth="1"/>
    <col min="5137" max="5137" width="4.42578125" style="237" bestFit="1" customWidth="1"/>
    <col min="5138" max="5138" width="6.42578125" style="237" bestFit="1" customWidth="1"/>
    <col min="5139" max="5139" width="7.7109375" style="237" customWidth="1"/>
    <col min="5140" max="5140" width="4.42578125" style="237" bestFit="1" customWidth="1"/>
    <col min="5141" max="5141" width="2" style="237" bestFit="1" customWidth="1"/>
    <col min="5142" max="5142" width="1.7109375" style="237" customWidth="1"/>
    <col min="5143" max="5143" width="2" style="237" bestFit="1" customWidth="1"/>
    <col min="5144" max="5144" width="5.42578125" style="237" bestFit="1" customWidth="1"/>
    <col min="5145" max="5145" width="6.140625" style="237" bestFit="1" customWidth="1"/>
    <col min="5146" max="5147" width="6.28515625" style="237" bestFit="1" customWidth="1"/>
    <col min="5148" max="5148" width="7" style="237" bestFit="1" customWidth="1"/>
    <col min="5149" max="5149" width="9.7109375" style="237" bestFit="1" customWidth="1"/>
    <col min="5150" max="5151" width="5.28515625" style="237" bestFit="1" customWidth="1"/>
    <col min="5152" max="5153" width="6.140625" style="237" bestFit="1" customWidth="1"/>
    <col min="5154" max="5154" width="5.42578125" style="237" bestFit="1" customWidth="1"/>
    <col min="5155" max="5155" width="6.140625" style="237" bestFit="1" customWidth="1"/>
    <col min="5156" max="5156" width="6.28515625" style="237" bestFit="1" customWidth="1"/>
    <col min="5157" max="5157" width="6.140625" style="237" customWidth="1"/>
    <col min="5158" max="5159" width="5.28515625" style="237" bestFit="1" customWidth="1"/>
    <col min="5160" max="5160" width="9.7109375" style="237" bestFit="1" customWidth="1"/>
    <col min="5161" max="5161" width="8.7109375" style="237" bestFit="1" customWidth="1"/>
    <col min="5162" max="5162" width="10.7109375" style="237" bestFit="1" customWidth="1"/>
    <col min="5163" max="5163" width="12.42578125" style="237" bestFit="1" customWidth="1"/>
    <col min="5164" max="5164" width="8.42578125" style="237" bestFit="1" customWidth="1"/>
    <col min="5165" max="5165" width="9.42578125" style="237" customWidth="1"/>
    <col min="5166" max="5377" width="9.140625" style="237"/>
    <col min="5378" max="5378" width="3.7109375" style="237" bestFit="1" customWidth="1"/>
    <col min="5379" max="5379" width="17.7109375" style="237" customWidth="1"/>
    <col min="5380" max="5380" width="26.42578125" style="237" customWidth="1"/>
    <col min="5381" max="5381" width="13.42578125" style="237" customWidth="1"/>
    <col min="5382" max="5382" width="8.42578125" style="237" bestFit="1" customWidth="1"/>
    <col min="5383" max="5383" width="9.140625" style="237" customWidth="1"/>
    <col min="5384" max="5384" width="5" style="237" bestFit="1" customWidth="1"/>
    <col min="5385" max="5385" width="7.7109375" style="237" bestFit="1" customWidth="1"/>
    <col min="5386" max="5386" width="7" style="237" bestFit="1" customWidth="1"/>
    <col min="5387" max="5387" width="8.42578125" style="237" bestFit="1" customWidth="1"/>
    <col min="5388" max="5388" width="8" style="237" bestFit="1" customWidth="1"/>
    <col min="5389" max="5389" width="8" style="237" customWidth="1"/>
    <col min="5390" max="5390" width="6.28515625" style="237" customWidth="1"/>
    <col min="5391" max="5391" width="3.42578125" style="237" bestFit="1" customWidth="1"/>
    <col min="5392" max="5392" width="4.7109375" style="237" bestFit="1" customWidth="1"/>
    <col min="5393" max="5393" width="4.42578125" style="237" bestFit="1" customWidth="1"/>
    <col min="5394" max="5394" width="6.42578125" style="237" bestFit="1" customWidth="1"/>
    <col min="5395" max="5395" width="7.7109375" style="237" customWidth="1"/>
    <col min="5396" max="5396" width="4.42578125" style="237" bestFit="1" customWidth="1"/>
    <col min="5397" max="5397" width="2" style="237" bestFit="1" customWidth="1"/>
    <col min="5398" max="5398" width="1.7109375" style="237" customWidth="1"/>
    <col min="5399" max="5399" width="2" style="237" bestFit="1" customWidth="1"/>
    <col min="5400" max="5400" width="5.42578125" style="237" bestFit="1" customWidth="1"/>
    <col min="5401" max="5401" width="6.140625" style="237" bestFit="1" customWidth="1"/>
    <col min="5402" max="5403" width="6.28515625" style="237" bestFit="1" customWidth="1"/>
    <col min="5404" max="5404" width="7" style="237" bestFit="1" customWidth="1"/>
    <col min="5405" max="5405" width="9.7109375" style="237" bestFit="1" customWidth="1"/>
    <col min="5406" max="5407" width="5.28515625" style="237" bestFit="1" customWidth="1"/>
    <col min="5408" max="5409" width="6.140625" style="237" bestFit="1" customWidth="1"/>
    <col min="5410" max="5410" width="5.42578125" style="237" bestFit="1" customWidth="1"/>
    <col min="5411" max="5411" width="6.140625" style="237" bestFit="1" customWidth="1"/>
    <col min="5412" max="5412" width="6.28515625" style="237" bestFit="1" customWidth="1"/>
    <col min="5413" max="5413" width="6.140625" style="237" customWidth="1"/>
    <col min="5414" max="5415" width="5.28515625" style="237" bestFit="1" customWidth="1"/>
    <col min="5416" max="5416" width="9.7109375" style="237" bestFit="1" customWidth="1"/>
    <col min="5417" max="5417" width="8.7109375" style="237" bestFit="1" customWidth="1"/>
    <col min="5418" max="5418" width="10.7109375" style="237" bestFit="1" customWidth="1"/>
    <col min="5419" max="5419" width="12.42578125" style="237" bestFit="1" customWidth="1"/>
    <col min="5420" max="5420" width="8.42578125" style="237" bestFit="1" customWidth="1"/>
    <col min="5421" max="5421" width="9.42578125" style="237" customWidth="1"/>
    <col min="5422" max="5633" width="9.140625" style="237"/>
    <col min="5634" max="5634" width="3.7109375" style="237" bestFit="1" customWidth="1"/>
    <col min="5635" max="5635" width="17.7109375" style="237" customWidth="1"/>
    <col min="5636" max="5636" width="26.42578125" style="237" customWidth="1"/>
    <col min="5637" max="5637" width="13.42578125" style="237" customWidth="1"/>
    <col min="5638" max="5638" width="8.42578125" style="237" bestFit="1" customWidth="1"/>
    <col min="5639" max="5639" width="9.140625" style="237" customWidth="1"/>
    <col min="5640" max="5640" width="5" style="237" bestFit="1" customWidth="1"/>
    <col min="5641" max="5641" width="7.7109375" style="237" bestFit="1" customWidth="1"/>
    <col min="5642" max="5642" width="7" style="237" bestFit="1" customWidth="1"/>
    <col min="5643" max="5643" width="8.42578125" style="237" bestFit="1" customWidth="1"/>
    <col min="5644" max="5644" width="8" style="237" bestFit="1" customWidth="1"/>
    <col min="5645" max="5645" width="8" style="237" customWidth="1"/>
    <col min="5646" max="5646" width="6.28515625" style="237" customWidth="1"/>
    <col min="5647" max="5647" width="3.42578125" style="237" bestFit="1" customWidth="1"/>
    <col min="5648" max="5648" width="4.7109375" style="237" bestFit="1" customWidth="1"/>
    <col min="5649" max="5649" width="4.42578125" style="237" bestFit="1" customWidth="1"/>
    <col min="5650" max="5650" width="6.42578125" style="237" bestFit="1" customWidth="1"/>
    <col min="5651" max="5651" width="7.7109375" style="237" customWidth="1"/>
    <col min="5652" max="5652" width="4.42578125" style="237" bestFit="1" customWidth="1"/>
    <col min="5653" max="5653" width="2" style="237" bestFit="1" customWidth="1"/>
    <col min="5654" max="5654" width="1.7109375" style="237" customWidth="1"/>
    <col min="5655" max="5655" width="2" style="237" bestFit="1" customWidth="1"/>
    <col min="5656" max="5656" width="5.42578125" style="237" bestFit="1" customWidth="1"/>
    <col min="5657" max="5657" width="6.140625" style="237" bestFit="1" customWidth="1"/>
    <col min="5658" max="5659" width="6.28515625" style="237" bestFit="1" customWidth="1"/>
    <col min="5660" max="5660" width="7" style="237" bestFit="1" customWidth="1"/>
    <col min="5661" max="5661" width="9.7109375" style="237" bestFit="1" customWidth="1"/>
    <col min="5662" max="5663" width="5.28515625" style="237" bestFit="1" customWidth="1"/>
    <col min="5664" max="5665" width="6.140625" style="237" bestFit="1" customWidth="1"/>
    <col min="5666" max="5666" width="5.42578125" style="237" bestFit="1" customWidth="1"/>
    <col min="5667" max="5667" width="6.140625" style="237" bestFit="1" customWidth="1"/>
    <col min="5668" max="5668" width="6.28515625" style="237" bestFit="1" customWidth="1"/>
    <col min="5669" max="5669" width="6.140625" style="237" customWidth="1"/>
    <col min="5670" max="5671" width="5.28515625" style="237" bestFit="1" customWidth="1"/>
    <col min="5672" max="5672" width="9.7109375" style="237" bestFit="1" customWidth="1"/>
    <col min="5673" max="5673" width="8.7109375" style="237" bestFit="1" customWidth="1"/>
    <col min="5674" max="5674" width="10.7109375" style="237" bestFit="1" customWidth="1"/>
    <col min="5675" max="5675" width="12.42578125" style="237" bestFit="1" customWidth="1"/>
    <col min="5676" max="5676" width="8.42578125" style="237" bestFit="1" customWidth="1"/>
    <col min="5677" max="5677" width="9.42578125" style="237" customWidth="1"/>
    <col min="5678" max="5889" width="9.140625" style="237"/>
    <col min="5890" max="5890" width="3.7109375" style="237" bestFit="1" customWidth="1"/>
    <col min="5891" max="5891" width="17.7109375" style="237" customWidth="1"/>
    <col min="5892" max="5892" width="26.42578125" style="237" customWidth="1"/>
    <col min="5893" max="5893" width="13.42578125" style="237" customWidth="1"/>
    <col min="5894" max="5894" width="8.42578125" style="237" bestFit="1" customWidth="1"/>
    <col min="5895" max="5895" width="9.140625" style="237" customWidth="1"/>
    <col min="5896" max="5896" width="5" style="237" bestFit="1" customWidth="1"/>
    <col min="5897" max="5897" width="7.7109375" style="237" bestFit="1" customWidth="1"/>
    <col min="5898" max="5898" width="7" style="237" bestFit="1" customWidth="1"/>
    <col min="5899" max="5899" width="8.42578125" style="237" bestFit="1" customWidth="1"/>
    <col min="5900" max="5900" width="8" style="237" bestFit="1" customWidth="1"/>
    <col min="5901" max="5901" width="8" style="237" customWidth="1"/>
    <col min="5902" max="5902" width="6.28515625" style="237" customWidth="1"/>
    <col min="5903" max="5903" width="3.42578125" style="237" bestFit="1" customWidth="1"/>
    <col min="5904" max="5904" width="4.7109375" style="237" bestFit="1" customWidth="1"/>
    <col min="5905" max="5905" width="4.42578125" style="237" bestFit="1" customWidth="1"/>
    <col min="5906" max="5906" width="6.42578125" style="237" bestFit="1" customWidth="1"/>
    <col min="5907" max="5907" width="7.7109375" style="237" customWidth="1"/>
    <col min="5908" max="5908" width="4.42578125" style="237" bestFit="1" customWidth="1"/>
    <col min="5909" max="5909" width="2" style="237" bestFit="1" customWidth="1"/>
    <col min="5910" max="5910" width="1.7109375" style="237" customWidth="1"/>
    <col min="5911" max="5911" width="2" style="237" bestFit="1" customWidth="1"/>
    <col min="5912" max="5912" width="5.42578125" style="237" bestFit="1" customWidth="1"/>
    <col min="5913" max="5913" width="6.140625" style="237" bestFit="1" customWidth="1"/>
    <col min="5914" max="5915" width="6.28515625" style="237" bestFit="1" customWidth="1"/>
    <col min="5916" max="5916" width="7" style="237" bestFit="1" customWidth="1"/>
    <col min="5917" max="5917" width="9.7109375" style="237" bestFit="1" customWidth="1"/>
    <col min="5918" max="5919" width="5.28515625" style="237" bestFit="1" customWidth="1"/>
    <col min="5920" max="5921" width="6.140625" style="237" bestFit="1" customWidth="1"/>
    <col min="5922" max="5922" width="5.42578125" style="237" bestFit="1" customWidth="1"/>
    <col min="5923" max="5923" width="6.140625" style="237" bestFit="1" customWidth="1"/>
    <col min="5924" max="5924" width="6.28515625" style="237" bestFit="1" customWidth="1"/>
    <col min="5925" max="5925" width="6.140625" style="237" customWidth="1"/>
    <col min="5926" max="5927" width="5.28515625" style="237" bestFit="1" customWidth="1"/>
    <col min="5928" max="5928" width="9.7109375" style="237" bestFit="1" customWidth="1"/>
    <col min="5929" max="5929" width="8.7109375" style="237" bestFit="1" customWidth="1"/>
    <col min="5930" max="5930" width="10.7109375" style="237" bestFit="1" customWidth="1"/>
    <col min="5931" max="5931" width="12.42578125" style="237" bestFit="1" customWidth="1"/>
    <col min="5932" max="5932" width="8.42578125" style="237" bestFit="1" customWidth="1"/>
    <col min="5933" max="5933" width="9.42578125" style="237" customWidth="1"/>
    <col min="5934" max="6145" width="9.140625" style="237"/>
    <col min="6146" max="6146" width="3.7109375" style="237" bestFit="1" customWidth="1"/>
    <col min="6147" max="6147" width="17.7109375" style="237" customWidth="1"/>
    <col min="6148" max="6148" width="26.42578125" style="237" customWidth="1"/>
    <col min="6149" max="6149" width="13.42578125" style="237" customWidth="1"/>
    <col min="6150" max="6150" width="8.42578125" style="237" bestFit="1" customWidth="1"/>
    <col min="6151" max="6151" width="9.140625" style="237" customWidth="1"/>
    <col min="6152" max="6152" width="5" style="237" bestFit="1" customWidth="1"/>
    <col min="6153" max="6153" width="7.7109375" style="237" bestFit="1" customWidth="1"/>
    <col min="6154" max="6154" width="7" style="237" bestFit="1" customWidth="1"/>
    <col min="6155" max="6155" width="8.42578125" style="237" bestFit="1" customWidth="1"/>
    <col min="6156" max="6156" width="8" style="237" bestFit="1" customWidth="1"/>
    <col min="6157" max="6157" width="8" style="237" customWidth="1"/>
    <col min="6158" max="6158" width="6.28515625" style="237" customWidth="1"/>
    <col min="6159" max="6159" width="3.42578125" style="237" bestFit="1" customWidth="1"/>
    <col min="6160" max="6160" width="4.7109375" style="237" bestFit="1" customWidth="1"/>
    <col min="6161" max="6161" width="4.42578125" style="237" bestFit="1" customWidth="1"/>
    <col min="6162" max="6162" width="6.42578125" style="237" bestFit="1" customWidth="1"/>
    <col min="6163" max="6163" width="7.7109375" style="237" customWidth="1"/>
    <col min="6164" max="6164" width="4.42578125" style="237" bestFit="1" customWidth="1"/>
    <col min="6165" max="6165" width="2" style="237" bestFit="1" customWidth="1"/>
    <col min="6166" max="6166" width="1.7109375" style="237" customWidth="1"/>
    <col min="6167" max="6167" width="2" style="237" bestFit="1" customWidth="1"/>
    <col min="6168" max="6168" width="5.42578125" style="237" bestFit="1" customWidth="1"/>
    <col min="6169" max="6169" width="6.140625" style="237" bestFit="1" customWidth="1"/>
    <col min="6170" max="6171" width="6.28515625" style="237" bestFit="1" customWidth="1"/>
    <col min="6172" max="6172" width="7" style="237" bestFit="1" customWidth="1"/>
    <col min="6173" max="6173" width="9.7109375" style="237" bestFit="1" customWidth="1"/>
    <col min="6174" max="6175" width="5.28515625" style="237" bestFit="1" customWidth="1"/>
    <col min="6176" max="6177" width="6.140625" style="237" bestFit="1" customWidth="1"/>
    <col min="6178" max="6178" width="5.42578125" style="237" bestFit="1" customWidth="1"/>
    <col min="6179" max="6179" width="6.140625" style="237" bestFit="1" customWidth="1"/>
    <col min="6180" max="6180" width="6.28515625" style="237" bestFit="1" customWidth="1"/>
    <col min="6181" max="6181" width="6.140625" style="237" customWidth="1"/>
    <col min="6182" max="6183" width="5.28515625" style="237" bestFit="1" customWidth="1"/>
    <col min="6184" max="6184" width="9.7109375" style="237" bestFit="1" customWidth="1"/>
    <col min="6185" max="6185" width="8.7109375" style="237" bestFit="1" customWidth="1"/>
    <col min="6186" max="6186" width="10.7109375" style="237" bestFit="1" customWidth="1"/>
    <col min="6187" max="6187" width="12.42578125" style="237" bestFit="1" customWidth="1"/>
    <col min="6188" max="6188" width="8.42578125" style="237" bestFit="1" customWidth="1"/>
    <col min="6189" max="6189" width="9.42578125" style="237" customWidth="1"/>
    <col min="6190" max="6401" width="9.140625" style="237"/>
    <col min="6402" max="6402" width="3.7109375" style="237" bestFit="1" customWidth="1"/>
    <col min="6403" max="6403" width="17.7109375" style="237" customWidth="1"/>
    <col min="6404" max="6404" width="26.42578125" style="237" customWidth="1"/>
    <col min="6405" max="6405" width="13.42578125" style="237" customWidth="1"/>
    <col min="6406" max="6406" width="8.42578125" style="237" bestFit="1" customWidth="1"/>
    <col min="6407" max="6407" width="9.140625" style="237" customWidth="1"/>
    <col min="6408" max="6408" width="5" style="237" bestFit="1" customWidth="1"/>
    <col min="6409" max="6409" width="7.7109375" style="237" bestFit="1" customWidth="1"/>
    <col min="6410" max="6410" width="7" style="237" bestFit="1" customWidth="1"/>
    <col min="6411" max="6411" width="8.42578125" style="237" bestFit="1" customWidth="1"/>
    <col min="6412" max="6412" width="8" style="237" bestFit="1" customWidth="1"/>
    <col min="6413" max="6413" width="8" style="237" customWidth="1"/>
    <col min="6414" max="6414" width="6.28515625" style="237" customWidth="1"/>
    <col min="6415" max="6415" width="3.42578125" style="237" bestFit="1" customWidth="1"/>
    <col min="6416" max="6416" width="4.7109375" style="237" bestFit="1" customWidth="1"/>
    <col min="6417" max="6417" width="4.42578125" style="237" bestFit="1" customWidth="1"/>
    <col min="6418" max="6418" width="6.42578125" style="237" bestFit="1" customWidth="1"/>
    <col min="6419" max="6419" width="7.7109375" style="237" customWidth="1"/>
    <col min="6420" max="6420" width="4.42578125" style="237" bestFit="1" customWidth="1"/>
    <col min="6421" max="6421" width="2" style="237" bestFit="1" customWidth="1"/>
    <col min="6422" max="6422" width="1.7109375" style="237" customWidth="1"/>
    <col min="6423" max="6423" width="2" style="237" bestFit="1" customWidth="1"/>
    <col min="6424" max="6424" width="5.42578125" style="237" bestFit="1" customWidth="1"/>
    <col min="6425" max="6425" width="6.140625" style="237" bestFit="1" customWidth="1"/>
    <col min="6426" max="6427" width="6.28515625" style="237" bestFit="1" customWidth="1"/>
    <col min="6428" max="6428" width="7" style="237" bestFit="1" customWidth="1"/>
    <col min="6429" max="6429" width="9.7109375" style="237" bestFit="1" customWidth="1"/>
    <col min="6430" max="6431" width="5.28515625" style="237" bestFit="1" customWidth="1"/>
    <col min="6432" max="6433" width="6.140625" style="237" bestFit="1" customWidth="1"/>
    <col min="6434" max="6434" width="5.42578125" style="237" bestFit="1" customWidth="1"/>
    <col min="6435" max="6435" width="6.140625" style="237" bestFit="1" customWidth="1"/>
    <col min="6436" max="6436" width="6.28515625" style="237" bestFit="1" customWidth="1"/>
    <col min="6437" max="6437" width="6.140625" style="237" customWidth="1"/>
    <col min="6438" max="6439" width="5.28515625" style="237" bestFit="1" customWidth="1"/>
    <col min="6440" max="6440" width="9.7109375" style="237" bestFit="1" customWidth="1"/>
    <col min="6441" max="6441" width="8.7109375" style="237" bestFit="1" customWidth="1"/>
    <col min="6442" max="6442" width="10.7109375" style="237" bestFit="1" customWidth="1"/>
    <col min="6443" max="6443" width="12.42578125" style="237" bestFit="1" customWidth="1"/>
    <col min="6444" max="6444" width="8.42578125" style="237" bestFit="1" customWidth="1"/>
    <col min="6445" max="6445" width="9.42578125" style="237" customWidth="1"/>
    <col min="6446" max="6657" width="9.140625" style="237"/>
    <col min="6658" max="6658" width="3.7109375" style="237" bestFit="1" customWidth="1"/>
    <col min="6659" max="6659" width="17.7109375" style="237" customWidth="1"/>
    <col min="6660" max="6660" width="26.42578125" style="237" customWidth="1"/>
    <col min="6661" max="6661" width="13.42578125" style="237" customWidth="1"/>
    <col min="6662" max="6662" width="8.42578125" style="237" bestFit="1" customWidth="1"/>
    <col min="6663" max="6663" width="9.140625" style="237" customWidth="1"/>
    <col min="6664" max="6664" width="5" style="237" bestFit="1" customWidth="1"/>
    <col min="6665" max="6665" width="7.7109375" style="237" bestFit="1" customWidth="1"/>
    <col min="6666" max="6666" width="7" style="237" bestFit="1" customWidth="1"/>
    <col min="6667" max="6667" width="8.42578125" style="237" bestFit="1" customWidth="1"/>
    <col min="6668" max="6668" width="8" style="237" bestFit="1" customWidth="1"/>
    <col min="6669" max="6669" width="8" style="237" customWidth="1"/>
    <col min="6670" max="6670" width="6.28515625" style="237" customWidth="1"/>
    <col min="6671" max="6671" width="3.42578125" style="237" bestFit="1" customWidth="1"/>
    <col min="6672" max="6672" width="4.7109375" style="237" bestFit="1" customWidth="1"/>
    <col min="6673" max="6673" width="4.42578125" style="237" bestFit="1" customWidth="1"/>
    <col min="6674" max="6674" width="6.42578125" style="237" bestFit="1" customWidth="1"/>
    <col min="6675" max="6675" width="7.7109375" style="237" customWidth="1"/>
    <col min="6676" max="6676" width="4.42578125" style="237" bestFit="1" customWidth="1"/>
    <col min="6677" max="6677" width="2" style="237" bestFit="1" customWidth="1"/>
    <col min="6678" max="6678" width="1.7109375" style="237" customWidth="1"/>
    <col min="6679" max="6679" width="2" style="237" bestFit="1" customWidth="1"/>
    <col min="6680" max="6680" width="5.42578125" style="237" bestFit="1" customWidth="1"/>
    <col min="6681" max="6681" width="6.140625" style="237" bestFit="1" customWidth="1"/>
    <col min="6682" max="6683" width="6.28515625" style="237" bestFit="1" customWidth="1"/>
    <col min="6684" max="6684" width="7" style="237" bestFit="1" customWidth="1"/>
    <col min="6685" max="6685" width="9.7109375" style="237" bestFit="1" customWidth="1"/>
    <col min="6686" max="6687" width="5.28515625" style="237" bestFit="1" customWidth="1"/>
    <col min="6688" max="6689" width="6.140625" style="237" bestFit="1" customWidth="1"/>
    <col min="6690" max="6690" width="5.42578125" style="237" bestFit="1" customWidth="1"/>
    <col min="6691" max="6691" width="6.140625" style="237" bestFit="1" customWidth="1"/>
    <col min="6692" max="6692" width="6.28515625" style="237" bestFit="1" customWidth="1"/>
    <col min="6693" max="6693" width="6.140625" style="237" customWidth="1"/>
    <col min="6694" max="6695" width="5.28515625" style="237" bestFit="1" customWidth="1"/>
    <col min="6696" max="6696" width="9.7109375" style="237" bestFit="1" customWidth="1"/>
    <col min="6697" max="6697" width="8.7109375" style="237" bestFit="1" customWidth="1"/>
    <col min="6698" max="6698" width="10.7109375" style="237" bestFit="1" customWidth="1"/>
    <col min="6699" max="6699" width="12.42578125" style="237" bestFit="1" customWidth="1"/>
    <col min="6700" max="6700" width="8.42578125" style="237" bestFit="1" customWidth="1"/>
    <col min="6701" max="6701" width="9.42578125" style="237" customWidth="1"/>
    <col min="6702" max="6913" width="9.140625" style="237"/>
    <col min="6914" max="6914" width="3.7109375" style="237" bestFit="1" customWidth="1"/>
    <col min="6915" max="6915" width="17.7109375" style="237" customWidth="1"/>
    <col min="6916" max="6916" width="26.42578125" style="237" customWidth="1"/>
    <col min="6917" max="6917" width="13.42578125" style="237" customWidth="1"/>
    <col min="6918" max="6918" width="8.42578125" style="237" bestFit="1" customWidth="1"/>
    <col min="6919" max="6919" width="9.140625" style="237" customWidth="1"/>
    <col min="6920" max="6920" width="5" style="237" bestFit="1" customWidth="1"/>
    <col min="6921" max="6921" width="7.7109375" style="237" bestFit="1" customWidth="1"/>
    <col min="6922" max="6922" width="7" style="237" bestFit="1" customWidth="1"/>
    <col min="6923" max="6923" width="8.42578125" style="237" bestFit="1" customWidth="1"/>
    <col min="6924" max="6924" width="8" style="237" bestFit="1" customWidth="1"/>
    <col min="6925" max="6925" width="8" style="237" customWidth="1"/>
    <col min="6926" max="6926" width="6.28515625" style="237" customWidth="1"/>
    <col min="6927" max="6927" width="3.42578125" style="237" bestFit="1" customWidth="1"/>
    <col min="6928" max="6928" width="4.7109375" style="237" bestFit="1" customWidth="1"/>
    <col min="6929" max="6929" width="4.42578125" style="237" bestFit="1" customWidth="1"/>
    <col min="6930" max="6930" width="6.42578125" style="237" bestFit="1" customWidth="1"/>
    <col min="6931" max="6931" width="7.7109375" style="237" customWidth="1"/>
    <col min="6932" max="6932" width="4.42578125" style="237" bestFit="1" customWidth="1"/>
    <col min="6933" max="6933" width="2" style="237" bestFit="1" customWidth="1"/>
    <col min="6934" max="6934" width="1.7109375" style="237" customWidth="1"/>
    <col min="6935" max="6935" width="2" style="237" bestFit="1" customWidth="1"/>
    <col min="6936" max="6936" width="5.42578125" style="237" bestFit="1" customWidth="1"/>
    <col min="6937" max="6937" width="6.140625" style="237" bestFit="1" customWidth="1"/>
    <col min="6938" max="6939" width="6.28515625" style="237" bestFit="1" customWidth="1"/>
    <col min="6940" max="6940" width="7" style="237" bestFit="1" customWidth="1"/>
    <col min="6941" max="6941" width="9.7109375" style="237" bestFit="1" customWidth="1"/>
    <col min="6942" max="6943" width="5.28515625" style="237" bestFit="1" customWidth="1"/>
    <col min="6944" max="6945" width="6.140625" style="237" bestFit="1" customWidth="1"/>
    <col min="6946" max="6946" width="5.42578125" style="237" bestFit="1" customWidth="1"/>
    <col min="6947" max="6947" width="6.140625" style="237" bestFit="1" customWidth="1"/>
    <col min="6948" max="6948" width="6.28515625" style="237" bestFit="1" customWidth="1"/>
    <col min="6949" max="6949" width="6.140625" style="237" customWidth="1"/>
    <col min="6950" max="6951" width="5.28515625" style="237" bestFit="1" customWidth="1"/>
    <col min="6952" max="6952" width="9.7109375" style="237" bestFit="1" customWidth="1"/>
    <col min="6953" max="6953" width="8.7109375" style="237" bestFit="1" customWidth="1"/>
    <col min="6954" max="6954" width="10.7109375" style="237" bestFit="1" customWidth="1"/>
    <col min="6955" max="6955" width="12.42578125" style="237" bestFit="1" customWidth="1"/>
    <col min="6956" max="6956" width="8.42578125" style="237" bestFit="1" customWidth="1"/>
    <col min="6957" max="6957" width="9.42578125" style="237" customWidth="1"/>
    <col min="6958" max="7169" width="9.140625" style="237"/>
    <col min="7170" max="7170" width="3.7109375" style="237" bestFit="1" customWidth="1"/>
    <col min="7171" max="7171" width="17.7109375" style="237" customWidth="1"/>
    <col min="7172" max="7172" width="26.42578125" style="237" customWidth="1"/>
    <col min="7173" max="7173" width="13.42578125" style="237" customWidth="1"/>
    <col min="7174" max="7174" width="8.42578125" style="237" bestFit="1" customWidth="1"/>
    <col min="7175" max="7175" width="9.140625" style="237" customWidth="1"/>
    <col min="7176" max="7176" width="5" style="237" bestFit="1" customWidth="1"/>
    <col min="7177" max="7177" width="7.7109375" style="237" bestFit="1" customWidth="1"/>
    <col min="7178" max="7178" width="7" style="237" bestFit="1" customWidth="1"/>
    <col min="7179" max="7179" width="8.42578125" style="237" bestFit="1" customWidth="1"/>
    <col min="7180" max="7180" width="8" style="237" bestFit="1" customWidth="1"/>
    <col min="7181" max="7181" width="8" style="237" customWidth="1"/>
    <col min="7182" max="7182" width="6.28515625" style="237" customWidth="1"/>
    <col min="7183" max="7183" width="3.42578125" style="237" bestFit="1" customWidth="1"/>
    <col min="7184" max="7184" width="4.7109375" style="237" bestFit="1" customWidth="1"/>
    <col min="7185" max="7185" width="4.42578125" style="237" bestFit="1" customWidth="1"/>
    <col min="7186" max="7186" width="6.42578125" style="237" bestFit="1" customWidth="1"/>
    <col min="7187" max="7187" width="7.7109375" style="237" customWidth="1"/>
    <col min="7188" max="7188" width="4.42578125" style="237" bestFit="1" customWidth="1"/>
    <col min="7189" max="7189" width="2" style="237" bestFit="1" customWidth="1"/>
    <col min="7190" max="7190" width="1.7109375" style="237" customWidth="1"/>
    <col min="7191" max="7191" width="2" style="237" bestFit="1" customWidth="1"/>
    <col min="7192" max="7192" width="5.42578125" style="237" bestFit="1" customWidth="1"/>
    <col min="7193" max="7193" width="6.140625" style="237" bestFit="1" customWidth="1"/>
    <col min="7194" max="7195" width="6.28515625" style="237" bestFit="1" customWidth="1"/>
    <col min="7196" max="7196" width="7" style="237" bestFit="1" customWidth="1"/>
    <col min="7197" max="7197" width="9.7109375" style="237" bestFit="1" customWidth="1"/>
    <col min="7198" max="7199" width="5.28515625" style="237" bestFit="1" customWidth="1"/>
    <col min="7200" max="7201" width="6.140625" style="237" bestFit="1" customWidth="1"/>
    <col min="7202" max="7202" width="5.42578125" style="237" bestFit="1" customWidth="1"/>
    <col min="7203" max="7203" width="6.140625" style="237" bestFit="1" customWidth="1"/>
    <col min="7204" max="7204" width="6.28515625" style="237" bestFit="1" customWidth="1"/>
    <col min="7205" max="7205" width="6.140625" style="237" customWidth="1"/>
    <col min="7206" max="7207" width="5.28515625" style="237" bestFit="1" customWidth="1"/>
    <col min="7208" max="7208" width="9.7109375" style="237" bestFit="1" customWidth="1"/>
    <col min="7209" max="7209" width="8.7109375" style="237" bestFit="1" customWidth="1"/>
    <col min="7210" max="7210" width="10.7109375" style="237" bestFit="1" customWidth="1"/>
    <col min="7211" max="7211" width="12.42578125" style="237" bestFit="1" customWidth="1"/>
    <col min="7212" max="7212" width="8.42578125" style="237" bestFit="1" customWidth="1"/>
    <col min="7213" max="7213" width="9.42578125" style="237" customWidth="1"/>
    <col min="7214" max="7425" width="9.140625" style="237"/>
    <col min="7426" max="7426" width="3.7109375" style="237" bestFit="1" customWidth="1"/>
    <col min="7427" max="7427" width="17.7109375" style="237" customWidth="1"/>
    <col min="7428" max="7428" width="26.42578125" style="237" customWidth="1"/>
    <col min="7429" max="7429" width="13.42578125" style="237" customWidth="1"/>
    <col min="7430" max="7430" width="8.42578125" style="237" bestFit="1" customWidth="1"/>
    <col min="7431" max="7431" width="9.140625" style="237" customWidth="1"/>
    <col min="7432" max="7432" width="5" style="237" bestFit="1" customWidth="1"/>
    <col min="7433" max="7433" width="7.7109375" style="237" bestFit="1" customWidth="1"/>
    <col min="7434" max="7434" width="7" style="237" bestFit="1" customWidth="1"/>
    <col min="7435" max="7435" width="8.42578125" style="237" bestFit="1" customWidth="1"/>
    <col min="7436" max="7436" width="8" style="237" bestFit="1" customWidth="1"/>
    <col min="7437" max="7437" width="8" style="237" customWidth="1"/>
    <col min="7438" max="7438" width="6.28515625" style="237" customWidth="1"/>
    <col min="7439" max="7439" width="3.42578125" style="237" bestFit="1" customWidth="1"/>
    <col min="7440" max="7440" width="4.7109375" style="237" bestFit="1" customWidth="1"/>
    <col min="7441" max="7441" width="4.42578125" style="237" bestFit="1" customWidth="1"/>
    <col min="7442" max="7442" width="6.42578125" style="237" bestFit="1" customWidth="1"/>
    <col min="7443" max="7443" width="7.7109375" style="237" customWidth="1"/>
    <col min="7444" max="7444" width="4.42578125" style="237" bestFit="1" customWidth="1"/>
    <col min="7445" max="7445" width="2" style="237" bestFit="1" customWidth="1"/>
    <col min="7446" max="7446" width="1.7109375" style="237" customWidth="1"/>
    <col min="7447" max="7447" width="2" style="237" bestFit="1" customWidth="1"/>
    <col min="7448" max="7448" width="5.42578125" style="237" bestFit="1" customWidth="1"/>
    <col min="7449" max="7449" width="6.140625" style="237" bestFit="1" customWidth="1"/>
    <col min="7450" max="7451" width="6.28515625" style="237" bestFit="1" customWidth="1"/>
    <col min="7452" max="7452" width="7" style="237" bestFit="1" customWidth="1"/>
    <col min="7453" max="7453" width="9.7109375" style="237" bestFit="1" customWidth="1"/>
    <col min="7454" max="7455" width="5.28515625" style="237" bestFit="1" customWidth="1"/>
    <col min="7456" max="7457" width="6.140625" style="237" bestFit="1" customWidth="1"/>
    <col min="7458" max="7458" width="5.42578125" style="237" bestFit="1" customWidth="1"/>
    <col min="7459" max="7459" width="6.140625" style="237" bestFit="1" customWidth="1"/>
    <col min="7460" max="7460" width="6.28515625" style="237" bestFit="1" customWidth="1"/>
    <col min="7461" max="7461" width="6.140625" style="237" customWidth="1"/>
    <col min="7462" max="7463" width="5.28515625" style="237" bestFit="1" customWidth="1"/>
    <col min="7464" max="7464" width="9.7109375" style="237" bestFit="1" customWidth="1"/>
    <col min="7465" max="7465" width="8.7109375" style="237" bestFit="1" customWidth="1"/>
    <col min="7466" max="7466" width="10.7109375" style="237" bestFit="1" customWidth="1"/>
    <col min="7467" max="7467" width="12.42578125" style="237" bestFit="1" customWidth="1"/>
    <col min="7468" max="7468" width="8.42578125" style="237" bestFit="1" customWidth="1"/>
    <col min="7469" max="7469" width="9.42578125" style="237" customWidth="1"/>
    <col min="7470" max="7681" width="9.140625" style="237"/>
    <col min="7682" max="7682" width="3.7109375" style="237" bestFit="1" customWidth="1"/>
    <col min="7683" max="7683" width="17.7109375" style="237" customWidth="1"/>
    <col min="7684" max="7684" width="26.42578125" style="237" customWidth="1"/>
    <col min="7685" max="7685" width="13.42578125" style="237" customWidth="1"/>
    <col min="7686" max="7686" width="8.42578125" style="237" bestFit="1" customWidth="1"/>
    <col min="7687" max="7687" width="9.140625" style="237" customWidth="1"/>
    <col min="7688" max="7688" width="5" style="237" bestFit="1" customWidth="1"/>
    <col min="7689" max="7689" width="7.7109375" style="237" bestFit="1" customWidth="1"/>
    <col min="7690" max="7690" width="7" style="237" bestFit="1" customWidth="1"/>
    <col min="7691" max="7691" width="8.42578125" style="237" bestFit="1" customWidth="1"/>
    <col min="7692" max="7692" width="8" style="237" bestFit="1" customWidth="1"/>
    <col min="7693" max="7693" width="8" style="237" customWidth="1"/>
    <col min="7694" max="7694" width="6.28515625" style="237" customWidth="1"/>
    <col min="7695" max="7695" width="3.42578125" style="237" bestFit="1" customWidth="1"/>
    <col min="7696" max="7696" width="4.7109375" style="237" bestFit="1" customWidth="1"/>
    <col min="7697" max="7697" width="4.42578125" style="237" bestFit="1" customWidth="1"/>
    <col min="7698" max="7698" width="6.42578125" style="237" bestFit="1" customWidth="1"/>
    <col min="7699" max="7699" width="7.7109375" style="237" customWidth="1"/>
    <col min="7700" max="7700" width="4.42578125" style="237" bestFit="1" customWidth="1"/>
    <col min="7701" max="7701" width="2" style="237" bestFit="1" customWidth="1"/>
    <col min="7702" max="7702" width="1.7109375" style="237" customWidth="1"/>
    <col min="7703" max="7703" width="2" style="237" bestFit="1" customWidth="1"/>
    <col min="7704" max="7704" width="5.42578125" style="237" bestFit="1" customWidth="1"/>
    <col min="7705" max="7705" width="6.140625" style="237" bestFit="1" customWidth="1"/>
    <col min="7706" max="7707" width="6.28515625" style="237" bestFit="1" customWidth="1"/>
    <col min="7708" max="7708" width="7" style="237" bestFit="1" customWidth="1"/>
    <col min="7709" max="7709" width="9.7109375" style="237" bestFit="1" customWidth="1"/>
    <col min="7710" max="7711" width="5.28515625" style="237" bestFit="1" customWidth="1"/>
    <col min="7712" max="7713" width="6.140625" style="237" bestFit="1" customWidth="1"/>
    <col min="7714" max="7714" width="5.42578125" style="237" bestFit="1" customWidth="1"/>
    <col min="7715" max="7715" width="6.140625" style="237" bestFit="1" customWidth="1"/>
    <col min="7716" max="7716" width="6.28515625" style="237" bestFit="1" customWidth="1"/>
    <col min="7717" max="7717" width="6.140625" style="237" customWidth="1"/>
    <col min="7718" max="7719" width="5.28515625" style="237" bestFit="1" customWidth="1"/>
    <col min="7720" max="7720" width="9.7109375" style="237" bestFit="1" customWidth="1"/>
    <col min="7721" max="7721" width="8.7109375" style="237" bestFit="1" customWidth="1"/>
    <col min="7722" max="7722" width="10.7109375" style="237" bestFit="1" customWidth="1"/>
    <col min="7723" max="7723" width="12.42578125" style="237" bestFit="1" customWidth="1"/>
    <col min="7724" max="7724" width="8.42578125" style="237" bestFit="1" customWidth="1"/>
    <col min="7725" max="7725" width="9.42578125" style="237" customWidth="1"/>
    <col min="7726" max="7937" width="9.140625" style="237"/>
    <col min="7938" max="7938" width="3.7109375" style="237" bestFit="1" customWidth="1"/>
    <col min="7939" max="7939" width="17.7109375" style="237" customWidth="1"/>
    <col min="7940" max="7940" width="26.42578125" style="237" customWidth="1"/>
    <col min="7941" max="7941" width="13.42578125" style="237" customWidth="1"/>
    <col min="7942" max="7942" width="8.42578125" style="237" bestFit="1" customWidth="1"/>
    <col min="7943" max="7943" width="9.140625" style="237" customWidth="1"/>
    <col min="7944" max="7944" width="5" style="237" bestFit="1" customWidth="1"/>
    <col min="7945" max="7945" width="7.7109375" style="237" bestFit="1" customWidth="1"/>
    <col min="7946" max="7946" width="7" style="237" bestFit="1" customWidth="1"/>
    <col min="7947" max="7947" width="8.42578125" style="237" bestFit="1" customWidth="1"/>
    <col min="7948" max="7948" width="8" style="237" bestFit="1" customWidth="1"/>
    <col min="7949" max="7949" width="8" style="237" customWidth="1"/>
    <col min="7950" max="7950" width="6.28515625" style="237" customWidth="1"/>
    <col min="7951" max="7951" width="3.42578125" style="237" bestFit="1" customWidth="1"/>
    <col min="7952" max="7952" width="4.7109375" style="237" bestFit="1" customWidth="1"/>
    <col min="7953" max="7953" width="4.42578125" style="237" bestFit="1" customWidth="1"/>
    <col min="7954" max="7954" width="6.42578125" style="237" bestFit="1" customWidth="1"/>
    <col min="7955" max="7955" width="7.7109375" style="237" customWidth="1"/>
    <col min="7956" max="7956" width="4.42578125" style="237" bestFit="1" customWidth="1"/>
    <col min="7957" max="7957" width="2" style="237" bestFit="1" customWidth="1"/>
    <col min="7958" max="7958" width="1.7109375" style="237" customWidth="1"/>
    <col min="7959" max="7959" width="2" style="237" bestFit="1" customWidth="1"/>
    <col min="7960" max="7960" width="5.42578125" style="237" bestFit="1" customWidth="1"/>
    <col min="7961" max="7961" width="6.140625" style="237" bestFit="1" customWidth="1"/>
    <col min="7962" max="7963" width="6.28515625" style="237" bestFit="1" customWidth="1"/>
    <col min="7964" max="7964" width="7" style="237" bestFit="1" customWidth="1"/>
    <col min="7965" max="7965" width="9.7109375" style="237" bestFit="1" customWidth="1"/>
    <col min="7966" max="7967" width="5.28515625" style="237" bestFit="1" customWidth="1"/>
    <col min="7968" max="7969" width="6.140625" style="237" bestFit="1" customWidth="1"/>
    <col min="7970" max="7970" width="5.42578125" style="237" bestFit="1" customWidth="1"/>
    <col min="7971" max="7971" width="6.140625" style="237" bestFit="1" customWidth="1"/>
    <col min="7972" max="7972" width="6.28515625" style="237" bestFit="1" customWidth="1"/>
    <col min="7973" max="7973" width="6.140625" style="237" customWidth="1"/>
    <col min="7974" max="7975" width="5.28515625" style="237" bestFit="1" customWidth="1"/>
    <col min="7976" max="7976" width="9.7109375" style="237" bestFit="1" customWidth="1"/>
    <col min="7977" max="7977" width="8.7109375" style="237" bestFit="1" customWidth="1"/>
    <col min="7978" max="7978" width="10.7109375" style="237" bestFit="1" customWidth="1"/>
    <col min="7979" max="7979" width="12.42578125" style="237" bestFit="1" customWidth="1"/>
    <col min="7980" max="7980" width="8.42578125" style="237" bestFit="1" customWidth="1"/>
    <col min="7981" max="7981" width="9.42578125" style="237" customWidth="1"/>
    <col min="7982" max="8193" width="9.140625" style="237"/>
    <col min="8194" max="8194" width="3.7109375" style="237" bestFit="1" customWidth="1"/>
    <col min="8195" max="8195" width="17.7109375" style="237" customWidth="1"/>
    <col min="8196" max="8196" width="26.42578125" style="237" customWidth="1"/>
    <col min="8197" max="8197" width="13.42578125" style="237" customWidth="1"/>
    <col min="8198" max="8198" width="8.42578125" style="237" bestFit="1" customWidth="1"/>
    <col min="8199" max="8199" width="9.140625" style="237" customWidth="1"/>
    <col min="8200" max="8200" width="5" style="237" bestFit="1" customWidth="1"/>
    <col min="8201" max="8201" width="7.7109375" style="237" bestFit="1" customWidth="1"/>
    <col min="8202" max="8202" width="7" style="237" bestFit="1" customWidth="1"/>
    <col min="8203" max="8203" width="8.42578125" style="237" bestFit="1" customWidth="1"/>
    <col min="8204" max="8204" width="8" style="237" bestFit="1" customWidth="1"/>
    <col min="8205" max="8205" width="8" style="237" customWidth="1"/>
    <col min="8206" max="8206" width="6.28515625" style="237" customWidth="1"/>
    <col min="8207" max="8207" width="3.42578125" style="237" bestFit="1" customWidth="1"/>
    <col min="8208" max="8208" width="4.7109375" style="237" bestFit="1" customWidth="1"/>
    <col min="8209" max="8209" width="4.42578125" style="237" bestFit="1" customWidth="1"/>
    <col min="8210" max="8210" width="6.42578125" style="237" bestFit="1" customWidth="1"/>
    <col min="8211" max="8211" width="7.7109375" style="237" customWidth="1"/>
    <col min="8212" max="8212" width="4.42578125" style="237" bestFit="1" customWidth="1"/>
    <col min="8213" max="8213" width="2" style="237" bestFit="1" customWidth="1"/>
    <col min="8214" max="8214" width="1.7109375" style="237" customWidth="1"/>
    <col min="8215" max="8215" width="2" style="237" bestFit="1" customWidth="1"/>
    <col min="8216" max="8216" width="5.42578125" style="237" bestFit="1" customWidth="1"/>
    <col min="8217" max="8217" width="6.140625" style="237" bestFit="1" customWidth="1"/>
    <col min="8218" max="8219" width="6.28515625" style="237" bestFit="1" customWidth="1"/>
    <col min="8220" max="8220" width="7" style="237" bestFit="1" customWidth="1"/>
    <col min="8221" max="8221" width="9.7109375" style="237" bestFit="1" customWidth="1"/>
    <col min="8222" max="8223" width="5.28515625" style="237" bestFit="1" customWidth="1"/>
    <col min="8224" max="8225" width="6.140625" style="237" bestFit="1" customWidth="1"/>
    <col min="8226" max="8226" width="5.42578125" style="237" bestFit="1" customWidth="1"/>
    <col min="8227" max="8227" width="6.140625" style="237" bestFit="1" customWidth="1"/>
    <col min="8228" max="8228" width="6.28515625" style="237" bestFit="1" customWidth="1"/>
    <col min="8229" max="8229" width="6.140625" style="237" customWidth="1"/>
    <col min="8230" max="8231" width="5.28515625" style="237" bestFit="1" customWidth="1"/>
    <col min="8232" max="8232" width="9.7109375" style="237" bestFit="1" customWidth="1"/>
    <col min="8233" max="8233" width="8.7109375" style="237" bestFit="1" customWidth="1"/>
    <col min="8234" max="8234" width="10.7109375" style="237" bestFit="1" customWidth="1"/>
    <col min="8235" max="8235" width="12.42578125" style="237" bestFit="1" customWidth="1"/>
    <col min="8236" max="8236" width="8.42578125" style="237" bestFit="1" customWidth="1"/>
    <col min="8237" max="8237" width="9.42578125" style="237" customWidth="1"/>
    <col min="8238" max="8449" width="9.140625" style="237"/>
    <col min="8450" max="8450" width="3.7109375" style="237" bestFit="1" customWidth="1"/>
    <col min="8451" max="8451" width="17.7109375" style="237" customWidth="1"/>
    <col min="8452" max="8452" width="26.42578125" style="237" customWidth="1"/>
    <col min="8453" max="8453" width="13.42578125" style="237" customWidth="1"/>
    <col min="8454" max="8454" width="8.42578125" style="237" bestFit="1" customWidth="1"/>
    <col min="8455" max="8455" width="9.140625" style="237" customWidth="1"/>
    <col min="8456" max="8456" width="5" style="237" bestFit="1" customWidth="1"/>
    <col min="8457" max="8457" width="7.7109375" style="237" bestFit="1" customWidth="1"/>
    <col min="8458" max="8458" width="7" style="237" bestFit="1" customWidth="1"/>
    <col min="8459" max="8459" width="8.42578125" style="237" bestFit="1" customWidth="1"/>
    <col min="8460" max="8460" width="8" style="237" bestFit="1" customWidth="1"/>
    <col min="8461" max="8461" width="8" style="237" customWidth="1"/>
    <col min="8462" max="8462" width="6.28515625" style="237" customWidth="1"/>
    <col min="8463" max="8463" width="3.42578125" style="237" bestFit="1" customWidth="1"/>
    <col min="8464" max="8464" width="4.7109375" style="237" bestFit="1" customWidth="1"/>
    <col min="8465" max="8465" width="4.42578125" style="237" bestFit="1" customWidth="1"/>
    <col min="8466" max="8466" width="6.42578125" style="237" bestFit="1" customWidth="1"/>
    <col min="8467" max="8467" width="7.7109375" style="237" customWidth="1"/>
    <col min="8468" max="8468" width="4.42578125" style="237" bestFit="1" customWidth="1"/>
    <col min="8469" max="8469" width="2" style="237" bestFit="1" customWidth="1"/>
    <col min="8470" max="8470" width="1.7109375" style="237" customWidth="1"/>
    <col min="8471" max="8471" width="2" style="237" bestFit="1" customWidth="1"/>
    <col min="8472" max="8472" width="5.42578125" style="237" bestFit="1" customWidth="1"/>
    <col min="8473" max="8473" width="6.140625" style="237" bestFit="1" customWidth="1"/>
    <col min="8474" max="8475" width="6.28515625" style="237" bestFit="1" customWidth="1"/>
    <col min="8476" max="8476" width="7" style="237" bestFit="1" customWidth="1"/>
    <col min="8477" max="8477" width="9.7109375" style="237" bestFit="1" customWidth="1"/>
    <col min="8478" max="8479" width="5.28515625" style="237" bestFit="1" customWidth="1"/>
    <col min="8480" max="8481" width="6.140625" style="237" bestFit="1" customWidth="1"/>
    <col min="8482" max="8482" width="5.42578125" style="237" bestFit="1" customWidth="1"/>
    <col min="8483" max="8483" width="6.140625" style="237" bestFit="1" customWidth="1"/>
    <col min="8484" max="8484" width="6.28515625" style="237" bestFit="1" customWidth="1"/>
    <col min="8485" max="8485" width="6.140625" style="237" customWidth="1"/>
    <col min="8486" max="8487" width="5.28515625" style="237" bestFit="1" customWidth="1"/>
    <col min="8488" max="8488" width="9.7109375" style="237" bestFit="1" customWidth="1"/>
    <col min="8489" max="8489" width="8.7109375" style="237" bestFit="1" customWidth="1"/>
    <col min="8490" max="8490" width="10.7109375" style="237" bestFit="1" customWidth="1"/>
    <col min="8491" max="8491" width="12.42578125" style="237" bestFit="1" customWidth="1"/>
    <col min="8492" max="8492" width="8.42578125" style="237" bestFit="1" customWidth="1"/>
    <col min="8493" max="8493" width="9.42578125" style="237" customWidth="1"/>
    <col min="8494" max="8705" width="9.140625" style="237"/>
    <col min="8706" max="8706" width="3.7109375" style="237" bestFit="1" customWidth="1"/>
    <col min="8707" max="8707" width="17.7109375" style="237" customWidth="1"/>
    <col min="8708" max="8708" width="26.42578125" style="237" customWidth="1"/>
    <col min="8709" max="8709" width="13.42578125" style="237" customWidth="1"/>
    <col min="8710" max="8710" width="8.42578125" style="237" bestFit="1" customWidth="1"/>
    <col min="8711" max="8711" width="9.140625" style="237" customWidth="1"/>
    <col min="8712" max="8712" width="5" style="237" bestFit="1" customWidth="1"/>
    <col min="8713" max="8713" width="7.7109375" style="237" bestFit="1" customWidth="1"/>
    <col min="8714" max="8714" width="7" style="237" bestFit="1" customWidth="1"/>
    <col min="8715" max="8715" width="8.42578125" style="237" bestFit="1" customWidth="1"/>
    <col min="8716" max="8716" width="8" style="237" bestFit="1" customWidth="1"/>
    <col min="8717" max="8717" width="8" style="237" customWidth="1"/>
    <col min="8718" max="8718" width="6.28515625" style="237" customWidth="1"/>
    <col min="8719" max="8719" width="3.42578125" style="237" bestFit="1" customWidth="1"/>
    <col min="8720" max="8720" width="4.7109375" style="237" bestFit="1" customWidth="1"/>
    <col min="8721" max="8721" width="4.42578125" style="237" bestFit="1" customWidth="1"/>
    <col min="8722" max="8722" width="6.42578125" style="237" bestFit="1" customWidth="1"/>
    <col min="8723" max="8723" width="7.7109375" style="237" customWidth="1"/>
    <col min="8724" max="8724" width="4.42578125" style="237" bestFit="1" customWidth="1"/>
    <col min="8725" max="8725" width="2" style="237" bestFit="1" customWidth="1"/>
    <col min="8726" max="8726" width="1.7109375" style="237" customWidth="1"/>
    <col min="8727" max="8727" width="2" style="237" bestFit="1" customWidth="1"/>
    <col min="8728" max="8728" width="5.42578125" style="237" bestFit="1" customWidth="1"/>
    <col min="8729" max="8729" width="6.140625" style="237" bestFit="1" customWidth="1"/>
    <col min="8730" max="8731" width="6.28515625" style="237" bestFit="1" customWidth="1"/>
    <col min="8732" max="8732" width="7" style="237" bestFit="1" customWidth="1"/>
    <col min="8733" max="8733" width="9.7109375" style="237" bestFit="1" customWidth="1"/>
    <col min="8734" max="8735" width="5.28515625" style="237" bestFit="1" customWidth="1"/>
    <col min="8736" max="8737" width="6.140625" style="237" bestFit="1" customWidth="1"/>
    <col min="8738" max="8738" width="5.42578125" style="237" bestFit="1" customWidth="1"/>
    <col min="8739" max="8739" width="6.140625" style="237" bestFit="1" customWidth="1"/>
    <col min="8740" max="8740" width="6.28515625" style="237" bestFit="1" customWidth="1"/>
    <col min="8741" max="8741" width="6.140625" style="237" customWidth="1"/>
    <col min="8742" max="8743" width="5.28515625" style="237" bestFit="1" customWidth="1"/>
    <col min="8744" max="8744" width="9.7109375" style="237" bestFit="1" customWidth="1"/>
    <col min="8745" max="8745" width="8.7109375" style="237" bestFit="1" customWidth="1"/>
    <col min="8746" max="8746" width="10.7109375" style="237" bestFit="1" customWidth="1"/>
    <col min="8747" max="8747" width="12.42578125" style="237" bestFit="1" customWidth="1"/>
    <col min="8748" max="8748" width="8.42578125" style="237" bestFit="1" customWidth="1"/>
    <col min="8749" max="8749" width="9.42578125" style="237" customWidth="1"/>
    <col min="8750" max="8961" width="9.140625" style="237"/>
    <col min="8962" max="8962" width="3.7109375" style="237" bestFit="1" customWidth="1"/>
    <col min="8963" max="8963" width="17.7109375" style="237" customWidth="1"/>
    <col min="8964" max="8964" width="26.42578125" style="237" customWidth="1"/>
    <col min="8965" max="8965" width="13.42578125" style="237" customWidth="1"/>
    <col min="8966" max="8966" width="8.42578125" style="237" bestFit="1" customWidth="1"/>
    <col min="8967" max="8967" width="9.140625" style="237" customWidth="1"/>
    <col min="8968" max="8968" width="5" style="237" bestFit="1" customWidth="1"/>
    <col min="8969" max="8969" width="7.7109375" style="237" bestFit="1" customWidth="1"/>
    <col min="8970" max="8970" width="7" style="237" bestFit="1" customWidth="1"/>
    <col min="8971" max="8971" width="8.42578125" style="237" bestFit="1" customWidth="1"/>
    <col min="8972" max="8972" width="8" style="237" bestFit="1" customWidth="1"/>
    <col min="8973" max="8973" width="8" style="237" customWidth="1"/>
    <col min="8974" max="8974" width="6.28515625" style="237" customWidth="1"/>
    <col min="8975" max="8975" width="3.42578125" style="237" bestFit="1" customWidth="1"/>
    <col min="8976" max="8976" width="4.7109375" style="237" bestFit="1" customWidth="1"/>
    <col min="8977" max="8977" width="4.42578125" style="237" bestFit="1" customWidth="1"/>
    <col min="8978" max="8978" width="6.42578125" style="237" bestFit="1" customWidth="1"/>
    <col min="8979" max="8979" width="7.7109375" style="237" customWidth="1"/>
    <col min="8980" max="8980" width="4.42578125" style="237" bestFit="1" customWidth="1"/>
    <col min="8981" max="8981" width="2" style="237" bestFit="1" customWidth="1"/>
    <col min="8982" max="8982" width="1.7109375" style="237" customWidth="1"/>
    <col min="8983" max="8983" width="2" style="237" bestFit="1" customWidth="1"/>
    <col min="8984" max="8984" width="5.42578125" style="237" bestFit="1" customWidth="1"/>
    <col min="8985" max="8985" width="6.140625" style="237" bestFit="1" customWidth="1"/>
    <col min="8986" max="8987" width="6.28515625" style="237" bestFit="1" customWidth="1"/>
    <col min="8988" max="8988" width="7" style="237" bestFit="1" customWidth="1"/>
    <col min="8989" max="8989" width="9.7109375" style="237" bestFit="1" customWidth="1"/>
    <col min="8990" max="8991" width="5.28515625" style="237" bestFit="1" customWidth="1"/>
    <col min="8992" max="8993" width="6.140625" style="237" bestFit="1" customWidth="1"/>
    <col min="8994" max="8994" width="5.42578125" style="237" bestFit="1" customWidth="1"/>
    <col min="8995" max="8995" width="6.140625" style="237" bestFit="1" customWidth="1"/>
    <col min="8996" max="8996" width="6.28515625" style="237" bestFit="1" customWidth="1"/>
    <col min="8997" max="8997" width="6.140625" style="237" customWidth="1"/>
    <col min="8998" max="8999" width="5.28515625" style="237" bestFit="1" customWidth="1"/>
    <col min="9000" max="9000" width="9.7109375" style="237" bestFit="1" customWidth="1"/>
    <col min="9001" max="9001" width="8.7109375" style="237" bestFit="1" customWidth="1"/>
    <col min="9002" max="9002" width="10.7109375" style="237" bestFit="1" customWidth="1"/>
    <col min="9003" max="9003" width="12.42578125" style="237" bestFit="1" customWidth="1"/>
    <col min="9004" max="9004" width="8.42578125" style="237" bestFit="1" customWidth="1"/>
    <col min="9005" max="9005" width="9.42578125" style="237" customWidth="1"/>
    <col min="9006" max="9217" width="9.140625" style="237"/>
    <col min="9218" max="9218" width="3.7109375" style="237" bestFit="1" customWidth="1"/>
    <col min="9219" max="9219" width="17.7109375" style="237" customWidth="1"/>
    <col min="9220" max="9220" width="26.42578125" style="237" customWidth="1"/>
    <col min="9221" max="9221" width="13.42578125" style="237" customWidth="1"/>
    <col min="9222" max="9222" width="8.42578125" style="237" bestFit="1" customWidth="1"/>
    <col min="9223" max="9223" width="9.140625" style="237" customWidth="1"/>
    <col min="9224" max="9224" width="5" style="237" bestFit="1" customWidth="1"/>
    <col min="9225" max="9225" width="7.7109375" style="237" bestFit="1" customWidth="1"/>
    <col min="9226" max="9226" width="7" style="237" bestFit="1" customWidth="1"/>
    <col min="9227" max="9227" width="8.42578125" style="237" bestFit="1" customWidth="1"/>
    <col min="9228" max="9228" width="8" style="237" bestFit="1" customWidth="1"/>
    <col min="9229" max="9229" width="8" style="237" customWidth="1"/>
    <col min="9230" max="9230" width="6.28515625" style="237" customWidth="1"/>
    <col min="9231" max="9231" width="3.42578125" style="237" bestFit="1" customWidth="1"/>
    <col min="9232" max="9232" width="4.7109375" style="237" bestFit="1" customWidth="1"/>
    <col min="9233" max="9233" width="4.42578125" style="237" bestFit="1" customWidth="1"/>
    <col min="9234" max="9234" width="6.42578125" style="237" bestFit="1" customWidth="1"/>
    <col min="9235" max="9235" width="7.7109375" style="237" customWidth="1"/>
    <col min="9236" max="9236" width="4.42578125" style="237" bestFit="1" customWidth="1"/>
    <col min="9237" max="9237" width="2" style="237" bestFit="1" customWidth="1"/>
    <col min="9238" max="9238" width="1.7109375" style="237" customWidth="1"/>
    <col min="9239" max="9239" width="2" style="237" bestFit="1" customWidth="1"/>
    <col min="9240" max="9240" width="5.42578125" style="237" bestFit="1" customWidth="1"/>
    <col min="9241" max="9241" width="6.140625" style="237" bestFit="1" customWidth="1"/>
    <col min="9242" max="9243" width="6.28515625" style="237" bestFit="1" customWidth="1"/>
    <col min="9244" max="9244" width="7" style="237" bestFit="1" customWidth="1"/>
    <col min="9245" max="9245" width="9.7109375" style="237" bestFit="1" customWidth="1"/>
    <col min="9246" max="9247" width="5.28515625" style="237" bestFit="1" customWidth="1"/>
    <col min="9248" max="9249" width="6.140625" style="237" bestFit="1" customWidth="1"/>
    <col min="9250" max="9250" width="5.42578125" style="237" bestFit="1" customWidth="1"/>
    <col min="9251" max="9251" width="6.140625" style="237" bestFit="1" customWidth="1"/>
    <col min="9252" max="9252" width="6.28515625" style="237" bestFit="1" customWidth="1"/>
    <col min="9253" max="9253" width="6.140625" style="237" customWidth="1"/>
    <col min="9254" max="9255" width="5.28515625" style="237" bestFit="1" customWidth="1"/>
    <col min="9256" max="9256" width="9.7109375" style="237" bestFit="1" customWidth="1"/>
    <col min="9257" max="9257" width="8.7109375" style="237" bestFit="1" customWidth="1"/>
    <col min="9258" max="9258" width="10.7109375" style="237" bestFit="1" customWidth="1"/>
    <col min="9259" max="9259" width="12.42578125" style="237" bestFit="1" customWidth="1"/>
    <col min="9260" max="9260" width="8.42578125" style="237" bestFit="1" customWidth="1"/>
    <col min="9261" max="9261" width="9.42578125" style="237" customWidth="1"/>
    <col min="9262" max="9473" width="9.140625" style="237"/>
    <col min="9474" max="9474" width="3.7109375" style="237" bestFit="1" customWidth="1"/>
    <col min="9475" max="9475" width="17.7109375" style="237" customWidth="1"/>
    <col min="9476" max="9476" width="26.42578125" style="237" customWidth="1"/>
    <col min="9477" max="9477" width="13.42578125" style="237" customWidth="1"/>
    <col min="9478" max="9478" width="8.42578125" style="237" bestFit="1" customWidth="1"/>
    <col min="9479" max="9479" width="9.140625" style="237" customWidth="1"/>
    <col min="9480" max="9480" width="5" style="237" bestFit="1" customWidth="1"/>
    <col min="9481" max="9481" width="7.7109375" style="237" bestFit="1" customWidth="1"/>
    <col min="9482" max="9482" width="7" style="237" bestFit="1" customWidth="1"/>
    <col min="9483" max="9483" width="8.42578125" style="237" bestFit="1" customWidth="1"/>
    <col min="9484" max="9484" width="8" style="237" bestFit="1" customWidth="1"/>
    <col min="9485" max="9485" width="8" style="237" customWidth="1"/>
    <col min="9486" max="9486" width="6.28515625" style="237" customWidth="1"/>
    <col min="9487" max="9487" width="3.42578125" style="237" bestFit="1" customWidth="1"/>
    <col min="9488" max="9488" width="4.7109375" style="237" bestFit="1" customWidth="1"/>
    <col min="9489" max="9489" width="4.42578125" style="237" bestFit="1" customWidth="1"/>
    <col min="9490" max="9490" width="6.42578125" style="237" bestFit="1" customWidth="1"/>
    <col min="9491" max="9491" width="7.7109375" style="237" customWidth="1"/>
    <col min="9492" max="9492" width="4.42578125" style="237" bestFit="1" customWidth="1"/>
    <col min="9493" max="9493" width="2" style="237" bestFit="1" customWidth="1"/>
    <col min="9494" max="9494" width="1.7109375" style="237" customWidth="1"/>
    <col min="9495" max="9495" width="2" style="237" bestFit="1" customWidth="1"/>
    <col min="9496" max="9496" width="5.42578125" style="237" bestFit="1" customWidth="1"/>
    <col min="9497" max="9497" width="6.140625" style="237" bestFit="1" customWidth="1"/>
    <col min="9498" max="9499" width="6.28515625" style="237" bestFit="1" customWidth="1"/>
    <col min="9500" max="9500" width="7" style="237" bestFit="1" customWidth="1"/>
    <col min="9501" max="9501" width="9.7109375" style="237" bestFit="1" customWidth="1"/>
    <col min="9502" max="9503" width="5.28515625" style="237" bestFit="1" customWidth="1"/>
    <col min="9504" max="9505" width="6.140625" style="237" bestFit="1" customWidth="1"/>
    <col min="9506" max="9506" width="5.42578125" style="237" bestFit="1" customWidth="1"/>
    <col min="9507" max="9507" width="6.140625" style="237" bestFit="1" customWidth="1"/>
    <col min="9508" max="9508" width="6.28515625" style="237" bestFit="1" customWidth="1"/>
    <col min="9509" max="9509" width="6.140625" style="237" customWidth="1"/>
    <col min="9510" max="9511" width="5.28515625" style="237" bestFit="1" customWidth="1"/>
    <col min="9512" max="9512" width="9.7109375" style="237" bestFit="1" customWidth="1"/>
    <col min="9513" max="9513" width="8.7109375" style="237" bestFit="1" customWidth="1"/>
    <col min="9514" max="9514" width="10.7109375" style="237" bestFit="1" customWidth="1"/>
    <col min="9515" max="9515" width="12.42578125" style="237" bestFit="1" customWidth="1"/>
    <col min="9516" max="9516" width="8.42578125" style="237" bestFit="1" customWidth="1"/>
    <col min="9517" max="9517" width="9.42578125" style="237" customWidth="1"/>
    <col min="9518" max="9729" width="9.140625" style="237"/>
    <col min="9730" max="9730" width="3.7109375" style="237" bestFit="1" customWidth="1"/>
    <col min="9731" max="9731" width="17.7109375" style="237" customWidth="1"/>
    <col min="9732" max="9732" width="26.42578125" style="237" customWidth="1"/>
    <col min="9733" max="9733" width="13.42578125" style="237" customWidth="1"/>
    <col min="9734" max="9734" width="8.42578125" style="237" bestFit="1" customWidth="1"/>
    <col min="9735" max="9735" width="9.140625" style="237" customWidth="1"/>
    <col min="9736" max="9736" width="5" style="237" bestFit="1" customWidth="1"/>
    <col min="9737" max="9737" width="7.7109375" style="237" bestFit="1" customWidth="1"/>
    <col min="9738" max="9738" width="7" style="237" bestFit="1" customWidth="1"/>
    <col min="9739" max="9739" width="8.42578125" style="237" bestFit="1" customWidth="1"/>
    <col min="9740" max="9740" width="8" style="237" bestFit="1" customWidth="1"/>
    <col min="9741" max="9741" width="8" style="237" customWidth="1"/>
    <col min="9742" max="9742" width="6.28515625" style="237" customWidth="1"/>
    <col min="9743" max="9743" width="3.42578125" style="237" bestFit="1" customWidth="1"/>
    <col min="9744" max="9744" width="4.7109375" style="237" bestFit="1" customWidth="1"/>
    <col min="9745" max="9745" width="4.42578125" style="237" bestFit="1" customWidth="1"/>
    <col min="9746" max="9746" width="6.42578125" style="237" bestFit="1" customWidth="1"/>
    <col min="9747" max="9747" width="7.7109375" style="237" customWidth="1"/>
    <col min="9748" max="9748" width="4.42578125" style="237" bestFit="1" customWidth="1"/>
    <col min="9749" max="9749" width="2" style="237" bestFit="1" customWidth="1"/>
    <col min="9750" max="9750" width="1.7109375" style="237" customWidth="1"/>
    <col min="9751" max="9751" width="2" style="237" bestFit="1" customWidth="1"/>
    <col min="9752" max="9752" width="5.42578125" style="237" bestFit="1" customWidth="1"/>
    <col min="9753" max="9753" width="6.140625" style="237" bestFit="1" customWidth="1"/>
    <col min="9754" max="9755" width="6.28515625" style="237" bestFit="1" customWidth="1"/>
    <col min="9756" max="9756" width="7" style="237" bestFit="1" customWidth="1"/>
    <col min="9757" max="9757" width="9.7109375" style="237" bestFit="1" customWidth="1"/>
    <col min="9758" max="9759" width="5.28515625" style="237" bestFit="1" customWidth="1"/>
    <col min="9760" max="9761" width="6.140625" style="237" bestFit="1" customWidth="1"/>
    <col min="9762" max="9762" width="5.42578125" style="237" bestFit="1" customWidth="1"/>
    <col min="9763" max="9763" width="6.140625" style="237" bestFit="1" customWidth="1"/>
    <col min="9764" max="9764" width="6.28515625" style="237" bestFit="1" customWidth="1"/>
    <col min="9765" max="9765" width="6.140625" style="237" customWidth="1"/>
    <col min="9766" max="9767" width="5.28515625" style="237" bestFit="1" customWidth="1"/>
    <col min="9768" max="9768" width="9.7109375" style="237" bestFit="1" customWidth="1"/>
    <col min="9769" max="9769" width="8.7109375" style="237" bestFit="1" customWidth="1"/>
    <col min="9770" max="9770" width="10.7109375" style="237" bestFit="1" customWidth="1"/>
    <col min="9771" max="9771" width="12.42578125" style="237" bestFit="1" customWidth="1"/>
    <col min="9772" max="9772" width="8.42578125" style="237" bestFit="1" customWidth="1"/>
    <col min="9773" max="9773" width="9.42578125" style="237" customWidth="1"/>
    <col min="9774" max="9985" width="9.140625" style="237"/>
    <col min="9986" max="9986" width="3.7109375" style="237" bestFit="1" customWidth="1"/>
    <col min="9987" max="9987" width="17.7109375" style="237" customWidth="1"/>
    <col min="9988" max="9988" width="26.42578125" style="237" customWidth="1"/>
    <col min="9989" max="9989" width="13.42578125" style="237" customWidth="1"/>
    <col min="9990" max="9990" width="8.42578125" style="237" bestFit="1" customWidth="1"/>
    <col min="9991" max="9991" width="9.140625" style="237" customWidth="1"/>
    <col min="9992" max="9992" width="5" style="237" bestFit="1" customWidth="1"/>
    <col min="9993" max="9993" width="7.7109375" style="237" bestFit="1" customWidth="1"/>
    <col min="9994" max="9994" width="7" style="237" bestFit="1" customWidth="1"/>
    <col min="9995" max="9995" width="8.42578125" style="237" bestFit="1" customWidth="1"/>
    <col min="9996" max="9996" width="8" style="237" bestFit="1" customWidth="1"/>
    <col min="9997" max="9997" width="8" style="237" customWidth="1"/>
    <col min="9998" max="9998" width="6.28515625" style="237" customWidth="1"/>
    <col min="9999" max="9999" width="3.42578125" style="237" bestFit="1" customWidth="1"/>
    <col min="10000" max="10000" width="4.7109375" style="237" bestFit="1" customWidth="1"/>
    <col min="10001" max="10001" width="4.42578125" style="237" bestFit="1" customWidth="1"/>
    <col min="10002" max="10002" width="6.42578125" style="237" bestFit="1" customWidth="1"/>
    <col min="10003" max="10003" width="7.7109375" style="237" customWidth="1"/>
    <col min="10004" max="10004" width="4.42578125" style="237" bestFit="1" customWidth="1"/>
    <col min="10005" max="10005" width="2" style="237" bestFit="1" customWidth="1"/>
    <col min="10006" max="10006" width="1.7109375" style="237" customWidth="1"/>
    <col min="10007" max="10007" width="2" style="237" bestFit="1" customWidth="1"/>
    <col min="10008" max="10008" width="5.42578125" style="237" bestFit="1" customWidth="1"/>
    <col min="10009" max="10009" width="6.140625" style="237" bestFit="1" customWidth="1"/>
    <col min="10010" max="10011" width="6.28515625" style="237" bestFit="1" customWidth="1"/>
    <col min="10012" max="10012" width="7" style="237" bestFit="1" customWidth="1"/>
    <col min="10013" max="10013" width="9.7109375" style="237" bestFit="1" customWidth="1"/>
    <col min="10014" max="10015" width="5.28515625" style="237" bestFit="1" customWidth="1"/>
    <col min="10016" max="10017" width="6.140625" style="237" bestFit="1" customWidth="1"/>
    <col min="10018" max="10018" width="5.42578125" style="237" bestFit="1" customWidth="1"/>
    <col min="10019" max="10019" width="6.140625" style="237" bestFit="1" customWidth="1"/>
    <col min="10020" max="10020" width="6.28515625" style="237" bestFit="1" customWidth="1"/>
    <col min="10021" max="10021" width="6.140625" style="237" customWidth="1"/>
    <col min="10022" max="10023" width="5.28515625" style="237" bestFit="1" customWidth="1"/>
    <col min="10024" max="10024" width="9.7109375" style="237" bestFit="1" customWidth="1"/>
    <col min="10025" max="10025" width="8.7109375" style="237" bestFit="1" customWidth="1"/>
    <col min="10026" max="10026" width="10.7109375" style="237" bestFit="1" customWidth="1"/>
    <col min="10027" max="10027" width="12.42578125" style="237" bestFit="1" customWidth="1"/>
    <col min="10028" max="10028" width="8.42578125" style="237" bestFit="1" customWidth="1"/>
    <col min="10029" max="10029" width="9.42578125" style="237" customWidth="1"/>
    <col min="10030" max="10241" width="9.140625" style="237"/>
    <col min="10242" max="10242" width="3.7109375" style="237" bestFit="1" customWidth="1"/>
    <col min="10243" max="10243" width="17.7109375" style="237" customWidth="1"/>
    <col min="10244" max="10244" width="26.42578125" style="237" customWidth="1"/>
    <col min="10245" max="10245" width="13.42578125" style="237" customWidth="1"/>
    <col min="10246" max="10246" width="8.42578125" style="237" bestFit="1" customWidth="1"/>
    <col min="10247" max="10247" width="9.140625" style="237" customWidth="1"/>
    <col min="10248" max="10248" width="5" style="237" bestFit="1" customWidth="1"/>
    <col min="10249" max="10249" width="7.7109375" style="237" bestFit="1" customWidth="1"/>
    <col min="10250" max="10250" width="7" style="237" bestFit="1" customWidth="1"/>
    <col min="10251" max="10251" width="8.42578125" style="237" bestFit="1" customWidth="1"/>
    <col min="10252" max="10252" width="8" style="237" bestFit="1" customWidth="1"/>
    <col min="10253" max="10253" width="8" style="237" customWidth="1"/>
    <col min="10254" max="10254" width="6.28515625" style="237" customWidth="1"/>
    <col min="10255" max="10255" width="3.42578125" style="237" bestFit="1" customWidth="1"/>
    <col min="10256" max="10256" width="4.7109375" style="237" bestFit="1" customWidth="1"/>
    <col min="10257" max="10257" width="4.42578125" style="237" bestFit="1" customWidth="1"/>
    <col min="10258" max="10258" width="6.42578125" style="237" bestFit="1" customWidth="1"/>
    <col min="10259" max="10259" width="7.7109375" style="237" customWidth="1"/>
    <col min="10260" max="10260" width="4.42578125" style="237" bestFit="1" customWidth="1"/>
    <col min="10261" max="10261" width="2" style="237" bestFit="1" customWidth="1"/>
    <col min="10262" max="10262" width="1.7109375" style="237" customWidth="1"/>
    <col min="10263" max="10263" width="2" style="237" bestFit="1" customWidth="1"/>
    <col min="10264" max="10264" width="5.42578125" style="237" bestFit="1" customWidth="1"/>
    <col min="10265" max="10265" width="6.140625" style="237" bestFit="1" customWidth="1"/>
    <col min="10266" max="10267" width="6.28515625" style="237" bestFit="1" customWidth="1"/>
    <col min="10268" max="10268" width="7" style="237" bestFit="1" customWidth="1"/>
    <col min="10269" max="10269" width="9.7109375" style="237" bestFit="1" customWidth="1"/>
    <col min="10270" max="10271" width="5.28515625" style="237" bestFit="1" customWidth="1"/>
    <col min="10272" max="10273" width="6.140625" style="237" bestFit="1" customWidth="1"/>
    <col min="10274" max="10274" width="5.42578125" style="237" bestFit="1" customWidth="1"/>
    <col min="10275" max="10275" width="6.140625" style="237" bestFit="1" customWidth="1"/>
    <col min="10276" max="10276" width="6.28515625" style="237" bestFit="1" customWidth="1"/>
    <col min="10277" max="10277" width="6.140625" style="237" customWidth="1"/>
    <col min="10278" max="10279" width="5.28515625" style="237" bestFit="1" customWidth="1"/>
    <col min="10280" max="10280" width="9.7109375" style="237" bestFit="1" customWidth="1"/>
    <col min="10281" max="10281" width="8.7109375" style="237" bestFit="1" customWidth="1"/>
    <col min="10282" max="10282" width="10.7109375" style="237" bestFit="1" customWidth="1"/>
    <col min="10283" max="10283" width="12.42578125" style="237" bestFit="1" customWidth="1"/>
    <col min="10284" max="10284" width="8.42578125" style="237" bestFit="1" customWidth="1"/>
    <col min="10285" max="10285" width="9.42578125" style="237" customWidth="1"/>
    <col min="10286" max="10497" width="9.140625" style="237"/>
    <col min="10498" max="10498" width="3.7109375" style="237" bestFit="1" customWidth="1"/>
    <col min="10499" max="10499" width="17.7109375" style="237" customWidth="1"/>
    <col min="10500" max="10500" width="26.42578125" style="237" customWidth="1"/>
    <col min="10501" max="10501" width="13.42578125" style="237" customWidth="1"/>
    <col min="10502" max="10502" width="8.42578125" style="237" bestFit="1" customWidth="1"/>
    <col min="10503" max="10503" width="9.140625" style="237" customWidth="1"/>
    <col min="10504" max="10504" width="5" style="237" bestFit="1" customWidth="1"/>
    <col min="10505" max="10505" width="7.7109375" style="237" bestFit="1" customWidth="1"/>
    <col min="10506" max="10506" width="7" style="237" bestFit="1" customWidth="1"/>
    <col min="10507" max="10507" width="8.42578125" style="237" bestFit="1" customWidth="1"/>
    <col min="10508" max="10508" width="8" style="237" bestFit="1" customWidth="1"/>
    <col min="10509" max="10509" width="8" style="237" customWidth="1"/>
    <col min="10510" max="10510" width="6.28515625" style="237" customWidth="1"/>
    <col min="10511" max="10511" width="3.42578125" style="237" bestFit="1" customWidth="1"/>
    <col min="10512" max="10512" width="4.7109375" style="237" bestFit="1" customWidth="1"/>
    <col min="10513" max="10513" width="4.42578125" style="237" bestFit="1" customWidth="1"/>
    <col min="10514" max="10514" width="6.42578125" style="237" bestFit="1" customWidth="1"/>
    <col min="10515" max="10515" width="7.7109375" style="237" customWidth="1"/>
    <col min="10516" max="10516" width="4.42578125" style="237" bestFit="1" customWidth="1"/>
    <col min="10517" max="10517" width="2" style="237" bestFit="1" customWidth="1"/>
    <col min="10518" max="10518" width="1.7109375" style="237" customWidth="1"/>
    <col min="10519" max="10519" width="2" style="237" bestFit="1" customWidth="1"/>
    <col min="10520" max="10520" width="5.42578125" style="237" bestFit="1" customWidth="1"/>
    <col min="10521" max="10521" width="6.140625" style="237" bestFit="1" customWidth="1"/>
    <col min="10522" max="10523" width="6.28515625" style="237" bestFit="1" customWidth="1"/>
    <col min="10524" max="10524" width="7" style="237" bestFit="1" customWidth="1"/>
    <col min="10525" max="10525" width="9.7109375" style="237" bestFit="1" customWidth="1"/>
    <col min="10526" max="10527" width="5.28515625" style="237" bestFit="1" customWidth="1"/>
    <col min="10528" max="10529" width="6.140625" style="237" bestFit="1" customWidth="1"/>
    <col min="10530" max="10530" width="5.42578125" style="237" bestFit="1" customWidth="1"/>
    <col min="10531" max="10531" width="6.140625" style="237" bestFit="1" customWidth="1"/>
    <col min="10532" max="10532" width="6.28515625" style="237" bestFit="1" customWidth="1"/>
    <col min="10533" max="10533" width="6.140625" style="237" customWidth="1"/>
    <col min="10534" max="10535" width="5.28515625" style="237" bestFit="1" customWidth="1"/>
    <col min="10536" max="10536" width="9.7109375" style="237" bestFit="1" customWidth="1"/>
    <col min="10537" max="10537" width="8.7109375" style="237" bestFit="1" customWidth="1"/>
    <col min="10538" max="10538" width="10.7109375" style="237" bestFit="1" customWidth="1"/>
    <col min="10539" max="10539" width="12.42578125" style="237" bestFit="1" customWidth="1"/>
    <col min="10540" max="10540" width="8.42578125" style="237" bestFit="1" customWidth="1"/>
    <col min="10541" max="10541" width="9.42578125" style="237" customWidth="1"/>
    <col min="10542" max="10753" width="9.140625" style="237"/>
    <col min="10754" max="10754" width="3.7109375" style="237" bestFit="1" customWidth="1"/>
    <col min="10755" max="10755" width="17.7109375" style="237" customWidth="1"/>
    <col min="10756" max="10756" width="26.42578125" style="237" customWidth="1"/>
    <col min="10757" max="10757" width="13.42578125" style="237" customWidth="1"/>
    <col min="10758" max="10758" width="8.42578125" style="237" bestFit="1" customWidth="1"/>
    <col min="10759" max="10759" width="9.140625" style="237" customWidth="1"/>
    <col min="10760" max="10760" width="5" style="237" bestFit="1" customWidth="1"/>
    <col min="10761" max="10761" width="7.7109375" style="237" bestFit="1" customWidth="1"/>
    <col min="10762" max="10762" width="7" style="237" bestFit="1" customWidth="1"/>
    <col min="10763" max="10763" width="8.42578125" style="237" bestFit="1" customWidth="1"/>
    <col min="10764" max="10764" width="8" style="237" bestFit="1" customWidth="1"/>
    <col min="10765" max="10765" width="8" style="237" customWidth="1"/>
    <col min="10766" max="10766" width="6.28515625" style="237" customWidth="1"/>
    <col min="10767" max="10767" width="3.42578125" style="237" bestFit="1" customWidth="1"/>
    <col min="10768" max="10768" width="4.7109375" style="237" bestFit="1" customWidth="1"/>
    <col min="10769" max="10769" width="4.42578125" style="237" bestFit="1" customWidth="1"/>
    <col min="10770" max="10770" width="6.42578125" style="237" bestFit="1" customWidth="1"/>
    <col min="10771" max="10771" width="7.7109375" style="237" customWidth="1"/>
    <col min="10772" max="10772" width="4.42578125" style="237" bestFit="1" customWidth="1"/>
    <col min="10773" max="10773" width="2" style="237" bestFit="1" customWidth="1"/>
    <col min="10774" max="10774" width="1.7109375" style="237" customWidth="1"/>
    <col min="10775" max="10775" width="2" style="237" bestFit="1" customWidth="1"/>
    <col min="10776" max="10776" width="5.42578125" style="237" bestFit="1" customWidth="1"/>
    <col min="10777" max="10777" width="6.140625" style="237" bestFit="1" customWidth="1"/>
    <col min="10778" max="10779" width="6.28515625" style="237" bestFit="1" customWidth="1"/>
    <col min="10780" max="10780" width="7" style="237" bestFit="1" customWidth="1"/>
    <col min="10781" max="10781" width="9.7109375" style="237" bestFit="1" customWidth="1"/>
    <col min="10782" max="10783" width="5.28515625" style="237" bestFit="1" customWidth="1"/>
    <col min="10784" max="10785" width="6.140625" style="237" bestFit="1" customWidth="1"/>
    <col min="10786" max="10786" width="5.42578125" style="237" bestFit="1" customWidth="1"/>
    <col min="10787" max="10787" width="6.140625" style="237" bestFit="1" customWidth="1"/>
    <col min="10788" max="10788" width="6.28515625" style="237" bestFit="1" customWidth="1"/>
    <col min="10789" max="10789" width="6.140625" style="237" customWidth="1"/>
    <col min="10790" max="10791" width="5.28515625" style="237" bestFit="1" customWidth="1"/>
    <col min="10792" max="10792" width="9.7109375" style="237" bestFit="1" customWidth="1"/>
    <col min="10793" max="10793" width="8.7109375" style="237" bestFit="1" customWidth="1"/>
    <col min="10794" max="10794" width="10.7109375" style="237" bestFit="1" customWidth="1"/>
    <col min="10795" max="10795" width="12.42578125" style="237" bestFit="1" customWidth="1"/>
    <col min="10796" max="10796" width="8.42578125" style="237" bestFit="1" customWidth="1"/>
    <col min="10797" max="10797" width="9.42578125" style="237" customWidth="1"/>
    <col min="10798" max="11009" width="9.140625" style="237"/>
    <col min="11010" max="11010" width="3.7109375" style="237" bestFit="1" customWidth="1"/>
    <col min="11011" max="11011" width="17.7109375" style="237" customWidth="1"/>
    <col min="11012" max="11012" width="26.42578125" style="237" customWidth="1"/>
    <col min="11013" max="11013" width="13.42578125" style="237" customWidth="1"/>
    <col min="11014" max="11014" width="8.42578125" style="237" bestFit="1" customWidth="1"/>
    <col min="11015" max="11015" width="9.140625" style="237" customWidth="1"/>
    <col min="11016" max="11016" width="5" style="237" bestFit="1" customWidth="1"/>
    <col min="11017" max="11017" width="7.7109375" style="237" bestFit="1" customWidth="1"/>
    <col min="11018" max="11018" width="7" style="237" bestFit="1" customWidth="1"/>
    <col min="11019" max="11019" width="8.42578125" style="237" bestFit="1" customWidth="1"/>
    <col min="11020" max="11020" width="8" style="237" bestFit="1" customWidth="1"/>
    <col min="11021" max="11021" width="8" style="237" customWidth="1"/>
    <col min="11022" max="11022" width="6.28515625" style="237" customWidth="1"/>
    <col min="11023" max="11023" width="3.42578125" style="237" bestFit="1" customWidth="1"/>
    <col min="11024" max="11024" width="4.7109375" style="237" bestFit="1" customWidth="1"/>
    <col min="11025" max="11025" width="4.42578125" style="237" bestFit="1" customWidth="1"/>
    <col min="11026" max="11026" width="6.42578125" style="237" bestFit="1" customWidth="1"/>
    <col min="11027" max="11027" width="7.7109375" style="237" customWidth="1"/>
    <col min="11028" max="11028" width="4.42578125" style="237" bestFit="1" customWidth="1"/>
    <col min="11029" max="11029" width="2" style="237" bestFit="1" customWidth="1"/>
    <col min="11030" max="11030" width="1.7109375" style="237" customWidth="1"/>
    <col min="11031" max="11031" width="2" style="237" bestFit="1" customWidth="1"/>
    <col min="11032" max="11032" width="5.42578125" style="237" bestFit="1" customWidth="1"/>
    <col min="11033" max="11033" width="6.140625" style="237" bestFit="1" customWidth="1"/>
    <col min="11034" max="11035" width="6.28515625" style="237" bestFit="1" customWidth="1"/>
    <col min="11036" max="11036" width="7" style="237" bestFit="1" customWidth="1"/>
    <col min="11037" max="11037" width="9.7109375" style="237" bestFit="1" customWidth="1"/>
    <col min="11038" max="11039" width="5.28515625" style="237" bestFit="1" customWidth="1"/>
    <col min="11040" max="11041" width="6.140625" style="237" bestFit="1" customWidth="1"/>
    <col min="11042" max="11042" width="5.42578125" style="237" bestFit="1" customWidth="1"/>
    <col min="11043" max="11043" width="6.140625" style="237" bestFit="1" customWidth="1"/>
    <col min="11044" max="11044" width="6.28515625" style="237" bestFit="1" customWidth="1"/>
    <col min="11045" max="11045" width="6.140625" style="237" customWidth="1"/>
    <col min="11046" max="11047" width="5.28515625" style="237" bestFit="1" customWidth="1"/>
    <col min="11048" max="11048" width="9.7109375" style="237" bestFit="1" customWidth="1"/>
    <col min="11049" max="11049" width="8.7109375" style="237" bestFit="1" customWidth="1"/>
    <col min="11050" max="11050" width="10.7109375" style="237" bestFit="1" customWidth="1"/>
    <col min="11051" max="11051" width="12.42578125" style="237" bestFit="1" customWidth="1"/>
    <col min="11052" max="11052" width="8.42578125" style="237" bestFit="1" customWidth="1"/>
    <col min="11053" max="11053" width="9.42578125" style="237" customWidth="1"/>
    <col min="11054" max="11265" width="9.140625" style="237"/>
    <col min="11266" max="11266" width="3.7109375" style="237" bestFit="1" customWidth="1"/>
    <col min="11267" max="11267" width="17.7109375" style="237" customWidth="1"/>
    <col min="11268" max="11268" width="26.42578125" style="237" customWidth="1"/>
    <col min="11269" max="11269" width="13.42578125" style="237" customWidth="1"/>
    <col min="11270" max="11270" width="8.42578125" style="237" bestFit="1" customWidth="1"/>
    <col min="11271" max="11271" width="9.140625" style="237" customWidth="1"/>
    <col min="11272" max="11272" width="5" style="237" bestFit="1" customWidth="1"/>
    <col min="11273" max="11273" width="7.7109375" style="237" bestFit="1" customWidth="1"/>
    <col min="11274" max="11274" width="7" style="237" bestFit="1" customWidth="1"/>
    <col min="11275" max="11275" width="8.42578125" style="237" bestFit="1" customWidth="1"/>
    <col min="11276" max="11276" width="8" style="237" bestFit="1" customWidth="1"/>
    <col min="11277" max="11277" width="8" style="237" customWidth="1"/>
    <col min="11278" max="11278" width="6.28515625" style="237" customWidth="1"/>
    <col min="11279" max="11279" width="3.42578125" style="237" bestFit="1" customWidth="1"/>
    <col min="11280" max="11280" width="4.7109375" style="237" bestFit="1" customWidth="1"/>
    <col min="11281" max="11281" width="4.42578125" style="237" bestFit="1" customWidth="1"/>
    <col min="11282" max="11282" width="6.42578125" style="237" bestFit="1" customWidth="1"/>
    <col min="11283" max="11283" width="7.7109375" style="237" customWidth="1"/>
    <col min="11284" max="11284" width="4.42578125" style="237" bestFit="1" customWidth="1"/>
    <col min="11285" max="11285" width="2" style="237" bestFit="1" customWidth="1"/>
    <col min="11286" max="11286" width="1.7109375" style="237" customWidth="1"/>
    <col min="11287" max="11287" width="2" style="237" bestFit="1" customWidth="1"/>
    <col min="11288" max="11288" width="5.42578125" style="237" bestFit="1" customWidth="1"/>
    <col min="11289" max="11289" width="6.140625" style="237" bestFit="1" customWidth="1"/>
    <col min="11290" max="11291" width="6.28515625" style="237" bestFit="1" customWidth="1"/>
    <col min="11292" max="11292" width="7" style="237" bestFit="1" customWidth="1"/>
    <col min="11293" max="11293" width="9.7109375" style="237" bestFit="1" customWidth="1"/>
    <col min="11294" max="11295" width="5.28515625" style="237" bestFit="1" customWidth="1"/>
    <col min="11296" max="11297" width="6.140625" style="237" bestFit="1" customWidth="1"/>
    <col min="11298" max="11298" width="5.42578125" style="237" bestFit="1" customWidth="1"/>
    <col min="11299" max="11299" width="6.140625" style="237" bestFit="1" customWidth="1"/>
    <col min="11300" max="11300" width="6.28515625" style="237" bestFit="1" customWidth="1"/>
    <col min="11301" max="11301" width="6.140625" style="237" customWidth="1"/>
    <col min="11302" max="11303" width="5.28515625" style="237" bestFit="1" customWidth="1"/>
    <col min="11304" max="11304" width="9.7109375" style="237" bestFit="1" customWidth="1"/>
    <col min="11305" max="11305" width="8.7109375" style="237" bestFit="1" customWidth="1"/>
    <col min="11306" max="11306" width="10.7109375" style="237" bestFit="1" customWidth="1"/>
    <col min="11307" max="11307" width="12.42578125" style="237" bestFit="1" customWidth="1"/>
    <col min="11308" max="11308" width="8.42578125" style="237" bestFit="1" customWidth="1"/>
    <col min="11309" max="11309" width="9.42578125" style="237" customWidth="1"/>
    <col min="11310" max="11521" width="9.140625" style="237"/>
    <col min="11522" max="11522" width="3.7109375" style="237" bestFit="1" customWidth="1"/>
    <col min="11523" max="11523" width="17.7109375" style="237" customWidth="1"/>
    <col min="11524" max="11524" width="26.42578125" style="237" customWidth="1"/>
    <col min="11525" max="11525" width="13.42578125" style="237" customWidth="1"/>
    <col min="11526" max="11526" width="8.42578125" style="237" bestFit="1" customWidth="1"/>
    <col min="11527" max="11527" width="9.140625" style="237" customWidth="1"/>
    <col min="11528" max="11528" width="5" style="237" bestFit="1" customWidth="1"/>
    <col min="11529" max="11529" width="7.7109375" style="237" bestFit="1" customWidth="1"/>
    <col min="11530" max="11530" width="7" style="237" bestFit="1" customWidth="1"/>
    <col min="11531" max="11531" width="8.42578125" style="237" bestFit="1" customWidth="1"/>
    <col min="11532" max="11532" width="8" style="237" bestFit="1" customWidth="1"/>
    <col min="11533" max="11533" width="8" style="237" customWidth="1"/>
    <col min="11534" max="11534" width="6.28515625" style="237" customWidth="1"/>
    <col min="11535" max="11535" width="3.42578125" style="237" bestFit="1" customWidth="1"/>
    <col min="11536" max="11536" width="4.7109375" style="237" bestFit="1" customWidth="1"/>
    <col min="11537" max="11537" width="4.42578125" style="237" bestFit="1" customWidth="1"/>
    <col min="11538" max="11538" width="6.42578125" style="237" bestFit="1" customWidth="1"/>
    <col min="11539" max="11539" width="7.7109375" style="237" customWidth="1"/>
    <col min="11540" max="11540" width="4.42578125" style="237" bestFit="1" customWidth="1"/>
    <col min="11541" max="11541" width="2" style="237" bestFit="1" customWidth="1"/>
    <col min="11542" max="11542" width="1.7109375" style="237" customWidth="1"/>
    <col min="11543" max="11543" width="2" style="237" bestFit="1" customWidth="1"/>
    <col min="11544" max="11544" width="5.42578125" style="237" bestFit="1" customWidth="1"/>
    <col min="11545" max="11545" width="6.140625" style="237" bestFit="1" customWidth="1"/>
    <col min="11546" max="11547" width="6.28515625" style="237" bestFit="1" customWidth="1"/>
    <col min="11548" max="11548" width="7" style="237" bestFit="1" customWidth="1"/>
    <col min="11549" max="11549" width="9.7109375" style="237" bestFit="1" customWidth="1"/>
    <col min="11550" max="11551" width="5.28515625" style="237" bestFit="1" customWidth="1"/>
    <col min="11552" max="11553" width="6.140625" style="237" bestFit="1" customWidth="1"/>
    <col min="11554" max="11554" width="5.42578125" style="237" bestFit="1" customWidth="1"/>
    <col min="11555" max="11555" width="6.140625" style="237" bestFit="1" customWidth="1"/>
    <col min="11556" max="11556" width="6.28515625" style="237" bestFit="1" customWidth="1"/>
    <col min="11557" max="11557" width="6.140625" style="237" customWidth="1"/>
    <col min="11558" max="11559" width="5.28515625" style="237" bestFit="1" customWidth="1"/>
    <col min="11560" max="11560" width="9.7109375" style="237" bestFit="1" customWidth="1"/>
    <col min="11561" max="11561" width="8.7109375" style="237" bestFit="1" customWidth="1"/>
    <col min="11562" max="11562" width="10.7109375" style="237" bestFit="1" customWidth="1"/>
    <col min="11563" max="11563" width="12.42578125" style="237" bestFit="1" customWidth="1"/>
    <col min="11564" max="11564" width="8.42578125" style="237" bestFit="1" customWidth="1"/>
    <col min="11565" max="11565" width="9.42578125" style="237" customWidth="1"/>
    <col min="11566" max="11777" width="9.140625" style="237"/>
    <col min="11778" max="11778" width="3.7109375" style="237" bestFit="1" customWidth="1"/>
    <col min="11779" max="11779" width="17.7109375" style="237" customWidth="1"/>
    <col min="11780" max="11780" width="26.42578125" style="237" customWidth="1"/>
    <col min="11781" max="11781" width="13.42578125" style="237" customWidth="1"/>
    <col min="11782" max="11782" width="8.42578125" style="237" bestFit="1" customWidth="1"/>
    <col min="11783" max="11783" width="9.140625" style="237" customWidth="1"/>
    <col min="11784" max="11784" width="5" style="237" bestFit="1" customWidth="1"/>
    <col min="11785" max="11785" width="7.7109375" style="237" bestFit="1" customWidth="1"/>
    <col min="11786" max="11786" width="7" style="237" bestFit="1" customWidth="1"/>
    <col min="11787" max="11787" width="8.42578125" style="237" bestFit="1" customWidth="1"/>
    <col min="11788" max="11788" width="8" style="237" bestFit="1" customWidth="1"/>
    <col min="11789" max="11789" width="8" style="237" customWidth="1"/>
    <col min="11790" max="11790" width="6.28515625" style="237" customWidth="1"/>
    <col min="11791" max="11791" width="3.42578125" style="237" bestFit="1" customWidth="1"/>
    <col min="11792" max="11792" width="4.7109375" style="237" bestFit="1" customWidth="1"/>
    <col min="11793" max="11793" width="4.42578125" style="237" bestFit="1" customWidth="1"/>
    <col min="11794" max="11794" width="6.42578125" style="237" bestFit="1" customWidth="1"/>
    <col min="11795" max="11795" width="7.7109375" style="237" customWidth="1"/>
    <col min="11796" max="11796" width="4.42578125" style="237" bestFit="1" customWidth="1"/>
    <col min="11797" max="11797" width="2" style="237" bestFit="1" customWidth="1"/>
    <col min="11798" max="11798" width="1.7109375" style="237" customWidth="1"/>
    <col min="11799" max="11799" width="2" style="237" bestFit="1" customWidth="1"/>
    <col min="11800" max="11800" width="5.42578125" style="237" bestFit="1" customWidth="1"/>
    <col min="11801" max="11801" width="6.140625" style="237" bestFit="1" customWidth="1"/>
    <col min="11802" max="11803" width="6.28515625" style="237" bestFit="1" customWidth="1"/>
    <col min="11804" max="11804" width="7" style="237" bestFit="1" customWidth="1"/>
    <col min="11805" max="11805" width="9.7109375" style="237" bestFit="1" customWidth="1"/>
    <col min="11806" max="11807" width="5.28515625" style="237" bestFit="1" customWidth="1"/>
    <col min="11808" max="11809" width="6.140625" style="237" bestFit="1" customWidth="1"/>
    <col min="11810" max="11810" width="5.42578125" style="237" bestFit="1" customWidth="1"/>
    <col min="11811" max="11811" width="6.140625" style="237" bestFit="1" customWidth="1"/>
    <col min="11812" max="11812" width="6.28515625" style="237" bestFit="1" customWidth="1"/>
    <col min="11813" max="11813" width="6.140625" style="237" customWidth="1"/>
    <col min="11814" max="11815" width="5.28515625" style="237" bestFit="1" customWidth="1"/>
    <col min="11816" max="11816" width="9.7109375" style="237" bestFit="1" customWidth="1"/>
    <col min="11817" max="11817" width="8.7109375" style="237" bestFit="1" customWidth="1"/>
    <col min="11818" max="11818" width="10.7109375" style="237" bestFit="1" customWidth="1"/>
    <col min="11819" max="11819" width="12.42578125" style="237" bestFit="1" customWidth="1"/>
    <col min="11820" max="11820" width="8.42578125" style="237" bestFit="1" customWidth="1"/>
    <col min="11821" max="11821" width="9.42578125" style="237" customWidth="1"/>
    <col min="11822" max="12033" width="9.140625" style="237"/>
    <col min="12034" max="12034" width="3.7109375" style="237" bestFit="1" customWidth="1"/>
    <col min="12035" max="12035" width="17.7109375" style="237" customWidth="1"/>
    <col min="12036" max="12036" width="26.42578125" style="237" customWidth="1"/>
    <col min="12037" max="12037" width="13.42578125" style="237" customWidth="1"/>
    <col min="12038" max="12038" width="8.42578125" style="237" bestFit="1" customWidth="1"/>
    <col min="12039" max="12039" width="9.140625" style="237" customWidth="1"/>
    <col min="12040" max="12040" width="5" style="237" bestFit="1" customWidth="1"/>
    <col min="12041" max="12041" width="7.7109375" style="237" bestFit="1" customWidth="1"/>
    <col min="12042" max="12042" width="7" style="237" bestFit="1" customWidth="1"/>
    <col min="12043" max="12043" width="8.42578125" style="237" bestFit="1" customWidth="1"/>
    <col min="12044" max="12044" width="8" style="237" bestFit="1" customWidth="1"/>
    <col min="12045" max="12045" width="8" style="237" customWidth="1"/>
    <col min="12046" max="12046" width="6.28515625" style="237" customWidth="1"/>
    <col min="12047" max="12047" width="3.42578125" style="237" bestFit="1" customWidth="1"/>
    <col min="12048" max="12048" width="4.7109375" style="237" bestFit="1" customWidth="1"/>
    <col min="12049" max="12049" width="4.42578125" style="237" bestFit="1" customWidth="1"/>
    <col min="12050" max="12050" width="6.42578125" style="237" bestFit="1" customWidth="1"/>
    <col min="12051" max="12051" width="7.7109375" style="237" customWidth="1"/>
    <col min="12052" max="12052" width="4.42578125" style="237" bestFit="1" customWidth="1"/>
    <col min="12053" max="12053" width="2" style="237" bestFit="1" customWidth="1"/>
    <col min="12054" max="12054" width="1.7109375" style="237" customWidth="1"/>
    <col min="12055" max="12055" width="2" style="237" bestFit="1" customWidth="1"/>
    <col min="12056" max="12056" width="5.42578125" style="237" bestFit="1" customWidth="1"/>
    <col min="12057" max="12057" width="6.140625" style="237" bestFit="1" customWidth="1"/>
    <col min="12058" max="12059" width="6.28515625" style="237" bestFit="1" customWidth="1"/>
    <col min="12060" max="12060" width="7" style="237" bestFit="1" customWidth="1"/>
    <col min="12061" max="12061" width="9.7109375" style="237" bestFit="1" customWidth="1"/>
    <col min="12062" max="12063" width="5.28515625" style="237" bestFit="1" customWidth="1"/>
    <col min="12064" max="12065" width="6.140625" style="237" bestFit="1" customWidth="1"/>
    <col min="12066" max="12066" width="5.42578125" style="237" bestFit="1" customWidth="1"/>
    <col min="12067" max="12067" width="6.140625" style="237" bestFit="1" customWidth="1"/>
    <col min="12068" max="12068" width="6.28515625" style="237" bestFit="1" customWidth="1"/>
    <col min="12069" max="12069" width="6.140625" style="237" customWidth="1"/>
    <col min="12070" max="12071" width="5.28515625" style="237" bestFit="1" customWidth="1"/>
    <col min="12072" max="12072" width="9.7109375" style="237" bestFit="1" customWidth="1"/>
    <col min="12073" max="12073" width="8.7109375" style="237" bestFit="1" customWidth="1"/>
    <col min="12074" max="12074" width="10.7109375" style="237" bestFit="1" customWidth="1"/>
    <col min="12075" max="12075" width="12.42578125" style="237" bestFit="1" customWidth="1"/>
    <col min="12076" max="12076" width="8.42578125" style="237" bestFit="1" customWidth="1"/>
    <col min="12077" max="12077" width="9.42578125" style="237" customWidth="1"/>
    <col min="12078" max="12289" width="9.140625" style="237"/>
    <col min="12290" max="12290" width="3.7109375" style="237" bestFit="1" customWidth="1"/>
    <col min="12291" max="12291" width="17.7109375" style="237" customWidth="1"/>
    <col min="12292" max="12292" width="26.42578125" style="237" customWidth="1"/>
    <col min="12293" max="12293" width="13.42578125" style="237" customWidth="1"/>
    <col min="12294" max="12294" width="8.42578125" style="237" bestFit="1" customWidth="1"/>
    <col min="12295" max="12295" width="9.140625" style="237" customWidth="1"/>
    <col min="12296" max="12296" width="5" style="237" bestFit="1" customWidth="1"/>
    <col min="12297" max="12297" width="7.7109375" style="237" bestFit="1" customWidth="1"/>
    <col min="12298" max="12298" width="7" style="237" bestFit="1" customWidth="1"/>
    <col min="12299" max="12299" width="8.42578125" style="237" bestFit="1" customWidth="1"/>
    <col min="12300" max="12300" width="8" style="237" bestFit="1" customWidth="1"/>
    <col min="12301" max="12301" width="8" style="237" customWidth="1"/>
    <col min="12302" max="12302" width="6.28515625" style="237" customWidth="1"/>
    <col min="12303" max="12303" width="3.42578125" style="237" bestFit="1" customWidth="1"/>
    <col min="12304" max="12304" width="4.7109375" style="237" bestFit="1" customWidth="1"/>
    <col min="12305" max="12305" width="4.42578125" style="237" bestFit="1" customWidth="1"/>
    <col min="12306" max="12306" width="6.42578125" style="237" bestFit="1" customWidth="1"/>
    <col min="12307" max="12307" width="7.7109375" style="237" customWidth="1"/>
    <col min="12308" max="12308" width="4.42578125" style="237" bestFit="1" customWidth="1"/>
    <col min="12309" max="12309" width="2" style="237" bestFit="1" customWidth="1"/>
    <col min="12310" max="12310" width="1.7109375" style="237" customWidth="1"/>
    <col min="12311" max="12311" width="2" style="237" bestFit="1" customWidth="1"/>
    <col min="12312" max="12312" width="5.42578125" style="237" bestFit="1" customWidth="1"/>
    <col min="12313" max="12313" width="6.140625" style="237" bestFit="1" customWidth="1"/>
    <col min="12314" max="12315" width="6.28515625" style="237" bestFit="1" customWidth="1"/>
    <col min="12316" max="12316" width="7" style="237" bestFit="1" customWidth="1"/>
    <col min="12317" max="12317" width="9.7109375" style="237" bestFit="1" customWidth="1"/>
    <col min="12318" max="12319" width="5.28515625" style="237" bestFit="1" customWidth="1"/>
    <col min="12320" max="12321" width="6.140625" style="237" bestFit="1" customWidth="1"/>
    <col min="12322" max="12322" width="5.42578125" style="237" bestFit="1" customWidth="1"/>
    <col min="12323" max="12323" width="6.140625" style="237" bestFit="1" customWidth="1"/>
    <col min="12324" max="12324" width="6.28515625" style="237" bestFit="1" customWidth="1"/>
    <col min="12325" max="12325" width="6.140625" style="237" customWidth="1"/>
    <col min="12326" max="12327" width="5.28515625" style="237" bestFit="1" customWidth="1"/>
    <col min="12328" max="12328" width="9.7109375" style="237" bestFit="1" customWidth="1"/>
    <col min="12329" max="12329" width="8.7109375" style="237" bestFit="1" customWidth="1"/>
    <col min="12330" max="12330" width="10.7109375" style="237" bestFit="1" customWidth="1"/>
    <col min="12331" max="12331" width="12.42578125" style="237" bestFit="1" customWidth="1"/>
    <col min="12332" max="12332" width="8.42578125" style="237" bestFit="1" customWidth="1"/>
    <col min="12333" max="12333" width="9.42578125" style="237" customWidth="1"/>
    <col min="12334" max="12545" width="9.140625" style="237"/>
    <col min="12546" max="12546" width="3.7109375" style="237" bestFit="1" customWidth="1"/>
    <col min="12547" max="12547" width="17.7109375" style="237" customWidth="1"/>
    <col min="12548" max="12548" width="26.42578125" style="237" customWidth="1"/>
    <col min="12549" max="12549" width="13.42578125" style="237" customWidth="1"/>
    <col min="12550" max="12550" width="8.42578125" style="237" bestFit="1" customWidth="1"/>
    <col min="12551" max="12551" width="9.140625" style="237" customWidth="1"/>
    <col min="12552" max="12552" width="5" style="237" bestFit="1" customWidth="1"/>
    <col min="12553" max="12553" width="7.7109375" style="237" bestFit="1" customWidth="1"/>
    <col min="12554" max="12554" width="7" style="237" bestFit="1" customWidth="1"/>
    <col min="12555" max="12555" width="8.42578125" style="237" bestFit="1" customWidth="1"/>
    <col min="12556" max="12556" width="8" style="237" bestFit="1" customWidth="1"/>
    <col min="12557" max="12557" width="8" style="237" customWidth="1"/>
    <col min="12558" max="12558" width="6.28515625" style="237" customWidth="1"/>
    <col min="12559" max="12559" width="3.42578125" style="237" bestFit="1" customWidth="1"/>
    <col min="12560" max="12560" width="4.7109375" style="237" bestFit="1" customWidth="1"/>
    <col min="12561" max="12561" width="4.42578125" style="237" bestFit="1" customWidth="1"/>
    <col min="12562" max="12562" width="6.42578125" style="237" bestFit="1" customWidth="1"/>
    <col min="12563" max="12563" width="7.7109375" style="237" customWidth="1"/>
    <col min="12564" max="12564" width="4.42578125" style="237" bestFit="1" customWidth="1"/>
    <col min="12565" max="12565" width="2" style="237" bestFit="1" customWidth="1"/>
    <col min="12566" max="12566" width="1.7109375" style="237" customWidth="1"/>
    <col min="12567" max="12567" width="2" style="237" bestFit="1" customWidth="1"/>
    <col min="12568" max="12568" width="5.42578125" style="237" bestFit="1" customWidth="1"/>
    <col min="12569" max="12569" width="6.140625" style="237" bestFit="1" customWidth="1"/>
    <col min="12570" max="12571" width="6.28515625" style="237" bestFit="1" customWidth="1"/>
    <col min="12572" max="12572" width="7" style="237" bestFit="1" customWidth="1"/>
    <col min="12573" max="12573" width="9.7109375" style="237" bestFit="1" customWidth="1"/>
    <col min="12574" max="12575" width="5.28515625" style="237" bestFit="1" customWidth="1"/>
    <col min="12576" max="12577" width="6.140625" style="237" bestFit="1" customWidth="1"/>
    <col min="12578" max="12578" width="5.42578125" style="237" bestFit="1" customWidth="1"/>
    <col min="12579" max="12579" width="6.140625" style="237" bestFit="1" customWidth="1"/>
    <col min="12580" max="12580" width="6.28515625" style="237" bestFit="1" customWidth="1"/>
    <col min="12581" max="12581" width="6.140625" style="237" customWidth="1"/>
    <col min="12582" max="12583" width="5.28515625" style="237" bestFit="1" customWidth="1"/>
    <col min="12584" max="12584" width="9.7109375" style="237" bestFit="1" customWidth="1"/>
    <col min="12585" max="12585" width="8.7109375" style="237" bestFit="1" customWidth="1"/>
    <col min="12586" max="12586" width="10.7109375" style="237" bestFit="1" customWidth="1"/>
    <col min="12587" max="12587" width="12.42578125" style="237" bestFit="1" customWidth="1"/>
    <col min="12588" max="12588" width="8.42578125" style="237" bestFit="1" customWidth="1"/>
    <col min="12589" max="12589" width="9.42578125" style="237" customWidth="1"/>
    <col min="12590" max="12801" width="9.140625" style="237"/>
    <col min="12802" max="12802" width="3.7109375" style="237" bestFit="1" customWidth="1"/>
    <col min="12803" max="12803" width="17.7109375" style="237" customWidth="1"/>
    <col min="12804" max="12804" width="26.42578125" style="237" customWidth="1"/>
    <col min="12805" max="12805" width="13.42578125" style="237" customWidth="1"/>
    <col min="12806" max="12806" width="8.42578125" style="237" bestFit="1" customWidth="1"/>
    <col min="12807" max="12807" width="9.140625" style="237" customWidth="1"/>
    <col min="12808" max="12808" width="5" style="237" bestFit="1" customWidth="1"/>
    <col min="12809" max="12809" width="7.7109375" style="237" bestFit="1" customWidth="1"/>
    <col min="12810" max="12810" width="7" style="237" bestFit="1" customWidth="1"/>
    <col min="12811" max="12811" width="8.42578125" style="237" bestFit="1" customWidth="1"/>
    <col min="12812" max="12812" width="8" style="237" bestFit="1" customWidth="1"/>
    <col min="12813" max="12813" width="8" style="237" customWidth="1"/>
    <col min="12814" max="12814" width="6.28515625" style="237" customWidth="1"/>
    <col min="12815" max="12815" width="3.42578125" style="237" bestFit="1" customWidth="1"/>
    <col min="12816" max="12816" width="4.7109375" style="237" bestFit="1" customWidth="1"/>
    <col min="12817" max="12817" width="4.42578125" style="237" bestFit="1" customWidth="1"/>
    <col min="12818" max="12818" width="6.42578125" style="237" bestFit="1" customWidth="1"/>
    <col min="12819" max="12819" width="7.7109375" style="237" customWidth="1"/>
    <col min="12820" max="12820" width="4.42578125" style="237" bestFit="1" customWidth="1"/>
    <col min="12821" max="12821" width="2" style="237" bestFit="1" customWidth="1"/>
    <col min="12822" max="12822" width="1.7109375" style="237" customWidth="1"/>
    <col min="12823" max="12823" width="2" style="237" bestFit="1" customWidth="1"/>
    <col min="12824" max="12824" width="5.42578125" style="237" bestFit="1" customWidth="1"/>
    <col min="12825" max="12825" width="6.140625" style="237" bestFit="1" customWidth="1"/>
    <col min="12826" max="12827" width="6.28515625" style="237" bestFit="1" customWidth="1"/>
    <col min="12828" max="12828" width="7" style="237" bestFit="1" customWidth="1"/>
    <col min="12829" max="12829" width="9.7109375" style="237" bestFit="1" customWidth="1"/>
    <col min="12830" max="12831" width="5.28515625" style="237" bestFit="1" customWidth="1"/>
    <col min="12832" max="12833" width="6.140625" style="237" bestFit="1" customWidth="1"/>
    <col min="12834" max="12834" width="5.42578125" style="237" bestFit="1" customWidth="1"/>
    <col min="12835" max="12835" width="6.140625" style="237" bestFit="1" customWidth="1"/>
    <col min="12836" max="12836" width="6.28515625" style="237" bestFit="1" customWidth="1"/>
    <col min="12837" max="12837" width="6.140625" style="237" customWidth="1"/>
    <col min="12838" max="12839" width="5.28515625" style="237" bestFit="1" customWidth="1"/>
    <col min="12840" max="12840" width="9.7109375" style="237" bestFit="1" customWidth="1"/>
    <col min="12841" max="12841" width="8.7109375" style="237" bestFit="1" customWidth="1"/>
    <col min="12842" max="12842" width="10.7109375" style="237" bestFit="1" customWidth="1"/>
    <col min="12843" max="12843" width="12.42578125" style="237" bestFit="1" customWidth="1"/>
    <col min="12844" max="12844" width="8.42578125" style="237" bestFit="1" customWidth="1"/>
    <col min="12845" max="12845" width="9.42578125" style="237" customWidth="1"/>
    <col min="12846" max="13057" width="9.140625" style="237"/>
    <col min="13058" max="13058" width="3.7109375" style="237" bestFit="1" customWidth="1"/>
    <col min="13059" max="13059" width="17.7109375" style="237" customWidth="1"/>
    <col min="13060" max="13060" width="26.42578125" style="237" customWidth="1"/>
    <col min="13061" max="13061" width="13.42578125" style="237" customWidth="1"/>
    <col min="13062" max="13062" width="8.42578125" style="237" bestFit="1" customWidth="1"/>
    <col min="13063" max="13063" width="9.140625" style="237" customWidth="1"/>
    <col min="13064" max="13064" width="5" style="237" bestFit="1" customWidth="1"/>
    <col min="13065" max="13065" width="7.7109375" style="237" bestFit="1" customWidth="1"/>
    <col min="13066" max="13066" width="7" style="237" bestFit="1" customWidth="1"/>
    <col min="13067" max="13067" width="8.42578125" style="237" bestFit="1" customWidth="1"/>
    <col min="13068" max="13068" width="8" style="237" bestFit="1" customWidth="1"/>
    <col min="13069" max="13069" width="8" style="237" customWidth="1"/>
    <col min="13070" max="13070" width="6.28515625" style="237" customWidth="1"/>
    <col min="13071" max="13071" width="3.42578125" style="237" bestFit="1" customWidth="1"/>
    <col min="13072" max="13072" width="4.7109375" style="237" bestFit="1" customWidth="1"/>
    <col min="13073" max="13073" width="4.42578125" style="237" bestFit="1" customWidth="1"/>
    <col min="13074" max="13074" width="6.42578125" style="237" bestFit="1" customWidth="1"/>
    <col min="13075" max="13075" width="7.7109375" style="237" customWidth="1"/>
    <col min="13076" max="13076" width="4.42578125" style="237" bestFit="1" customWidth="1"/>
    <col min="13077" max="13077" width="2" style="237" bestFit="1" customWidth="1"/>
    <col min="13078" max="13078" width="1.7109375" style="237" customWidth="1"/>
    <col min="13079" max="13079" width="2" style="237" bestFit="1" customWidth="1"/>
    <col min="13080" max="13080" width="5.42578125" style="237" bestFit="1" customWidth="1"/>
    <col min="13081" max="13081" width="6.140625" style="237" bestFit="1" customWidth="1"/>
    <col min="13082" max="13083" width="6.28515625" style="237" bestFit="1" customWidth="1"/>
    <col min="13084" max="13084" width="7" style="237" bestFit="1" customWidth="1"/>
    <col min="13085" max="13085" width="9.7109375" style="237" bestFit="1" customWidth="1"/>
    <col min="13086" max="13087" width="5.28515625" style="237" bestFit="1" customWidth="1"/>
    <col min="13088" max="13089" width="6.140625" style="237" bestFit="1" customWidth="1"/>
    <col min="13090" max="13090" width="5.42578125" style="237" bestFit="1" customWidth="1"/>
    <col min="13091" max="13091" width="6.140625" style="237" bestFit="1" customWidth="1"/>
    <col min="13092" max="13092" width="6.28515625" style="237" bestFit="1" customWidth="1"/>
    <col min="13093" max="13093" width="6.140625" style="237" customWidth="1"/>
    <col min="13094" max="13095" width="5.28515625" style="237" bestFit="1" customWidth="1"/>
    <col min="13096" max="13096" width="9.7109375" style="237" bestFit="1" customWidth="1"/>
    <col min="13097" max="13097" width="8.7109375" style="237" bestFit="1" customWidth="1"/>
    <col min="13098" max="13098" width="10.7109375" style="237" bestFit="1" customWidth="1"/>
    <col min="13099" max="13099" width="12.42578125" style="237" bestFit="1" customWidth="1"/>
    <col min="13100" max="13100" width="8.42578125" style="237" bestFit="1" customWidth="1"/>
    <col min="13101" max="13101" width="9.42578125" style="237" customWidth="1"/>
    <col min="13102" max="13313" width="9.140625" style="237"/>
    <col min="13314" max="13314" width="3.7109375" style="237" bestFit="1" customWidth="1"/>
    <col min="13315" max="13315" width="17.7109375" style="237" customWidth="1"/>
    <col min="13316" max="13316" width="26.42578125" style="237" customWidth="1"/>
    <col min="13317" max="13317" width="13.42578125" style="237" customWidth="1"/>
    <col min="13318" max="13318" width="8.42578125" style="237" bestFit="1" customWidth="1"/>
    <col min="13319" max="13319" width="9.140625" style="237" customWidth="1"/>
    <col min="13320" max="13320" width="5" style="237" bestFit="1" customWidth="1"/>
    <col min="13321" max="13321" width="7.7109375" style="237" bestFit="1" customWidth="1"/>
    <col min="13322" max="13322" width="7" style="237" bestFit="1" customWidth="1"/>
    <col min="13323" max="13323" width="8.42578125" style="237" bestFit="1" customWidth="1"/>
    <col min="13324" max="13324" width="8" style="237" bestFit="1" customWidth="1"/>
    <col min="13325" max="13325" width="8" style="237" customWidth="1"/>
    <col min="13326" max="13326" width="6.28515625" style="237" customWidth="1"/>
    <col min="13327" max="13327" width="3.42578125" style="237" bestFit="1" customWidth="1"/>
    <col min="13328" max="13328" width="4.7109375" style="237" bestFit="1" customWidth="1"/>
    <col min="13329" max="13329" width="4.42578125" style="237" bestFit="1" customWidth="1"/>
    <col min="13330" max="13330" width="6.42578125" style="237" bestFit="1" customWidth="1"/>
    <col min="13331" max="13331" width="7.7109375" style="237" customWidth="1"/>
    <col min="13332" max="13332" width="4.42578125" style="237" bestFit="1" customWidth="1"/>
    <col min="13333" max="13333" width="2" style="237" bestFit="1" customWidth="1"/>
    <col min="13334" max="13334" width="1.7109375" style="237" customWidth="1"/>
    <col min="13335" max="13335" width="2" style="237" bestFit="1" customWidth="1"/>
    <col min="13336" max="13336" width="5.42578125" style="237" bestFit="1" customWidth="1"/>
    <col min="13337" max="13337" width="6.140625" style="237" bestFit="1" customWidth="1"/>
    <col min="13338" max="13339" width="6.28515625" style="237" bestFit="1" customWidth="1"/>
    <col min="13340" max="13340" width="7" style="237" bestFit="1" customWidth="1"/>
    <col min="13341" max="13341" width="9.7109375" style="237" bestFit="1" customWidth="1"/>
    <col min="13342" max="13343" width="5.28515625" style="237" bestFit="1" customWidth="1"/>
    <col min="13344" max="13345" width="6.140625" style="237" bestFit="1" customWidth="1"/>
    <col min="13346" max="13346" width="5.42578125" style="237" bestFit="1" customWidth="1"/>
    <col min="13347" max="13347" width="6.140625" style="237" bestFit="1" customWidth="1"/>
    <col min="13348" max="13348" width="6.28515625" style="237" bestFit="1" customWidth="1"/>
    <col min="13349" max="13349" width="6.140625" style="237" customWidth="1"/>
    <col min="13350" max="13351" width="5.28515625" style="237" bestFit="1" customWidth="1"/>
    <col min="13352" max="13352" width="9.7109375" style="237" bestFit="1" customWidth="1"/>
    <col min="13353" max="13353" width="8.7109375" style="237" bestFit="1" customWidth="1"/>
    <col min="13354" max="13354" width="10.7109375" style="237" bestFit="1" customWidth="1"/>
    <col min="13355" max="13355" width="12.42578125" style="237" bestFit="1" customWidth="1"/>
    <col min="13356" max="13356" width="8.42578125" style="237" bestFit="1" customWidth="1"/>
    <col min="13357" max="13357" width="9.42578125" style="237" customWidth="1"/>
    <col min="13358" max="13569" width="9.140625" style="237"/>
    <col min="13570" max="13570" width="3.7109375" style="237" bestFit="1" customWidth="1"/>
    <col min="13571" max="13571" width="17.7109375" style="237" customWidth="1"/>
    <col min="13572" max="13572" width="26.42578125" style="237" customWidth="1"/>
    <col min="13573" max="13573" width="13.42578125" style="237" customWidth="1"/>
    <col min="13574" max="13574" width="8.42578125" style="237" bestFit="1" customWidth="1"/>
    <col min="13575" max="13575" width="9.140625" style="237" customWidth="1"/>
    <col min="13576" max="13576" width="5" style="237" bestFit="1" customWidth="1"/>
    <col min="13577" max="13577" width="7.7109375" style="237" bestFit="1" customWidth="1"/>
    <col min="13578" max="13578" width="7" style="237" bestFit="1" customWidth="1"/>
    <col min="13579" max="13579" width="8.42578125" style="237" bestFit="1" customWidth="1"/>
    <col min="13580" max="13580" width="8" style="237" bestFit="1" customWidth="1"/>
    <col min="13581" max="13581" width="8" style="237" customWidth="1"/>
    <col min="13582" max="13582" width="6.28515625" style="237" customWidth="1"/>
    <col min="13583" max="13583" width="3.42578125" style="237" bestFit="1" customWidth="1"/>
    <col min="13584" max="13584" width="4.7109375" style="237" bestFit="1" customWidth="1"/>
    <col min="13585" max="13585" width="4.42578125" style="237" bestFit="1" customWidth="1"/>
    <col min="13586" max="13586" width="6.42578125" style="237" bestFit="1" customWidth="1"/>
    <col min="13587" max="13587" width="7.7109375" style="237" customWidth="1"/>
    <col min="13588" max="13588" width="4.42578125" style="237" bestFit="1" customWidth="1"/>
    <col min="13589" max="13589" width="2" style="237" bestFit="1" customWidth="1"/>
    <col min="13590" max="13590" width="1.7109375" style="237" customWidth="1"/>
    <col min="13591" max="13591" width="2" style="237" bestFit="1" customWidth="1"/>
    <col min="13592" max="13592" width="5.42578125" style="237" bestFit="1" customWidth="1"/>
    <col min="13593" max="13593" width="6.140625" style="237" bestFit="1" customWidth="1"/>
    <col min="13594" max="13595" width="6.28515625" style="237" bestFit="1" customWidth="1"/>
    <col min="13596" max="13596" width="7" style="237" bestFit="1" customWidth="1"/>
    <col min="13597" max="13597" width="9.7109375" style="237" bestFit="1" customWidth="1"/>
    <col min="13598" max="13599" width="5.28515625" style="237" bestFit="1" customWidth="1"/>
    <col min="13600" max="13601" width="6.140625" style="237" bestFit="1" customWidth="1"/>
    <col min="13602" max="13602" width="5.42578125" style="237" bestFit="1" customWidth="1"/>
    <col min="13603" max="13603" width="6.140625" style="237" bestFit="1" customWidth="1"/>
    <col min="13604" max="13604" width="6.28515625" style="237" bestFit="1" customWidth="1"/>
    <col min="13605" max="13605" width="6.140625" style="237" customWidth="1"/>
    <col min="13606" max="13607" width="5.28515625" style="237" bestFit="1" customWidth="1"/>
    <col min="13608" max="13608" width="9.7109375" style="237" bestFit="1" customWidth="1"/>
    <col min="13609" max="13609" width="8.7109375" style="237" bestFit="1" customWidth="1"/>
    <col min="13610" max="13610" width="10.7109375" style="237" bestFit="1" customWidth="1"/>
    <col min="13611" max="13611" width="12.42578125" style="237" bestFit="1" customWidth="1"/>
    <col min="13612" max="13612" width="8.42578125" style="237" bestFit="1" customWidth="1"/>
    <col min="13613" max="13613" width="9.42578125" style="237" customWidth="1"/>
    <col min="13614" max="13825" width="9.140625" style="237"/>
    <col min="13826" max="13826" width="3.7109375" style="237" bestFit="1" customWidth="1"/>
    <col min="13827" max="13827" width="17.7109375" style="237" customWidth="1"/>
    <col min="13828" max="13828" width="26.42578125" style="237" customWidth="1"/>
    <col min="13829" max="13829" width="13.42578125" style="237" customWidth="1"/>
    <col min="13830" max="13830" width="8.42578125" style="237" bestFit="1" customWidth="1"/>
    <col min="13831" max="13831" width="9.140625" style="237" customWidth="1"/>
    <col min="13832" max="13832" width="5" style="237" bestFit="1" customWidth="1"/>
    <col min="13833" max="13833" width="7.7109375" style="237" bestFit="1" customWidth="1"/>
    <col min="13834" max="13834" width="7" style="237" bestFit="1" customWidth="1"/>
    <col min="13835" max="13835" width="8.42578125" style="237" bestFit="1" customWidth="1"/>
    <col min="13836" max="13836" width="8" style="237" bestFit="1" customWidth="1"/>
    <col min="13837" max="13837" width="8" style="237" customWidth="1"/>
    <col min="13838" max="13838" width="6.28515625" style="237" customWidth="1"/>
    <col min="13839" max="13839" width="3.42578125" style="237" bestFit="1" customWidth="1"/>
    <col min="13840" max="13840" width="4.7109375" style="237" bestFit="1" customWidth="1"/>
    <col min="13841" max="13841" width="4.42578125" style="237" bestFit="1" customWidth="1"/>
    <col min="13842" max="13842" width="6.42578125" style="237" bestFit="1" customWidth="1"/>
    <col min="13843" max="13843" width="7.7109375" style="237" customWidth="1"/>
    <col min="13844" max="13844" width="4.42578125" style="237" bestFit="1" customWidth="1"/>
    <col min="13845" max="13845" width="2" style="237" bestFit="1" customWidth="1"/>
    <col min="13846" max="13846" width="1.7109375" style="237" customWidth="1"/>
    <col min="13847" max="13847" width="2" style="237" bestFit="1" customWidth="1"/>
    <col min="13848" max="13848" width="5.42578125" style="237" bestFit="1" customWidth="1"/>
    <col min="13849" max="13849" width="6.140625" style="237" bestFit="1" customWidth="1"/>
    <col min="13850" max="13851" width="6.28515625" style="237" bestFit="1" customWidth="1"/>
    <col min="13852" max="13852" width="7" style="237" bestFit="1" customWidth="1"/>
    <col min="13853" max="13853" width="9.7109375" style="237" bestFit="1" customWidth="1"/>
    <col min="13854" max="13855" width="5.28515625" style="237" bestFit="1" customWidth="1"/>
    <col min="13856" max="13857" width="6.140625" style="237" bestFit="1" customWidth="1"/>
    <col min="13858" max="13858" width="5.42578125" style="237" bestFit="1" customWidth="1"/>
    <col min="13859" max="13859" width="6.140625" style="237" bestFit="1" customWidth="1"/>
    <col min="13860" max="13860" width="6.28515625" style="237" bestFit="1" customWidth="1"/>
    <col min="13861" max="13861" width="6.140625" style="237" customWidth="1"/>
    <col min="13862" max="13863" width="5.28515625" style="237" bestFit="1" customWidth="1"/>
    <col min="13864" max="13864" width="9.7109375" style="237" bestFit="1" customWidth="1"/>
    <col min="13865" max="13865" width="8.7109375" style="237" bestFit="1" customWidth="1"/>
    <col min="13866" max="13866" width="10.7109375" style="237" bestFit="1" customWidth="1"/>
    <col min="13867" max="13867" width="12.42578125" style="237" bestFit="1" customWidth="1"/>
    <col min="13868" max="13868" width="8.42578125" style="237" bestFit="1" customWidth="1"/>
    <col min="13869" max="13869" width="9.42578125" style="237" customWidth="1"/>
    <col min="13870" max="14081" width="9.140625" style="237"/>
    <col min="14082" max="14082" width="3.7109375" style="237" bestFit="1" customWidth="1"/>
    <col min="14083" max="14083" width="17.7109375" style="237" customWidth="1"/>
    <col min="14084" max="14084" width="26.42578125" style="237" customWidth="1"/>
    <col min="14085" max="14085" width="13.42578125" style="237" customWidth="1"/>
    <col min="14086" max="14086" width="8.42578125" style="237" bestFit="1" customWidth="1"/>
    <col min="14087" max="14087" width="9.140625" style="237" customWidth="1"/>
    <col min="14088" max="14088" width="5" style="237" bestFit="1" customWidth="1"/>
    <col min="14089" max="14089" width="7.7109375" style="237" bestFit="1" customWidth="1"/>
    <col min="14090" max="14090" width="7" style="237" bestFit="1" customWidth="1"/>
    <col min="14091" max="14091" width="8.42578125" style="237" bestFit="1" customWidth="1"/>
    <col min="14092" max="14092" width="8" style="237" bestFit="1" customWidth="1"/>
    <col min="14093" max="14093" width="8" style="237" customWidth="1"/>
    <col min="14094" max="14094" width="6.28515625" style="237" customWidth="1"/>
    <col min="14095" max="14095" width="3.42578125" style="237" bestFit="1" customWidth="1"/>
    <col min="14096" max="14096" width="4.7109375" style="237" bestFit="1" customWidth="1"/>
    <col min="14097" max="14097" width="4.42578125" style="237" bestFit="1" customWidth="1"/>
    <col min="14098" max="14098" width="6.42578125" style="237" bestFit="1" customWidth="1"/>
    <col min="14099" max="14099" width="7.7109375" style="237" customWidth="1"/>
    <col min="14100" max="14100" width="4.42578125" style="237" bestFit="1" customWidth="1"/>
    <col min="14101" max="14101" width="2" style="237" bestFit="1" customWidth="1"/>
    <col min="14102" max="14102" width="1.7109375" style="237" customWidth="1"/>
    <col min="14103" max="14103" width="2" style="237" bestFit="1" customWidth="1"/>
    <col min="14104" max="14104" width="5.42578125" style="237" bestFit="1" customWidth="1"/>
    <col min="14105" max="14105" width="6.140625" style="237" bestFit="1" customWidth="1"/>
    <col min="14106" max="14107" width="6.28515625" style="237" bestFit="1" customWidth="1"/>
    <col min="14108" max="14108" width="7" style="237" bestFit="1" customWidth="1"/>
    <col min="14109" max="14109" width="9.7109375" style="237" bestFit="1" customWidth="1"/>
    <col min="14110" max="14111" width="5.28515625" style="237" bestFit="1" customWidth="1"/>
    <col min="14112" max="14113" width="6.140625" style="237" bestFit="1" customWidth="1"/>
    <col min="14114" max="14114" width="5.42578125" style="237" bestFit="1" customWidth="1"/>
    <col min="14115" max="14115" width="6.140625" style="237" bestFit="1" customWidth="1"/>
    <col min="14116" max="14116" width="6.28515625" style="237" bestFit="1" customWidth="1"/>
    <col min="14117" max="14117" width="6.140625" style="237" customWidth="1"/>
    <col min="14118" max="14119" width="5.28515625" style="237" bestFit="1" customWidth="1"/>
    <col min="14120" max="14120" width="9.7109375" style="237" bestFit="1" customWidth="1"/>
    <col min="14121" max="14121" width="8.7109375" style="237" bestFit="1" customWidth="1"/>
    <col min="14122" max="14122" width="10.7109375" style="237" bestFit="1" customWidth="1"/>
    <col min="14123" max="14123" width="12.42578125" style="237" bestFit="1" customWidth="1"/>
    <col min="14124" max="14124" width="8.42578125" style="237" bestFit="1" customWidth="1"/>
    <col min="14125" max="14125" width="9.42578125" style="237" customWidth="1"/>
    <col min="14126" max="14337" width="9.140625" style="237"/>
    <col min="14338" max="14338" width="3.7109375" style="237" bestFit="1" customWidth="1"/>
    <col min="14339" max="14339" width="17.7109375" style="237" customWidth="1"/>
    <col min="14340" max="14340" width="26.42578125" style="237" customWidth="1"/>
    <col min="14341" max="14341" width="13.42578125" style="237" customWidth="1"/>
    <col min="14342" max="14342" width="8.42578125" style="237" bestFit="1" customWidth="1"/>
    <col min="14343" max="14343" width="9.140625" style="237" customWidth="1"/>
    <col min="14344" max="14344" width="5" style="237" bestFit="1" customWidth="1"/>
    <col min="14345" max="14345" width="7.7109375" style="237" bestFit="1" customWidth="1"/>
    <col min="14346" max="14346" width="7" style="237" bestFit="1" customWidth="1"/>
    <col min="14347" max="14347" width="8.42578125" style="237" bestFit="1" customWidth="1"/>
    <col min="14348" max="14348" width="8" style="237" bestFit="1" customWidth="1"/>
    <col min="14349" max="14349" width="8" style="237" customWidth="1"/>
    <col min="14350" max="14350" width="6.28515625" style="237" customWidth="1"/>
    <col min="14351" max="14351" width="3.42578125" style="237" bestFit="1" customWidth="1"/>
    <col min="14352" max="14352" width="4.7109375" style="237" bestFit="1" customWidth="1"/>
    <col min="14353" max="14353" width="4.42578125" style="237" bestFit="1" customWidth="1"/>
    <col min="14354" max="14354" width="6.42578125" style="237" bestFit="1" customWidth="1"/>
    <col min="14355" max="14355" width="7.7109375" style="237" customWidth="1"/>
    <col min="14356" max="14356" width="4.42578125" style="237" bestFit="1" customWidth="1"/>
    <col min="14357" max="14357" width="2" style="237" bestFit="1" customWidth="1"/>
    <col min="14358" max="14358" width="1.7109375" style="237" customWidth="1"/>
    <col min="14359" max="14359" width="2" style="237" bestFit="1" customWidth="1"/>
    <col min="14360" max="14360" width="5.42578125" style="237" bestFit="1" customWidth="1"/>
    <col min="14361" max="14361" width="6.140625" style="237" bestFit="1" customWidth="1"/>
    <col min="14362" max="14363" width="6.28515625" style="237" bestFit="1" customWidth="1"/>
    <col min="14364" max="14364" width="7" style="237" bestFit="1" customWidth="1"/>
    <col min="14365" max="14365" width="9.7109375" style="237" bestFit="1" customWidth="1"/>
    <col min="14366" max="14367" width="5.28515625" style="237" bestFit="1" customWidth="1"/>
    <col min="14368" max="14369" width="6.140625" style="237" bestFit="1" customWidth="1"/>
    <col min="14370" max="14370" width="5.42578125" style="237" bestFit="1" customWidth="1"/>
    <col min="14371" max="14371" width="6.140625" style="237" bestFit="1" customWidth="1"/>
    <col min="14372" max="14372" width="6.28515625" style="237" bestFit="1" customWidth="1"/>
    <col min="14373" max="14373" width="6.140625" style="237" customWidth="1"/>
    <col min="14374" max="14375" width="5.28515625" style="237" bestFit="1" customWidth="1"/>
    <col min="14376" max="14376" width="9.7109375" style="237" bestFit="1" customWidth="1"/>
    <col min="14377" max="14377" width="8.7109375" style="237" bestFit="1" customWidth="1"/>
    <col min="14378" max="14378" width="10.7109375" style="237" bestFit="1" customWidth="1"/>
    <col min="14379" max="14379" width="12.42578125" style="237" bestFit="1" customWidth="1"/>
    <col min="14380" max="14380" width="8.42578125" style="237" bestFit="1" customWidth="1"/>
    <col min="14381" max="14381" width="9.42578125" style="237" customWidth="1"/>
    <col min="14382" max="14593" width="9.140625" style="237"/>
    <col min="14594" max="14594" width="3.7109375" style="237" bestFit="1" customWidth="1"/>
    <col min="14595" max="14595" width="17.7109375" style="237" customWidth="1"/>
    <col min="14596" max="14596" width="26.42578125" style="237" customWidth="1"/>
    <col min="14597" max="14597" width="13.42578125" style="237" customWidth="1"/>
    <col min="14598" max="14598" width="8.42578125" style="237" bestFit="1" customWidth="1"/>
    <col min="14599" max="14599" width="9.140625" style="237" customWidth="1"/>
    <col min="14600" max="14600" width="5" style="237" bestFit="1" customWidth="1"/>
    <col min="14601" max="14601" width="7.7109375" style="237" bestFit="1" customWidth="1"/>
    <col min="14602" max="14602" width="7" style="237" bestFit="1" customWidth="1"/>
    <col min="14603" max="14603" width="8.42578125" style="237" bestFit="1" customWidth="1"/>
    <col min="14604" max="14604" width="8" style="237" bestFit="1" customWidth="1"/>
    <col min="14605" max="14605" width="8" style="237" customWidth="1"/>
    <col min="14606" max="14606" width="6.28515625" style="237" customWidth="1"/>
    <col min="14607" max="14607" width="3.42578125" style="237" bestFit="1" customWidth="1"/>
    <col min="14608" max="14608" width="4.7109375" style="237" bestFit="1" customWidth="1"/>
    <col min="14609" max="14609" width="4.42578125" style="237" bestFit="1" customWidth="1"/>
    <col min="14610" max="14610" width="6.42578125" style="237" bestFit="1" customWidth="1"/>
    <col min="14611" max="14611" width="7.7109375" style="237" customWidth="1"/>
    <col min="14612" max="14612" width="4.42578125" style="237" bestFit="1" customWidth="1"/>
    <col min="14613" max="14613" width="2" style="237" bestFit="1" customWidth="1"/>
    <col min="14614" max="14614" width="1.7109375" style="237" customWidth="1"/>
    <col min="14615" max="14615" width="2" style="237" bestFit="1" customWidth="1"/>
    <col min="14616" max="14616" width="5.42578125" style="237" bestFit="1" customWidth="1"/>
    <col min="14617" max="14617" width="6.140625" style="237" bestFit="1" customWidth="1"/>
    <col min="14618" max="14619" width="6.28515625" style="237" bestFit="1" customWidth="1"/>
    <col min="14620" max="14620" width="7" style="237" bestFit="1" customWidth="1"/>
    <col min="14621" max="14621" width="9.7109375" style="237" bestFit="1" customWidth="1"/>
    <col min="14622" max="14623" width="5.28515625" style="237" bestFit="1" customWidth="1"/>
    <col min="14624" max="14625" width="6.140625" style="237" bestFit="1" customWidth="1"/>
    <col min="14626" max="14626" width="5.42578125" style="237" bestFit="1" customWidth="1"/>
    <col min="14627" max="14627" width="6.140625" style="237" bestFit="1" customWidth="1"/>
    <col min="14628" max="14628" width="6.28515625" style="237" bestFit="1" customWidth="1"/>
    <col min="14629" max="14629" width="6.140625" style="237" customWidth="1"/>
    <col min="14630" max="14631" width="5.28515625" style="237" bestFit="1" customWidth="1"/>
    <col min="14632" max="14632" width="9.7109375" style="237" bestFit="1" customWidth="1"/>
    <col min="14633" max="14633" width="8.7109375" style="237" bestFit="1" customWidth="1"/>
    <col min="14634" max="14634" width="10.7109375" style="237" bestFit="1" customWidth="1"/>
    <col min="14635" max="14635" width="12.42578125" style="237" bestFit="1" customWidth="1"/>
    <col min="14636" max="14636" width="8.42578125" style="237" bestFit="1" customWidth="1"/>
    <col min="14637" max="14637" width="9.42578125" style="237" customWidth="1"/>
    <col min="14638" max="14849" width="9.140625" style="237"/>
    <col min="14850" max="14850" width="3.7109375" style="237" bestFit="1" customWidth="1"/>
    <col min="14851" max="14851" width="17.7109375" style="237" customWidth="1"/>
    <col min="14852" max="14852" width="26.42578125" style="237" customWidth="1"/>
    <col min="14853" max="14853" width="13.42578125" style="237" customWidth="1"/>
    <col min="14854" max="14854" width="8.42578125" style="237" bestFit="1" customWidth="1"/>
    <col min="14855" max="14855" width="9.140625" style="237" customWidth="1"/>
    <col min="14856" max="14856" width="5" style="237" bestFit="1" customWidth="1"/>
    <col min="14857" max="14857" width="7.7109375" style="237" bestFit="1" customWidth="1"/>
    <col min="14858" max="14858" width="7" style="237" bestFit="1" customWidth="1"/>
    <col min="14859" max="14859" width="8.42578125" style="237" bestFit="1" customWidth="1"/>
    <col min="14860" max="14860" width="8" style="237" bestFit="1" customWidth="1"/>
    <col min="14861" max="14861" width="8" style="237" customWidth="1"/>
    <col min="14862" max="14862" width="6.28515625" style="237" customWidth="1"/>
    <col min="14863" max="14863" width="3.42578125" style="237" bestFit="1" customWidth="1"/>
    <col min="14864" max="14864" width="4.7109375" style="237" bestFit="1" customWidth="1"/>
    <col min="14865" max="14865" width="4.42578125" style="237" bestFit="1" customWidth="1"/>
    <col min="14866" max="14866" width="6.42578125" style="237" bestFit="1" customWidth="1"/>
    <col min="14867" max="14867" width="7.7109375" style="237" customWidth="1"/>
    <col min="14868" max="14868" width="4.42578125" style="237" bestFit="1" customWidth="1"/>
    <col min="14869" max="14869" width="2" style="237" bestFit="1" customWidth="1"/>
    <col min="14870" max="14870" width="1.7109375" style="237" customWidth="1"/>
    <col min="14871" max="14871" width="2" style="237" bestFit="1" customWidth="1"/>
    <col min="14872" max="14872" width="5.42578125" style="237" bestFit="1" customWidth="1"/>
    <col min="14873" max="14873" width="6.140625" style="237" bestFit="1" customWidth="1"/>
    <col min="14874" max="14875" width="6.28515625" style="237" bestFit="1" customWidth="1"/>
    <col min="14876" max="14876" width="7" style="237" bestFit="1" customWidth="1"/>
    <col min="14877" max="14877" width="9.7109375" style="237" bestFit="1" customWidth="1"/>
    <col min="14878" max="14879" width="5.28515625" style="237" bestFit="1" customWidth="1"/>
    <col min="14880" max="14881" width="6.140625" style="237" bestFit="1" customWidth="1"/>
    <col min="14882" max="14882" width="5.42578125" style="237" bestFit="1" customWidth="1"/>
    <col min="14883" max="14883" width="6.140625" style="237" bestFit="1" customWidth="1"/>
    <col min="14884" max="14884" width="6.28515625" style="237" bestFit="1" customWidth="1"/>
    <col min="14885" max="14885" width="6.140625" style="237" customWidth="1"/>
    <col min="14886" max="14887" width="5.28515625" style="237" bestFit="1" customWidth="1"/>
    <col min="14888" max="14888" width="9.7109375" style="237" bestFit="1" customWidth="1"/>
    <col min="14889" max="14889" width="8.7109375" style="237" bestFit="1" customWidth="1"/>
    <col min="14890" max="14890" width="10.7109375" style="237" bestFit="1" customWidth="1"/>
    <col min="14891" max="14891" width="12.42578125" style="237" bestFit="1" customWidth="1"/>
    <col min="14892" max="14892" width="8.42578125" style="237" bestFit="1" customWidth="1"/>
    <col min="14893" max="14893" width="9.42578125" style="237" customWidth="1"/>
    <col min="14894" max="15105" width="9.140625" style="237"/>
    <col min="15106" max="15106" width="3.7109375" style="237" bestFit="1" customWidth="1"/>
    <col min="15107" max="15107" width="17.7109375" style="237" customWidth="1"/>
    <col min="15108" max="15108" width="26.42578125" style="237" customWidth="1"/>
    <col min="15109" max="15109" width="13.42578125" style="237" customWidth="1"/>
    <col min="15110" max="15110" width="8.42578125" style="237" bestFit="1" customWidth="1"/>
    <col min="15111" max="15111" width="9.140625" style="237" customWidth="1"/>
    <col min="15112" max="15112" width="5" style="237" bestFit="1" customWidth="1"/>
    <col min="15113" max="15113" width="7.7109375" style="237" bestFit="1" customWidth="1"/>
    <col min="15114" max="15114" width="7" style="237" bestFit="1" customWidth="1"/>
    <col min="15115" max="15115" width="8.42578125" style="237" bestFit="1" customWidth="1"/>
    <col min="15116" max="15116" width="8" style="237" bestFit="1" customWidth="1"/>
    <col min="15117" max="15117" width="8" style="237" customWidth="1"/>
    <col min="15118" max="15118" width="6.28515625" style="237" customWidth="1"/>
    <col min="15119" max="15119" width="3.42578125" style="237" bestFit="1" customWidth="1"/>
    <col min="15120" max="15120" width="4.7109375" style="237" bestFit="1" customWidth="1"/>
    <col min="15121" max="15121" width="4.42578125" style="237" bestFit="1" customWidth="1"/>
    <col min="15122" max="15122" width="6.42578125" style="237" bestFit="1" customWidth="1"/>
    <col min="15123" max="15123" width="7.7109375" style="237" customWidth="1"/>
    <col min="15124" max="15124" width="4.42578125" style="237" bestFit="1" customWidth="1"/>
    <col min="15125" max="15125" width="2" style="237" bestFit="1" customWidth="1"/>
    <col min="15126" max="15126" width="1.7109375" style="237" customWidth="1"/>
    <col min="15127" max="15127" width="2" style="237" bestFit="1" customWidth="1"/>
    <col min="15128" max="15128" width="5.42578125" style="237" bestFit="1" customWidth="1"/>
    <col min="15129" max="15129" width="6.140625" style="237" bestFit="1" customWidth="1"/>
    <col min="15130" max="15131" width="6.28515625" style="237" bestFit="1" customWidth="1"/>
    <col min="15132" max="15132" width="7" style="237" bestFit="1" customWidth="1"/>
    <col min="15133" max="15133" width="9.7109375" style="237" bestFit="1" customWidth="1"/>
    <col min="15134" max="15135" width="5.28515625" style="237" bestFit="1" customWidth="1"/>
    <col min="15136" max="15137" width="6.140625" style="237" bestFit="1" customWidth="1"/>
    <col min="15138" max="15138" width="5.42578125" style="237" bestFit="1" customWidth="1"/>
    <col min="15139" max="15139" width="6.140625" style="237" bestFit="1" customWidth="1"/>
    <col min="15140" max="15140" width="6.28515625" style="237" bestFit="1" customWidth="1"/>
    <col min="15141" max="15141" width="6.140625" style="237" customWidth="1"/>
    <col min="15142" max="15143" width="5.28515625" style="237" bestFit="1" customWidth="1"/>
    <col min="15144" max="15144" width="9.7109375" style="237" bestFit="1" customWidth="1"/>
    <col min="15145" max="15145" width="8.7109375" style="237" bestFit="1" customWidth="1"/>
    <col min="15146" max="15146" width="10.7109375" style="237" bestFit="1" customWidth="1"/>
    <col min="15147" max="15147" width="12.42578125" style="237" bestFit="1" customWidth="1"/>
    <col min="15148" max="15148" width="8.42578125" style="237" bestFit="1" customWidth="1"/>
    <col min="15149" max="15149" width="9.42578125" style="237" customWidth="1"/>
    <col min="15150" max="15361" width="9.140625" style="237"/>
    <col min="15362" max="15362" width="3.7109375" style="237" bestFit="1" customWidth="1"/>
    <col min="15363" max="15363" width="17.7109375" style="237" customWidth="1"/>
    <col min="15364" max="15364" width="26.42578125" style="237" customWidth="1"/>
    <col min="15365" max="15365" width="13.42578125" style="237" customWidth="1"/>
    <col min="15366" max="15366" width="8.42578125" style="237" bestFit="1" customWidth="1"/>
    <col min="15367" max="15367" width="9.140625" style="237" customWidth="1"/>
    <col min="15368" max="15368" width="5" style="237" bestFit="1" customWidth="1"/>
    <col min="15369" max="15369" width="7.7109375" style="237" bestFit="1" customWidth="1"/>
    <col min="15370" max="15370" width="7" style="237" bestFit="1" customWidth="1"/>
    <col min="15371" max="15371" width="8.42578125" style="237" bestFit="1" customWidth="1"/>
    <col min="15372" max="15372" width="8" style="237" bestFit="1" customWidth="1"/>
    <col min="15373" max="15373" width="8" style="237" customWidth="1"/>
    <col min="15374" max="15374" width="6.28515625" style="237" customWidth="1"/>
    <col min="15375" max="15375" width="3.42578125" style="237" bestFit="1" customWidth="1"/>
    <col min="15376" max="15376" width="4.7109375" style="237" bestFit="1" customWidth="1"/>
    <col min="15377" max="15377" width="4.42578125" style="237" bestFit="1" customWidth="1"/>
    <col min="15378" max="15378" width="6.42578125" style="237" bestFit="1" customWidth="1"/>
    <col min="15379" max="15379" width="7.7109375" style="237" customWidth="1"/>
    <col min="15380" max="15380" width="4.42578125" style="237" bestFit="1" customWidth="1"/>
    <col min="15381" max="15381" width="2" style="237" bestFit="1" customWidth="1"/>
    <col min="15382" max="15382" width="1.7109375" style="237" customWidth="1"/>
    <col min="15383" max="15383" width="2" style="237" bestFit="1" customWidth="1"/>
    <col min="15384" max="15384" width="5.42578125" style="237" bestFit="1" customWidth="1"/>
    <col min="15385" max="15385" width="6.140625" style="237" bestFit="1" customWidth="1"/>
    <col min="15386" max="15387" width="6.28515625" style="237" bestFit="1" customWidth="1"/>
    <col min="15388" max="15388" width="7" style="237" bestFit="1" customWidth="1"/>
    <col min="15389" max="15389" width="9.7109375" style="237" bestFit="1" customWidth="1"/>
    <col min="15390" max="15391" width="5.28515625" style="237" bestFit="1" customWidth="1"/>
    <col min="15392" max="15393" width="6.140625" style="237" bestFit="1" customWidth="1"/>
    <col min="15394" max="15394" width="5.42578125" style="237" bestFit="1" customWidth="1"/>
    <col min="15395" max="15395" width="6.140625" style="237" bestFit="1" customWidth="1"/>
    <col min="15396" max="15396" width="6.28515625" style="237" bestFit="1" customWidth="1"/>
    <col min="15397" max="15397" width="6.140625" style="237" customWidth="1"/>
    <col min="15398" max="15399" width="5.28515625" style="237" bestFit="1" customWidth="1"/>
    <col min="15400" max="15400" width="9.7109375" style="237" bestFit="1" customWidth="1"/>
    <col min="15401" max="15401" width="8.7109375" style="237" bestFit="1" customWidth="1"/>
    <col min="15402" max="15402" width="10.7109375" style="237" bestFit="1" customWidth="1"/>
    <col min="15403" max="15403" width="12.42578125" style="237" bestFit="1" customWidth="1"/>
    <col min="15404" max="15404" width="8.42578125" style="237" bestFit="1" customWidth="1"/>
    <col min="15405" max="15405" width="9.42578125" style="237" customWidth="1"/>
    <col min="15406" max="15617" width="9.140625" style="237"/>
    <col min="15618" max="15618" width="3.7109375" style="237" bestFit="1" customWidth="1"/>
    <col min="15619" max="15619" width="17.7109375" style="237" customWidth="1"/>
    <col min="15620" max="15620" width="26.42578125" style="237" customWidth="1"/>
    <col min="15621" max="15621" width="13.42578125" style="237" customWidth="1"/>
    <col min="15622" max="15622" width="8.42578125" style="237" bestFit="1" customWidth="1"/>
    <col min="15623" max="15623" width="9.140625" style="237" customWidth="1"/>
    <col min="15624" max="15624" width="5" style="237" bestFit="1" customWidth="1"/>
    <col min="15625" max="15625" width="7.7109375" style="237" bestFit="1" customWidth="1"/>
    <col min="15626" max="15626" width="7" style="237" bestFit="1" customWidth="1"/>
    <col min="15627" max="15627" width="8.42578125" style="237" bestFit="1" customWidth="1"/>
    <col min="15628" max="15628" width="8" style="237" bestFit="1" customWidth="1"/>
    <col min="15629" max="15629" width="8" style="237" customWidth="1"/>
    <col min="15630" max="15630" width="6.28515625" style="237" customWidth="1"/>
    <col min="15631" max="15631" width="3.42578125" style="237" bestFit="1" customWidth="1"/>
    <col min="15632" max="15632" width="4.7109375" style="237" bestFit="1" customWidth="1"/>
    <col min="15633" max="15633" width="4.42578125" style="237" bestFit="1" customWidth="1"/>
    <col min="15634" max="15634" width="6.42578125" style="237" bestFit="1" customWidth="1"/>
    <col min="15635" max="15635" width="7.7109375" style="237" customWidth="1"/>
    <col min="15636" max="15636" width="4.42578125" style="237" bestFit="1" customWidth="1"/>
    <col min="15637" max="15637" width="2" style="237" bestFit="1" customWidth="1"/>
    <col min="15638" max="15638" width="1.7109375" style="237" customWidth="1"/>
    <col min="15639" max="15639" width="2" style="237" bestFit="1" customWidth="1"/>
    <col min="15640" max="15640" width="5.42578125" style="237" bestFit="1" customWidth="1"/>
    <col min="15641" max="15641" width="6.140625" style="237" bestFit="1" customWidth="1"/>
    <col min="15642" max="15643" width="6.28515625" style="237" bestFit="1" customWidth="1"/>
    <col min="15644" max="15644" width="7" style="237" bestFit="1" customWidth="1"/>
    <col min="15645" max="15645" width="9.7109375" style="237" bestFit="1" customWidth="1"/>
    <col min="15646" max="15647" width="5.28515625" style="237" bestFit="1" customWidth="1"/>
    <col min="15648" max="15649" width="6.140625" style="237" bestFit="1" customWidth="1"/>
    <col min="15650" max="15650" width="5.42578125" style="237" bestFit="1" customWidth="1"/>
    <col min="15651" max="15651" width="6.140625" style="237" bestFit="1" customWidth="1"/>
    <col min="15652" max="15652" width="6.28515625" style="237" bestFit="1" customWidth="1"/>
    <col min="15653" max="15653" width="6.140625" style="237" customWidth="1"/>
    <col min="15654" max="15655" width="5.28515625" style="237" bestFit="1" customWidth="1"/>
    <col min="15656" max="15656" width="9.7109375" style="237" bestFit="1" customWidth="1"/>
    <col min="15657" max="15657" width="8.7109375" style="237" bestFit="1" customWidth="1"/>
    <col min="15658" max="15658" width="10.7109375" style="237" bestFit="1" customWidth="1"/>
    <col min="15659" max="15659" width="12.42578125" style="237" bestFit="1" customWidth="1"/>
    <col min="15660" max="15660" width="8.42578125" style="237" bestFit="1" customWidth="1"/>
    <col min="15661" max="15661" width="9.42578125" style="237" customWidth="1"/>
    <col min="15662" max="15873" width="9.140625" style="237"/>
    <col min="15874" max="15874" width="3.7109375" style="237" bestFit="1" customWidth="1"/>
    <col min="15875" max="15875" width="17.7109375" style="237" customWidth="1"/>
    <col min="15876" max="15876" width="26.42578125" style="237" customWidth="1"/>
    <col min="15877" max="15877" width="13.42578125" style="237" customWidth="1"/>
    <col min="15878" max="15878" width="8.42578125" style="237" bestFit="1" customWidth="1"/>
    <col min="15879" max="15879" width="9.140625" style="237" customWidth="1"/>
    <col min="15880" max="15880" width="5" style="237" bestFit="1" customWidth="1"/>
    <col min="15881" max="15881" width="7.7109375" style="237" bestFit="1" customWidth="1"/>
    <col min="15882" max="15882" width="7" style="237" bestFit="1" customWidth="1"/>
    <col min="15883" max="15883" width="8.42578125" style="237" bestFit="1" customWidth="1"/>
    <col min="15884" max="15884" width="8" style="237" bestFit="1" customWidth="1"/>
    <col min="15885" max="15885" width="8" style="237" customWidth="1"/>
    <col min="15886" max="15886" width="6.28515625" style="237" customWidth="1"/>
    <col min="15887" max="15887" width="3.42578125" style="237" bestFit="1" customWidth="1"/>
    <col min="15888" max="15888" width="4.7109375" style="237" bestFit="1" customWidth="1"/>
    <col min="15889" max="15889" width="4.42578125" style="237" bestFit="1" customWidth="1"/>
    <col min="15890" max="15890" width="6.42578125" style="237" bestFit="1" customWidth="1"/>
    <col min="15891" max="15891" width="7.7109375" style="237" customWidth="1"/>
    <col min="15892" max="15892" width="4.42578125" style="237" bestFit="1" customWidth="1"/>
    <col min="15893" max="15893" width="2" style="237" bestFit="1" customWidth="1"/>
    <col min="15894" max="15894" width="1.7109375" style="237" customWidth="1"/>
    <col min="15895" max="15895" width="2" style="237" bestFit="1" customWidth="1"/>
    <col min="15896" max="15896" width="5.42578125" style="237" bestFit="1" customWidth="1"/>
    <col min="15897" max="15897" width="6.140625" style="237" bestFit="1" customWidth="1"/>
    <col min="15898" max="15899" width="6.28515625" style="237" bestFit="1" customWidth="1"/>
    <col min="15900" max="15900" width="7" style="237" bestFit="1" customWidth="1"/>
    <col min="15901" max="15901" width="9.7109375" style="237" bestFit="1" customWidth="1"/>
    <col min="15902" max="15903" width="5.28515625" style="237" bestFit="1" customWidth="1"/>
    <col min="15904" max="15905" width="6.140625" style="237" bestFit="1" customWidth="1"/>
    <col min="15906" max="15906" width="5.42578125" style="237" bestFit="1" customWidth="1"/>
    <col min="15907" max="15907" width="6.140625" style="237" bestFit="1" customWidth="1"/>
    <col min="15908" max="15908" width="6.28515625" style="237" bestFit="1" customWidth="1"/>
    <col min="15909" max="15909" width="6.140625" style="237" customWidth="1"/>
    <col min="15910" max="15911" width="5.28515625" style="237" bestFit="1" customWidth="1"/>
    <col min="15912" max="15912" width="9.7109375" style="237" bestFit="1" customWidth="1"/>
    <col min="15913" max="15913" width="8.7109375" style="237" bestFit="1" customWidth="1"/>
    <col min="15914" max="15914" width="10.7109375" style="237" bestFit="1" customWidth="1"/>
    <col min="15915" max="15915" width="12.42578125" style="237" bestFit="1" customWidth="1"/>
    <col min="15916" max="15916" width="8.42578125" style="237" bestFit="1" customWidth="1"/>
    <col min="15917" max="15917" width="9.42578125" style="237" customWidth="1"/>
    <col min="15918" max="16129" width="9.140625" style="237"/>
    <col min="16130" max="16130" width="3.7109375" style="237" bestFit="1" customWidth="1"/>
    <col min="16131" max="16131" width="17.7109375" style="237" customWidth="1"/>
    <col min="16132" max="16132" width="26.42578125" style="237" customWidth="1"/>
    <col min="16133" max="16133" width="13.42578125" style="237" customWidth="1"/>
    <col min="16134" max="16134" width="8.42578125" style="237" bestFit="1" customWidth="1"/>
    <col min="16135" max="16135" width="9.140625" style="237" customWidth="1"/>
    <col min="16136" max="16136" width="5" style="237" bestFit="1" customWidth="1"/>
    <col min="16137" max="16137" width="7.7109375" style="237" bestFit="1" customWidth="1"/>
    <col min="16138" max="16138" width="7" style="237" bestFit="1" customWidth="1"/>
    <col min="16139" max="16139" width="8.42578125" style="237" bestFit="1" customWidth="1"/>
    <col min="16140" max="16140" width="8" style="237" bestFit="1" customWidth="1"/>
    <col min="16141" max="16141" width="8" style="237" customWidth="1"/>
    <col min="16142" max="16142" width="6.28515625" style="237" customWidth="1"/>
    <col min="16143" max="16143" width="3.42578125" style="237" bestFit="1" customWidth="1"/>
    <col min="16144" max="16144" width="4.7109375" style="237" bestFit="1" customWidth="1"/>
    <col min="16145" max="16145" width="4.42578125" style="237" bestFit="1" customWidth="1"/>
    <col min="16146" max="16146" width="6.42578125" style="237" bestFit="1" customWidth="1"/>
    <col min="16147" max="16147" width="7.7109375" style="237" customWidth="1"/>
    <col min="16148" max="16148" width="4.42578125" style="237" bestFit="1" customWidth="1"/>
    <col min="16149" max="16149" width="2" style="237" bestFit="1" customWidth="1"/>
    <col min="16150" max="16150" width="1.7109375" style="237" customWidth="1"/>
    <col min="16151" max="16151" width="2" style="237" bestFit="1" customWidth="1"/>
    <col min="16152" max="16152" width="5.42578125" style="237" bestFit="1" customWidth="1"/>
    <col min="16153" max="16153" width="6.140625" style="237" bestFit="1" customWidth="1"/>
    <col min="16154" max="16155" width="6.28515625" style="237" bestFit="1" customWidth="1"/>
    <col min="16156" max="16156" width="7" style="237" bestFit="1" customWidth="1"/>
    <col min="16157" max="16157" width="9.7109375" style="237" bestFit="1" customWidth="1"/>
    <col min="16158" max="16159" width="5.28515625" style="237" bestFit="1" customWidth="1"/>
    <col min="16160" max="16161" width="6.140625" style="237" bestFit="1" customWidth="1"/>
    <col min="16162" max="16162" width="5.42578125" style="237" bestFit="1" customWidth="1"/>
    <col min="16163" max="16163" width="6.140625" style="237" bestFit="1" customWidth="1"/>
    <col min="16164" max="16164" width="6.28515625" style="237" bestFit="1" customWidth="1"/>
    <col min="16165" max="16165" width="6.140625" style="237" customWidth="1"/>
    <col min="16166" max="16167" width="5.28515625" style="237" bestFit="1" customWidth="1"/>
    <col min="16168" max="16168" width="9.7109375" style="237" bestFit="1" customWidth="1"/>
    <col min="16169" max="16169" width="8.7109375" style="237" bestFit="1" customWidth="1"/>
    <col min="16170" max="16170" width="10.7109375" style="237" bestFit="1" customWidth="1"/>
    <col min="16171" max="16171" width="12.42578125" style="237" bestFit="1" customWidth="1"/>
    <col min="16172" max="16172" width="8.42578125" style="237" bestFit="1" customWidth="1"/>
    <col min="16173" max="16173" width="9.42578125" style="237" customWidth="1"/>
    <col min="16174" max="16384" width="9.140625" style="237"/>
  </cols>
  <sheetData>
    <row r="1" spans="1:51" x14ac:dyDescent="0.2">
      <c r="B1" s="238" t="s">
        <v>0</v>
      </c>
      <c r="C1" s="238"/>
    </row>
    <row r="3" spans="1:51" x14ac:dyDescent="0.2">
      <c r="B3" s="238" t="s">
        <v>1</v>
      </c>
      <c r="C3" s="238"/>
    </row>
    <row r="4" spans="1:51" x14ac:dyDescent="0.2">
      <c r="B4" s="238" t="s">
        <v>238</v>
      </c>
      <c r="C4" s="238"/>
    </row>
    <row r="5" spans="1:51" x14ac:dyDescent="0.2">
      <c r="B5" s="238" t="s">
        <v>237</v>
      </c>
    </row>
    <row r="6" spans="1:51" x14ac:dyDescent="0.2">
      <c r="B6" s="238" t="s">
        <v>3</v>
      </c>
      <c r="C6" s="238"/>
    </row>
    <row r="7" spans="1:51" x14ac:dyDescent="0.2">
      <c r="B7" s="238"/>
      <c r="C7" s="238"/>
    </row>
    <row r="8" spans="1:51" x14ac:dyDescent="0.2">
      <c r="A8" s="243" t="s">
        <v>186</v>
      </c>
      <c r="B8" s="238" t="s">
        <v>0</v>
      </c>
      <c r="C8" s="238"/>
    </row>
    <row r="9" spans="1:51" x14ac:dyDescent="0.2">
      <c r="A9" s="244"/>
      <c r="B9" s="238"/>
      <c r="C9" s="238"/>
      <c r="AF9" s="245"/>
    </row>
    <row r="10" spans="1:51" s="248" customFormat="1" ht="25.5" x14ac:dyDescent="0.25">
      <c r="A10" s="523" t="s">
        <v>4</v>
      </c>
      <c r="B10" s="519" t="s">
        <v>5</v>
      </c>
      <c r="C10" s="530" t="s">
        <v>6</v>
      </c>
      <c r="D10" s="531"/>
      <c r="E10" s="519" t="s">
        <v>7</v>
      </c>
      <c r="F10" s="524" t="s">
        <v>187</v>
      </c>
      <c r="G10" s="525"/>
      <c r="H10" s="525"/>
      <c r="I10" s="525"/>
      <c r="J10" s="525"/>
      <c r="K10" s="525"/>
      <c r="L10" s="525"/>
      <c r="M10" s="526"/>
      <c r="N10" s="527" t="s">
        <v>188</v>
      </c>
      <c r="O10" s="528"/>
      <c r="P10" s="528"/>
      <c r="Q10" s="528"/>
      <c r="R10" s="528"/>
      <c r="S10" s="528"/>
      <c r="T10" s="528"/>
      <c r="U10" s="528"/>
      <c r="V10" s="528"/>
      <c r="W10" s="529"/>
      <c r="X10" s="513" t="s">
        <v>189</v>
      </c>
      <c r="Y10" s="514"/>
      <c r="Z10" s="514"/>
      <c r="AA10" s="514"/>
      <c r="AB10" s="514"/>
      <c r="AC10" s="514"/>
      <c r="AD10" s="514"/>
      <c r="AE10" s="515"/>
      <c r="AF10" s="516" t="s">
        <v>190</v>
      </c>
      <c r="AG10" s="517"/>
      <c r="AH10" s="517"/>
      <c r="AI10" s="517"/>
      <c r="AJ10" s="517"/>
      <c r="AK10" s="517"/>
      <c r="AL10" s="517"/>
      <c r="AM10" s="518"/>
      <c r="AN10" s="246" t="s">
        <v>191</v>
      </c>
      <c r="AO10" s="247" t="s">
        <v>192</v>
      </c>
      <c r="AP10" s="246" t="s">
        <v>193</v>
      </c>
      <c r="AQ10" s="246" t="s">
        <v>194</v>
      </c>
      <c r="AR10" s="246" t="s">
        <v>62</v>
      </c>
      <c r="AS10" s="519" t="s">
        <v>20</v>
      </c>
      <c r="AV10" s="328"/>
      <c r="AW10" s="328"/>
      <c r="AX10" s="328"/>
      <c r="AY10" s="328"/>
    </row>
    <row r="11" spans="1:51" s="262" customFormat="1" ht="25.5" x14ac:dyDescent="0.25">
      <c r="A11" s="523"/>
      <c r="B11" s="519"/>
      <c r="C11" s="532"/>
      <c r="D11" s="533"/>
      <c r="E11" s="519"/>
      <c r="F11" s="312" t="s">
        <v>8</v>
      </c>
      <c r="G11" s="312" t="s">
        <v>9</v>
      </c>
      <c r="H11" s="312" t="s">
        <v>10</v>
      </c>
      <c r="I11" s="312" t="s">
        <v>11</v>
      </c>
      <c r="J11" s="312" t="s">
        <v>12</v>
      </c>
      <c r="K11" s="312" t="s">
        <v>13</v>
      </c>
      <c r="L11" s="312" t="s">
        <v>263</v>
      </c>
      <c r="M11" s="312" t="s">
        <v>200</v>
      </c>
      <c r="N11" s="254" t="s">
        <v>8</v>
      </c>
      <c r="O11" s="254" t="s">
        <v>9</v>
      </c>
      <c r="P11" s="254" t="s">
        <v>10</v>
      </c>
      <c r="Q11" s="254" t="s">
        <v>11</v>
      </c>
      <c r="R11" s="254" t="s">
        <v>12</v>
      </c>
      <c r="S11" s="254" t="s">
        <v>13</v>
      </c>
      <c r="T11" s="254" t="s">
        <v>199</v>
      </c>
      <c r="U11" s="520" t="s">
        <v>200</v>
      </c>
      <c r="V11" s="521"/>
      <c r="W11" s="522"/>
      <c r="X11" s="255" t="s">
        <v>8</v>
      </c>
      <c r="Y11" s="255" t="s">
        <v>9</v>
      </c>
      <c r="Z11" s="255" t="s">
        <v>10</v>
      </c>
      <c r="AA11" s="256" t="s">
        <v>11</v>
      </c>
      <c r="AB11" s="257" t="s">
        <v>12</v>
      </c>
      <c r="AC11" s="255" t="s">
        <v>13</v>
      </c>
      <c r="AD11" s="255" t="s">
        <v>199</v>
      </c>
      <c r="AE11" s="255" t="s">
        <v>200</v>
      </c>
      <c r="AF11" s="258" t="s">
        <v>8</v>
      </c>
      <c r="AG11" s="258" t="s">
        <v>9</v>
      </c>
      <c r="AH11" s="258" t="s">
        <v>10</v>
      </c>
      <c r="AI11" s="259" t="s">
        <v>11</v>
      </c>
      <c r="AJ11" s="260" t="s">
        <v>12</v>
      </c>
      <c r="AK11" s="258" t="s">
        <v>13</v>
      </c>
      <c r="AL11" s="258" t="s">
        <v>199</v>
      </c>
      <c r="AM11" s="258" t="s">
        <v>200</v>
      </c>
      <c r="AN11" s="261" t="s">
        <v>15</v>
      </c>
      <c r="AO11" s="261" t="s">
        <v>16</v>
      </c>
      <c r="AP11" s="261" t="s">
        <v>17</v>
      </c>
      <c r="AQ11" s="261" t="s">
        <v>18</v>
      </c>
      <c r="AR11" s="261" t="s">
        <v>19</v>
      </c>
      <c r="AS11" s="519"/>
      <c r="AV11" s="536" t="s">
        <v>195</v>
      </c>
      <c r="AW11" s="537" t="s">
        <v>196</v>
      </c>
      <c r="AX11" s="538" t="s">
        <v>197</v>
      </c>
      <c r="AY11" s="539" t="s">
        <v>198</v>
      </c>
    </row>
    <row r="12" spans="1:51" x14ac:dyDescent="0.2">
      <c r="A12" s="311" t="s">
        <v>183</v>
      </c>
      <c r="B12" s="268"/>
      <c r="C12" s="315" t="s">
        <v>294</v>
      </c>
      <c r="D12" s="316" t="s">
        <v>295</v>
      </c>
      <c r="E12" s="270"/>
      <c r="F12" s="271"/>
      <c r="G12" s="271"/>
      <c r="H12" s="271"/>
      <c r="I12" s="271"/>
      <c r="J12" s="271"/>
      <c r="K12" s="272"/>
      <c r="L12" s="272"/>
      <c r="M12" s="272"/>
      <c r="N12" s="254"/>
      <c r="O12" s="254"/>
      <c r="P12" s="254"/>
      <c r="Q12" s="254"/>
      <c r="R12" s="254"/>
      <c r="S12" s="254"/>
      <c r="T12" s="254"/>
      <c r="U12" s="254"/>
      <c r="V12" s="254"/>
      <c r="W12" s="254"/>
      <c r="X12" s="255"/>
      <c r="Y12" s="255"/>
      <c r="Z12" s="255"/>
      <c r="AA12" s="255"/>
      <c r="AB12" s="257"/>
      <c r="AC12" s="255"/>
      <c r="AD12" s="255"/>
      <c r="AE12" s="255"/>
      <c r="AF12" s="258"/>
      <c r="AG12" s="258"/>
      <c r="AH12" s="258"/>
      <c r="AI12" s="258"/>
      <c r="AJ12" s="258"/>
      <c r="AK12" s="258"/>
      <c r="AL12" s="258"/>
      <c r="AM12" s="258"/>
      <c r="AN12" s="273"/>
      <c r="AO12" s="274"/>
      <c r="AP12" s="275"/>
      <c r="AQ12" s="275"/>
      <c r="AR12" s="276"/>
      <c r="AS12" s="277"/>
      <c r="AV12" s="536"/>
      <c r="AW12" s="537"/>
      <c r="AX12" s="538"/>
      <c r="AY12" s="539"/>
    </row>
    <row r="13" spans="1:51" ht="15" x14ac:dyDescent="0.2">
      <c r="A13" s="267">
        <v>1</v>
      </c>
      <c r="B13" s="278" t="s">
        <v>21</v>
      </c>
      <c r="C13" s="268" t="s">
        <v>209</v>
      </c>
      <c r="D13" s="268" t="s">
        <v>210</v>
      </c>
      <c r="E13" s="329">
        <v>43881</v>
      </c>
      <c r="F13" s="359">
        <v>96</v>
      </c>
      <c r="G13" s="330">
        <v>1.77</v>
      </c>
      <c r="H13" s="359">
        <v>27</v>
      </c>
      <c r="I13" s="359">
        <v>59</v>
      </c>
      <c r="J13" s="359">
        <v>0.28999999999999998</v>
      </c>
      <c r="K13" s="361">
        <v>31000</v>
      </c>
      <c r="L13" s="330">
        <v>2</v>
      </c>
      <c r="M13" s="330">
        <v>7.81</v>
      </c>
      <c r="N13" s="254">
        <v>50</v>
      </c>
      <c r="O13" s="254">
        <v>4</v>
      </c>
      <c r="P13" s="254">
        <v>3</v>
      </c>
      <c r="Q13" s="254">
        <v>25</v>
      </c>
      <c r="R13" s="254">
        <v>0.2</v>
      </c>
      <c r="S13" s="254">
        <v>1000</v>
      </c>
      <c r="T13" s="254">
        <v>10</v>
      </c>
      <c r="U13" s="254">
        <v>6</v>
      </c>
      <c r="V13" s="254" t="s">
        <v>201</v>
      </c>
      <c r="W13" s="254">
        <v>9</v>
      </c>
      <c r="X13" s="255">
        <f t="shared" ref="X13:X27" si="0">F13/N13</f>
        <v>1.92</v>
      </c>
      <c r="Y13" s="255">
        <f>((7-G13)/(7-O13))/O13</f>
        <v>0.43583333333333335</v>
      </c>
      <c r="Z13" s="255">
        <f>H13/P13</f>
        <v>9</v>
      </c>
      <c r="AA13" s="255">
        <f>I13/Q13</f>
        <v>2.36</v>
      </c>
      <c r="AB13" s="255">
        <f>J13/R13</f>
        <v>1.4499999999999997</v>
      </c>
      <c r="AC13" s="255">
        <f>K13/S13</f>
        <v>31</v>
      </c>
      <c r="AD13" s="255">
        <f>L13/T13</f>
        <v>0.2</v>
      </c>
      <c r="AE13" s="255">
        <f>(M13-(AVERAGE(U13,W13)))/((IF(M13&lt;7.5,U13,W13)-M13))</f>
        <v>0.26050420168067184</v>
      </c>
      <c r="AF13" s="258">
        <f>IF(X13&lt;1,X13,(1+(5*(LOG10(X13)))))</f>
        <v>2.416506143517748</v>
      </c>
      <c r="AG13" s="258">
        <f t="shared" ref="AG13:AM27" si="1">IF(Y13&lt;1,Y13,(1+(5*(LOG10(Y13)))))</f>
        <v>0.43583333333333335</v>
      </c>
      <c r="AH13" s="258">
        <f t="shared" si="1"/>
        <v>5.7712125471966242</v>
      </c>
      <c r="AI13" s="258">
        <f t="shared" si="1"/>
        <v>2.8645600148505328</v>
      </c>
      <c r="AJ13" s="258">
        <f t="shared" si="1"/>
        <v>1.8068400111748741</v>
      </c>
      <c r="AK13" s="258">
        <f t="shared" si="1"/>
        <v>8.4568084691713636</v>
      </c>
      <c r="AL13" s="258">
        <f t="shared" si="1"/>
        <v>0.2</v>
      </c>
      <c r="AM13" s="258">
        <f>IF(AE13&lt;1,AE13,(1+(5*(LOG10(AE13)))))</f>
        <v>0.26050420168067184</v>
      </c>
      <c r="AN13" s="273">
        <f>AVERAGE(AF13:AM13)</f>
        <v>2.7765330901156435</v>
      </c>
      <c r="AO13" s="274">
        <f>MAX(AF13:AM13)</f>
        <v>8.4568084691713636</v>
      </c>
      <c r="AP13" s="275">
        <f>POWER(AN13,2)</f>
        <v>7.7091360005071241</v>
      </c>
      <c r="AQ13" s="275">
        <f>POWER(AO13,2)</f>
        <v>71.51760948424851</v>
      </c>
      <c r="AR13" s="276">
        <f>SQRT((AP13+AQ13)/2)</f>
        <v>6.2939155334638723</v>
      </c>
      <c r="AS13" s="282" t="str">
        <f>IF(ISNUMBER(AR13),IF(AR13&lt;=1,"memenuhi",IF(AR13&lt;=5,"ringan",IF(AR13&lt;=10,"sedang","berat"))),"")</f>
        <v>sedang</v>
      </c>
      <c r="AU13" s="281"/>
      <c r="AV13" s="305"/>
      <c r="AW13" s="303">
        <v>1</v>
      </c>
      <c r="AX13" s="301"/>
      <c r="AY13" s="298"/>
    </row>
    <row r="14" spans="1:51" ht="15" x14ac:dyDescent="0.2">
      <c r="A14" s="267">
        <v>2</v>
      </c>
      <c r="B14" s="278" t="s">
        <v>61</v>
      </c>
      <c r="C14" s="268" t="s">
        <v>211</v>
      </c>
      <c r="D14" s="268" t="s">
        <v>212</v>
      </c>
      <c r="E14" s="329">
        <v>43879</v>
      </c>
      <c r="F14" s="359">
        <v>295</v>
      </c>
      <c r="G14" s="330">
        <v>3.7</v>
      </c>
      <c r="H14" s="359">
        <v>19</v>
      </c>
      <c r="I14" s="359">
        <v>42</v>
      </c>
      <c r="J14" s="359">
        <v>0.28999999999999998</v>
      </c>
      <c r="K14" s="361">
        <v>262000</v>
      </c>
      <c r="L14" s="330">
        <v>2</v>
      </c>
      <c r="M14" s="330">
        <v>7.86</v>
      </c>
      <c r="N14" s="254">
        <v>50</v>
      </c>
      <c r="O14" s="254">
        <v>4</v>
      </c>
      <c r="P14" s="254">
        <v>3</v>
      </c>
      <c r="Q14" s="254">
        <v>25</v>
      </c>
      <c r="R14" s="254">
        <v>0.2</v>
      </c>
      <c r="S14" s="254">
        <v>1000</v>
      </c>
      <c r="T14" s="254">
        <v>10</v>
      </c>
      <c r="U14" s="254">
        <v>6</v>
      </c>
      <c r="V14" s="254" t="s">
        <v>201</v>
      </c>
      <c r="W14" s="254">
        <v>9</v>
      </c>
      <c r="X14" s="255">
        <f t="shared" si="0"/>
        <v>5.9</v>
      </c>
      <c r="Y14" s="255">
        <f t="shared" ref="Y14:Y27" si="2">((7-G14)/(7-O14))/O14</f>
        <v>0.27499999999999997</v>
      </c>
      <c r="Z14" s="255">
        <f t="shared" ref="Z14:AD29" si="3">H14/P14</f>
        <v>6.333333333333333</v>
      </c>
      <c r="AA14" s="255">
        <f t="shared" si="3"/>
        <v>1.68</v>
      </c>
      <c r="AB14" s="255">
        <f t="shared" si="3"/>
        <v>1.4499999999999997</v>
      </c>
      <c r="AC14" s="255">
        <f t="shared" si="3"/>
        <v>262</v>
      </c>
      <c r="AD14" s="255">
        <f t="shared" si="3"/>
        <v>0.2</v>
      </c>
      <c r="AE14" s="255">
        <f t="shared" ref="AE14:AE27" si="4">(M14-(AVERAGE(U14,W14)))/((IF(M14&lt;7.5,U14,W14)-M14))</f>
        <v>0.3157894736842109</v>
      </c>
      <c r="AF14" s="258">
        <f t="shared" ref="AF14:AF27" si="5">IF(X14&lt;1,X14,(1+(5*(LOG10(X14)))))</f>
        <v>4.8542600582107216</v>
      </c>
      <c r="AG14" s="258">
        <f t="shared" si="1"/>
        <v>0.27499999999999997</v>
      </c>
      <c r="AH14" s="258">
        <f t="shared" si="1"/>
        <v>5.0081617311658322</v>
      </c>
      <c r="AI14" s="258">
        <f t="shared" si="1"/>
        <v>2.1265464086293142</v>
      </c>
      <c r="AJ14" s="258">
        <f t="shared" si="1"/>
        <v>1.8068400111748741</v>
      </c>
      <c r="AK14" s="258">
        <f t="shared" si="1"/>
        <v>13.091506456598726</v>
      </c>
      <c r="AL14" s="258">
        <f t="shared" si="1"/>
        <v>0.2</v>
      </c>
      <c r="AM14" s="258">
        <f t="shared" si="1"/>
        <v>0.3157894736842109</v>
      </c>
      <c r="AN14" s="273">
        <f t="shared" ref="AN14:AN59" si="6">AVERAGE(AF14:AM14)</f>
        <v>3.4597630174329601</v>
      </c>
      <c r="AO14" s="274">
        <f t="shared" ref="AO14:AO59" si="7">MAX(AF14:AM14)</f>
        <v>13.091506456598726</v>
      </c>
      <c r="AP14" s="275">
        <f t="shared" ref="AP14:AQ46" si="8">POWER(AN14,2)</f>
        <v>11.969960136796821</v>
      </c>
      <c r="AQ14" s="275">
        <f t="shared" si="8"/>
        <v>171.38754130316613</v>
      </c>
      <c r="AR14" s="276">
        <f t="shared" ref="AR14:AR59" si="9">SQRT((AP14+AQ14)/2)</f>
        <v>9.5749021258695635</v>
      </c>
      <c r="AS14" s="282" t="str">
        <f t="shared" ref="AS14:AS60" si="10">IF(ISNUMBER(AR14),IF(AR14&lt;=1,"memenuhi",IF(AR14&lt;=5,"ringan",IF(AR14&lt;=10,"sedang","berat"))),"")</f>
        <v>sedang</v>
      </c>
      <c r="AU14" s="281"/>
      <c r="AV14" s="305"/>
      <c r="AW14" s="303">
        <v>1</v>
      </c>
      <c r="AX14" s="301"/>
      <c r="AY14" s="298"/>
    </row>
    <row r="15" spans="1:51" ht="15" x14ac:dyDescent="0.2">
      <c r="A15" s="267">
        <v>3</v>
      </c>
      <c r="B15" s="278" t="s">
        <v>60</v>
      </c>
      <c r="C15" s="268" t="s">
        <v>213</v>
      </c>
      <c r="D15" s="268" t="s">
        <v>214</v>
      </c>
      <c r="E15" s="329">
        <v>43879</v>
      </c>
      <c r="F15" s="359">
        <v>149</v>
      </c>
      <c r="G15" s="359">
        <v>5.91</v>
      </c>
      <c r="H15" s="359">
        <v>8</v>
      </c>
      <c r="I15" s="359">
        <v>26</v>
      </c>
      <c r="J15" s="359">
        <v>0.28999999999999998</v>
      </c>
      <c r="K15" s="361">
        <v>860000</v>
      </c>
      <c r="L15" s="330">
        <v>2.6</v>
      </c>
      <c r="M15" s="330">
        <v>7.64</v>
      </c>
      <c r="N15" s="254">
        <v>50</v>
      </c>
      <c r="O15" s="254">
        <v>4</v>
      </c>
      <c r="P15" s="254">
        <v>3</v>
      </c>
      <c r="Q15" s="254">
        <v>25</v>
      </c>
      <c r="R15" s="254">
        <v>0.2</v>
      </c>
      <c r="S15" s="254">
        <v>1000</v>
      </c>
      <c r="T15" s="254">
        <v>10</v>
      </c>
      <c r="U15" s="254">
        <v>6</v>
      </c>
      <c r="V15" s="254" t="s">
        <v>201</v>
      </c>
      <c r="W15" s="254">
        <v>9</v>
      </c>
      <c r="X15" s="255">
        <f t="shared" si="0"/>
        <v>2.98</v>
      </c>
      <c r="Y15" s="255">
        <f t="shared" si="2"/>
        <v>9.0833333333333321E-2</v>
      </c>
      <c r="Z15" s="255">
        <f t="shared" si="3"/>
        <v>2.6666666666666665</v>
      </c>
      <c r="AA15" s="255">
        <f t="shared" si="3"/>
        <v>1.04</v>
      </c>
      <c r="AB15" s="255">
        <f t="shared" si="3"/>
        <v>1.4499999999999997</v>
      </c>
      <c r="AC15" s="255">
        <f t="shared" si="3"/>
        <v>860</v>
      </c>
      <c r="AD15" s="255">
        <f t="shared" si="3"/>
        <v>0.26</v>
      </c>
      <c r="AE15" s="255">
        <f t="shared" si="4"/>
        <v>0.10294117647058798</v>
      </c>
      <c r="AF15" s="258">
        <f t="shared" si="5"/>
        <v>3.3710813203812759</v>
      </c>
      <c r="AG15" s="258">
        <f t="shared" si="1"/>
        <v>9.0833333333333321E-2</v>
      </c>
      <c r="AH15" s="258">
        <f t="shared" si="1"/>
        <v>3.1298436613614053</v>
      </c>
      <c r="AI15" s="258">
        <f t="shared" si="1"/>
        <v>1.0851666964939017</v>
      </c>
      <c r="AJ15" s="258">
        <f t="shared" si="1"/>
        <v>1.8068400111748741</v>
      </c>
      <c r="AK15" s="258">
        <f t="shared" si="1"/>
        <v>15.67249225621784</v>
      </c>
      <c r="AL15" s="258">
        <f t="shared" si="1"/>
        <v>0.26</v>
      </c>
      <c r="AM15" s="258">
        <f t="shared" si="1"/>
        <v>0.10294117647058798</v>
      </c>
      <c r="AN15" s="273">
        <f t="shared" si="6"/>
        <v>3.1898998069291524</v>
      </c>
      <c r="AO15" s="274">
        <f t="shared" si="7"/>
        <v>15.67249225621784</v>
      </c>
      <c r="AP15" s="275">
        <f t="shared" si="8"/>
        <v>10.175460778246643</v>
      </c>
      <c r="AQ15" s="275">
        <f t="shared" si="8"/>
        <v>245.62701352120817</v>
      </c>
      <c r="AR15" s="276">
        <f t="shared" si="9"/>
        <v>11.309342914145251</v>
      </c>
      <c r="AS15" s="280" t="str">
        <f t="shared" si="10"/>
        <v>berat</v>
      </c>
      <c r="AU15" s="281"/>
      <c r="AV15" s="305">
        <v>1</v>
      </c>
      <c r="AW15" s="303"/>
      <c r="AX15" s="301"/>
      <c r="AY15" s="298"/>
    </row>
    <row r="16" spans="1:51" ht="15" x14ac:dyDescent="0.2">
      <c r="A16" s="267">
        <v>4</v>
      </c>
      <c r="B16" s="278" t="s">
        <v>30</v>
      </c>
      <c r="C16" s="268" t="s">
        <v>215</v>
      </c>
      <c r="D16" s="268" t="s">
        <v>216</v>
      </c>
      <c r="E16" s="329">
        <v>43881</v>
      </c>
      <c r="F16" s="331">
        <v>17</v>
      </c>
      <c r="G16" s="331">
        <v>3.22</v>
      </c>
      <c r="H16" s="360">
        <v>7</v>
      </c>
      <c r="I16" s="331">
        <v>18</v>
      </c>
      <c r="J16" s="360">
        <v>0.28999999999999998</v>
      </c>
      <c r="K16" s="362">
        <v>275500</v>
      </c>
      <c r="L16" s="331">
        <v>3.4</v>
      </c>
      <c r="M16" s="331">
        <v>7.47</v>
      </c>
      <c r="N16" s="254">
        <v>50</v>
      </c>
      <c r="O16" s="254">
        <v>4</v>
      </c>
      <c r="P16" s="254">
        <v>3</v>
      </c>
      <c r="Q16" s="254">
        <v>25</v>
      </c>
      <c r="R16" s="254">
        <v>0.2</v>
      </c>
      <c r="S16" s="254">
        <v>1000</v>
      </c>
      <c r="T16" s="254">
        <v>10</v>
      </c>
      <c r="U16" s="254">
        <v>6</v>
      </c>
      <c r="V16" s="254" t="s">
        <v>201</v>
      </c>
      <c r="W16" s="254">
        <v>9</v>
      </c>
      <c r="X16" s="255">
        <f t="shared" si="0"/>
        <v>0.34</v>
      </c>
      <c r="Y16" s="255">
        <f t="shared" si="2"/>
        <v>0.315</v>
      </c>
      <c r="Z16" s="255">
        <f t="shared" si="3"/>
        <v>2.3333333333333335</v>
      </c>
      <c r="AA16" s="255">
        <f t="shared" si="3"/>
        <v>0.72</v>
      </c>
      <c r="AB16" s="255">
        <f t="shared" si="3"/>
        <v>1.4499999999999997</v>
      </c>
      <c r="AC16" s="255">
        <f t="shared" si="3"/>
        <v>275.5</v>
      </c>
      <c r="AD16" s="255">
        <f t="shared" si="3"/>
        <v>0.33999999999999997</v>
      </c>
      <c r="AE16" s="255">
        <f t="shared" si="4"/>
        <v>2.0408163265306294E-2</v>
      </c>
      <c r="AF16" s="258">
        <f t="shared" si="5"/>
        <v>0.34</v>
      </c>
      <c r="AG16" s="258">
        <f t="shared" si="1"/>
        <v>0.315</v>
      </c>
      <c r="AH16" s="258">
        <f t="shared" si="1"/>
        <v>2.8398839264729721</v>
      </c>
      <c r="AI16" s="258">
        <f t="shared" si="1"/>
        <v>0.72</v>
      </c>
      <c r="AJ16" s="258">
        <f t="shared" si="1"/>
        <v>1.8068400111748741</v>
      </c>
      <c r="AK16" s="258">
        <f t="shared" si="1"/>
        <v>13.200608015939018</v>
      </c>
      <c r="AL16" s="258">
        <f t="shared" si="1"/>
        <v>0.33999999999999997</v>
      </c>
      <c r="AM16" s="258">
        <f t="shared" si="1"/>
        <v>2.0408163265306294E-2</v>
      </c>
      <c r="AN16" s="273">
        <f t="shared" si="6"/>
        <v>2.447842514606521</v>
      </c>
      <c r="AO16" s="274">
        <f t="shared" si="7"/>
        <v>13.200608015939018</v>
      </c>
      <c r="AP16" s="275">
        <f t="shared" si="8"/>
        <v>5.9919329763151765</v>
      </c>
      <c r="AQ16" s="275">
        <f t="shared" si="8"/>
        <v>174.25605199047345</v>
      </c>
      <c r="AR16" s="276">
        <f t="shared" si="9"/>
        <v>9.4933657089250651</v>
      </c>
      <c r="AS16" s="282" t="str">
        <f t="shared" si="10"/>
        <v>sedang</v>
      </c>
      <c r="AU16" s="281"/>
      <c r="AV16" s="305"/>
      <c r="AW16" s="303">
        <v>1</v>
      </c>
      <c r="AX16" s="301"/>
      <c r="AY16" s="298"/>
    </row>
    <row r="17" spans="1:51" ht="15" x14ac:dyDescent="0.2">
      <c r="A17" s="267">
        <v>5</v>
      </c>
      <c r="B17" s="278" t="s">
        <v>31</v>
      </c>
      <c r="C17" s="268" t="s">
        <v>217</v>
      </c>
      <c r="D17" s="268" t="s">
        <v>218</v>
      </c>
      <c r="E17" s="329">
        <v>43879</v>
      </c>
      <c r="F17" s="331">
        <v>27</v>
      </c>
      <c r="G17" s="331">
        <v>1.65</v>
      </c>
      <c r="H17" s="360">
        <v>17</v>
      </c>
      <c r="I17" s="360">
        <v>54</v>
      </c>
      <c r="J17" s="360">
        <v>0.28999999999999998</v>
      </c>
      <c r="K17" s="362">
        <v>261300</v>
      </c>
      <c r="L17" s="331">
        <v>2</v>
      </c>
      <c r="M17" s="331">
        <v>7.41</v>
      </c>
      <c r="N17" s="254">
        <v>50</v>
      </c>
      <c r="O17" s="254">
        <v>4</v>
      </c>
      <c r="P17" s="254">
        <v>3</v>
      </c>
      <c r="Q17" s="254">
        <v>25</v>
      </c>
      <c r="R17" s="254">
        <v>0.2</v>
      </c>
      <c r="S17" s="254">
        <v>1000</v>
      </c>
      <c r="T17" s="254">
        <v>10</v>
      </c>
      <c r="U17" s="254">
        <v>6</v>
      </c>
      <c r="V17" s="254" t="s">
        <v>201</v>
      </c>
      <c r="W17" s="254">
        <v>9</v>
      </c>
      <c r="X17" s="255">
        <f t="shared" si="0"/>
        <v>0.54</v>
      </c>
      <c r="Y17" s="255">
        <f t="shared" si="2"/>
        <v>0.4458333333333333</v>
      </c>
      <c r="Z17" s="255">
        <f t="shared" si="3"/>
        <v>5.666666666666667</v>
      </c>
      <c r="AA17" s="255">
        <f t="shared" si="3"/>
        <v>2.16</v>
      </c>
      <c r="AB17" s="255">
        <f t="shared" si="3"/>
        <v>1.4499999999999997</v>
      </c>
      <c r="AC17" s="255">
        <f t="shared" si="3"/>
        <v>261.3</v>
      </c>
      <c r="AD17" s="255">
        <f t="shared" si="3"/>
        <v>0.2</v>
      </c>
      <c r="AE17" s="255">
        <f t="shared" si="4"/>
        <v>6.3829787234042451E-2</v>
      </c>
      <c r="AF17" s="258">
        <f t="shared" si="5"/>
        <v>0.54</v>
      </c>
      <c r="AG17" s="258">
        <f t="shared" si="1"/>
        <v>0.4458333333333333</v>
      </c>
      <c r="AH17" s="258">
        <f t="shared" si="1"/>
        <v>4.7666383332930575</v>
      </c>
      <c r="AI17" s="258">
        <f t="shared" si="1"/>
        <v>2.6722687557546543</v>
      </c>
      <c r="AJ17" s="258">
        <f t="shared" si="1"/>
        <v>1.8068400111748741</v>
      </c>
      <c r="AK17" s="258">
        <f t="shared" si="1"/>
        <v>13.085697048636629</v>
      </c>
      <c r="AL17" s="258">
        <f t="shared" si="1"/>
        <v>0.2</v>
      </c>
      <c r="AM17" s="258">
        <f t="shared" si="1"/>
        <v>6.3829787234042451E-2</v>
      </c>
      <c r="AN17" s="273">
        <f t="shared" si="6"/>
        <v>2.9476384086783236</v>
      </c>
      <c r="AO17" s="274">
        <f t="shared" si="7"/>
        <v>13.085697048636629</v>
      </c>
      <c r="AP17" s="275">
        <f t="shared" si="8"/>
        <v>8.6885721883156801</v>
      </c>
      <c r="AQ17" s="275">
        <f t="shared" si="8"/>
        <v>171.23546724869738</v>
      </c>
      <c r="AR17" s="276">
        <f t="shared" si="9"/>
        <v>9.4848310326808942</v>
      </c>
      <c r="AS17" s="282" t="str">
        <f t="shared" si="10"/>
        <v>sedang</v>
      </c>
      <c r="AU17" s="281"/>
      <c r="AV17" s="305"/>
      <c r="AW17" s="303">
        <v>1</v>
      </c>
      <c r="AX17" s="301"/>
      <c r="AY17" s="298"/>
    </row>
    <row r="18" spans="1:51" ht="15" x14ac:dyDescent="0.2">
      <c r="A18" s="267">
        <v>6</v>
      </c>
      <c r="B18" s="278" t="s">
        <v>32</v>
      </c>
      <c r="C18" s="268" t="s">
        <v>217</v>
      </c>
      <c r="D18" s="268" t="s">
        <v>218</v>
      </c>
      <c r="E18" s="329">
        <v>43879</v>
      </c>
      <c r="F18" s="331">
        <v>10</v>
      </c>
      <c r="G18" s="331">
        <v>2.34</v>
      </c>
      <c r="H18" s="360">
        <v>14</v>
      </c>
      <c r="I18" s="360">
        <v>46</v>
      </c>
      <c r="J18" s="360">
        <v>0.28999999999999998</v>
      </c>
      <c r="K18" s="362">
        <v>50400</v>
      </c>
      <c r="L18" s="331">
        <v>2.2000000000000002</v>
      </c>
      <c r="M18" s="332">
        <v>7.4</v>
      </c>
      <c r="N18" s="254">
        <v>50</v>
      </c>
      <c r="O18" s="254">
        <v>4</v>
      </c>
      <c r="P18" s="254">
        <v>3</v>
      </c>
      <c r="Q18" s="254">
        <v>25</v>
      </c>
      <c r="R18" s="254">
        <v>0.2</v>
      </c>
      <c r="S18" s="254">
        <v>1000</v>
      </c>
      <c r="T18" s="254">
        <v>10</v>
      </c>
      <c r="U18" s="254">
        <v>6</v>
      </c>
      <c r="V18" s="254" t="s">
        <v>201</v>
      </c>
      <c r="W18" s="254">
        <v>9</v>
      </c>
      <c r="X18" s="255">
        <f t="shared" si="0"/>
        <v>0.2</v>
      </c>
      <c r="Y18" s="255">
        <f t="shared" si="2"/>
        <v>0.38833333333333336</v>
      </c>
      <c r="Z18" s="255">
        <f t="shared" si="3"/>
        <v>4.666666666666667</v>
      </c>
      <c r="AA18" s="255">
        <f t="shared" si="3"/>
        <v>1.84</v>
      </c>
      <c r="AB18" s="255">
        <f t="shared" si="3"/>
        <v>1.4499999999999997</v>
      </c>
      <c r="AC18" s="255">
        <f t="shared" si="3"/>
        <v>50.4</v>
      </c>
      <c r="AD18" s="255">
        <f t="shared" si="3"/>
        <v>0.22000000000000003</v>
      </c>
      <c r="AE18" s="255">
        <f t="shared" si="4"/>
        <v>7.1428571428571161E-2</v>
      </c>
      <c r="AF18" s="258">
        <f t="shared" si="5"/>
        <v>0.2</v>
      </c>
      <c r="AG18" s="258">
        <f t="shared" si="1"/>
        <v>0.38833333333333336</v>
      </c>
      <c r="AH18" s="258">
        <f t="shared" si="1"/>
        <v>4.3450339047928779</v>
      </c>
      <c r="AI18" s="258">
        <f t="shared" si="1"/>
        <v>2.3240891150476823</v>
      </c>
      <c r="AJ18" s="258">
        <f t="shared" si="1"/>
        <v>1.8068400111748741</v>
      </c>
      <c r="AK18" s="258">
        <f t="shared" si="1"/>
        <v>9.5121526822276259</v>
      </c>
      <c r="AL18" s="258">
        <f t="shared" si="1"/>
        <v>0.22000000000000003</v>
      </c>
      <c r="AM18" s="258">
        <f t="shared" si="1"/>
        <v>7.1428571428571161E-2</v>
      </c>
      <c r="AN18" s="273">
        <f t="shared" si="6"/>
        <v>2.3584847022506201</v>
      </c>
      <c r="AO18" s="274">
        <f t="shared" si="7"/>
        <v>9.5121526822276259</v>
      </c>
      <c r="AP18" s="275">
        <f t="shared" si="8"/>
        <v>5.5624500907501959</v>
      </c>
      <c r="AQ18" s="275">
        <f t="shared" si="8"/>
        <v>90.481048650010223</v>
      </c>
      <c r="AR18" s="276">
        <f t="shared" si="9"/>
        <v>6.9297726781172413</v>
      </c>
      <c r="AS18" s="282" t="str">
        <f t="shared" si="10"/>
        <v>sedang</v>
      </c>
      <c r="AU18" s="281"/>
      <c r="AV18" s="305"/>
      <c r="AW18" s="303">
        <v>1</v>
      </c>
      <c r="AX18" s="301"/>
      <c r="AY18" s="298"/>
    </row>
    <row r="19" spans="1:51" ht="15" x14ac:dyDescent="0.2">
      <c r="A19" s="267">
        <v>7</v>
      </c>
      <c r="B19" s="278" t="s">
        <v>24</v>
      </c>
      <c r="C19" s="268" t="s">
        <v>219</v>
      </c>
      <c r="D19" s="268" t="s">
        <v>220</v>
      </c>
      <c r="E19" s="329">
        <v>43881</v>
      </c>
      <c r="F19" s="331">
        <v>28</v>
      </c>
      <c r="G19" s="331">
        <v>2.17</v>
      </c>
      <c r="H19" s="360">
        <v>17</v>
      </c>
      <c r="I19" s="360">
        <v>32</v>
      </c>
      <c r="J19" s="360">
        <v>0.28999999999999998</v>
      </c>
      <c r="K19" s="362">
        <v>214300</v>
      </c>
      <c r="L19" s="331">
        <v>4.0999999999999996</v>
      </c>
      <c r="M19" s="331">
        <v>7.64</v>
      </c>
      <c r="N19" s="254">
        <v>50</v>
      </c>
      <c r="O19" s="254">
        <v>4</v>
      </c>
      <c r="P19" s="254">
        <v>3</v>
      </c>
      <c r="Q19" s="254">
        <v>25</v>
      </c>
      <c r="R19" s="254">
        <v>0.2</v>
      </c>
      <c r="S19" s="254">
        <v>1000</v>
      </c>
      <c r="T19" s="254">
        <v>10</v>
      </c>
      <c r="U19" s="254">
        <v>6</v>
      </c>
      <c r="V19" s="254" t="s">
        <v>201</v>
      </c>
      <c r="W19" s="254">
        <v>9</v>
      </c>
      <c r="X19" s="255">
        <f t="shared" si="0"/>
        <v>0.56000000000000005</v>
      </c>
      <c r="Y19" s="255">
        <f t="shared" si="2"/>
        <v>0.40250000000000002</v>
      </c>
      <c r="Z19" s="255">
        <f t="shared" si="3"/>
        <v>5.666666666666667</v>
      </c>
      <c r="AA19" s="255">
        <f t="shared" si="3"/>
        <v>1.28</v>
      </c>
      <c r="AB19" s="255">
        <f t="shared" si="3"/>
        <v>1.4499999999999997</v>
      </c>
      <c r="AC19" s="255">
        <f t="shared" si="3"/>
        <v>214.3</v>
      </c>
      <c r="AD19" s="255">
        <f t="shared" si="3"/>
        <v>0.41</v>
      </c>
      <c r="AE19" s="255">
        <f t="shared" si="4"/>
        <v>0.10294117647058798</v>
      </c>
      <c r="AF19" s="258">
        <f t="shared" si="5"/>
        <v>0.56000000000000005</v>
      </c>
      <c r="AG19" s="258">
        <f t="shared" si="1"/>
        <v>0.40250000000000002</v>
      </c>
      <c r="AH19" s="258">
        <f t="shared" si="1"/>
        <v>4.7666383332930575</v>
      </c>
      <c r="AI19" s="258">
        <f t="shared" si="1"/>
        <v>1.5360498482393419</v>
      </c>
      <c r="AJ19" s="258">
        <f t="shared" si="1"/>
        <v>1.8068400111748741</v>
      </c>
      <c r="AK19" s="258">
        <f t="shared" si="1"/>
        <v>12.655110855209143</v>
      </c>
      <c r="AL19" s="258">
        <f t="shared" si="1"/>
        <v>0.41</v>
      </c>
      <c r="AM19" s="258">
        <f t="shared" si="1"/>
        <v>0.10294117647058798</v>
      </c>
      <c r="AN19" s="273">
        <f t="shared" si="6"/>
        <v>2.7800100280483755</v>
      </c>
      <c r="AO19" s="274">
        <f t="shared" si="7"/>
        <v>12.655110855209143</v>
      </c>
      <c r="AP19" s="275">
        <f t="shared" si="8"/>
        <v>7.7284557560495291</v>
      </c>
      <c r="AQ19" s="275">
        <f t="shared" si="8"/>
        <v>160.1518307576323</v>
      </c>
      <c r="AR19" s="276">
        <f t="shared" si="9"/>
        <v>9.1618853549278221</v>
      </c>
      <c r="AS19" s="282" t="str">
        <f t="shared" si="10"/>
        <v>sedang</v>
      </c>
      <c r="AT19" s="327"/>
      <c r="AU19" s="346"/>
      <c r="AV19" s="305"/>
      <c r="AW19" s="303">
        <v>1</v>
      </c>
      <c r="AX19" s="301"/>
      <c r="AY19" s="298"/>
    </row>
    <row r="20" spans="1:51" ht="15" x14ac:dyDescent="0.2">
      <c r="A20" s="267">
        <v>8</v>
      </c>
      <c r="B20" s="278" t="s">
        <v>25</v>
      </c>
      <c r="C20" s="268" t="s">
        <v>221</v>
      </c>
      <c r="D20" s="268" t="s">
        <v>222</v>
      </c>
      <c r="E20" s="329">
        <v>43878</v>
      </c>
      <c r="F20" s="331">
        <v>24</v>
      </c>
      <c r="G20" s="331">
        <v>2.5299999999999998</v>
      </c>
      <c r="H20" s="360">
        <v>38</v>
      </c>
      <c r="I20" s="360">
        <v>74</v>
      </c>
      <c r="J20" s="360">
        <v>0.28999999999999998</v>
      </c>
      <c r="K20" s="362">
        <v>2419600</v>
      </c>
      <c r="L20" s="331">
        <v>2</v>
      </c>
      <c r="M20" s="331">
        <v>7.17</v>
      </c>
      <c r="N20" s="254">
        <v>50</v>
      </c>
      <c r="O20" s="254">
        <v>4</v>
      </c>
      <c r="P20" s="254">
        <v>3</v>
      </c>
      <c r="Q20" s="254">
        <v>25</v>
      </c>
      <c r="R20" s="254">
        <v>0.2</v>
      </c>
      <c r="S20" s="254">
        <v>1000</v>
      </c>
      <c r="T20" s="254">
        <v>10</v>
      </c>
      <c r="U20" s="254">
        <v>6</v>
      </c>
      <c r="V20" s="254" t="s">
        <v>201</v>
      </c>
      <c r="W20" s="254">
        <v>9</v>
      </c>
      <c r="X20" s="255">
        <f t="shared" si="0"/>
        <v>0.48</v>
      </c>
      <c r="Y20" s="255">
        <f t="shared" si="2"/>
        <v>0.37250000000000005</v>
      </c>
      <c r="Z20" s="255">
        <f t="shared" si="3"/>
        <v>12.666666666666666</v>
      </c>
      <c r="AA20" s="255">
        <f t="shared" si="3"/>
        <v>2.96</v>
      </c>
      <c r="AB20" s="255">
        <f t="shared" si="3"/>
        <v>1.4499999999999997</v>
      </c>
      <c r="AC20" s="255">
        <f t="shared" si="3"/>
        <v>2419.6</v>
      </c>
      <c r="AD20" s="255">
        <f t="shared" si="3"/>
        <v>0.2</v>
      </c>
      <c r="AE20" s="255">
        <f t="shared" si="4"/>
        <v>0.2820512820512821</v>
      </c>
      <c r="AF20" s="258">
        <f t="shared" si="5"/>
        <v>0.48</v>
      </c>
      <c r="AG20" s="258">
        <f t="shared" si="1"/>
        <v>0.37250000000000005</v>
      </c>
      <c r="AH20" s="258">
        <f t="shared" si="1"/>
        <v>6.5133117094857385</v>
      </c>
      <c r="AI20" s="258">
        <f t="shared" si="1"/>
        <v>3.3564585552946928</v>
      </c>
      <c r="AJ20" s="258">
        <f t="shared" si="1"/>
        <v>1.8068400111748741</v>
      </c>
      <c r="AK20" s="258">
        <f t="shared" si="1"/>
        <v>17.918717879176565</v>
      </c>
      <c r="AL20" s="258">
        <f t="shared" si="1"/>
        <v>0.2</v>
      </c>
      <c r="AM20" s="258">
        <f t="shared" si="1"/>
        <v>0.2820512820512821</v>
      </c>
      <c r="AN20" s="273">
        <f t="shared" si="6"/>
        <v>3.8662349296478937</v>
      </c>
      <c r="AO20" s="274">
        <f t="shared" si="7"/>
        <v>17.918717879176565</v>
      </c>
      <c r="AP20" s="275">
        <f t="shared" si="8"/>
        <v>14.947772531229454</v>
      </c>
      <c r="AQ20" s="275">
        <f t="shared" si="8"/>
        <v>321.08045043352189</v>
      </c>
      <c r="AR20" s="276">
        <f t="shared" si="9"/>
        <v>12.962025747635888</v>
      </c>
      <c r="AS20" s="280" t="str">
        <f t="shared" si="10"/>
        <v>berat</v>
      </c>
      <c r="AT20" s="327"/>
      <c r="AU20" s="346"/>
      <c r="AV20" s="305">
        <v>1</v>
      </c>
      <c r="AW20" s="303"/>
      <c r="AX20" s="301"/>
      <c r="AY20" s="298"/>
    </row>
    <row r="21" spans="1:51" ht="15" x14ac:dyDescent="0.2">
      <c r="A21" s="267">
        <v>9</v>
      </c>
      <c r="B21" s="278" t="s">
        <v>26</v>
      </c>
      <c r="C21" s="268" t="s">
        <v>223</v>
      </c>
      <c r="D21" s="268" t="s">
        <v>224</v>
      </c>
      <c r="E21" s="329">
        <v>43880</v>
      </c>
      <c r="F21" s="331">
        <v>13</v>
      </c>
      <c r="G21" s="331">
        <v>3.82</v>
      </c>
      <c r="H21" s="360">
        <v>47</v>
      </c>
      <c r="I21" s="360">
        <v>97</v>
      </c>
      <c r="J21" s="360">
        <v>0.28999999999999998</v>
      </c>
      <c r="K21" s="362">
        <v>1413000</v>
      </c>
      <c r="L21" s="331">
        <v>2</v>
      </c>
      <c r="M21" s="331">
        <v>7.65</v>
      </c>
      <c r="N21" s="254">
        <v>50</v>
      </c>
      <c r="O21" s="254">
        <v>4</v>
      </c>
      <c r="P21" s="254">
        <v>3</v>
      </c>
      <c r="Q21" s="254">
        <v>25</v>
      </c>
      <c r="R21" s="254">
        <v>0.2</v>
      </c>
      <c r="S21" s="254">
        <v>1000</v>
      </c>
      <c r="T21" s="254">
        <v>10</v>
      </c>
      <c r="U21" s="254">
        <v>6</v>
      </c>
      <c r="V21" s="254" t="s">
        <v>201</v>
      </c>
      <c r="W21" s="254">
        <v>9</v>
      </c>
      <c r="X21" s="255">
        <f t="shared" si="0"/>
        <v>0.26</v>
      </c>
      <c r="Y21" s="255">
        <f t="shared" si="2"/>
        <v>0.26500000000000001</v>
      </c>
      <c r="Z21" s="255">
        <f t="shared" si="3"/>
        <v>15.666666666666666</v>
      </c>
      <c r="AA21" s="255">
        <f t="shared" si="3"/>
        <v>3.88</v>
      </c>
      <c r="AB21" s="255">
        <f t="shared" si="3"/>
        <v>1.4499999999999997</v>
      </c>
      <c r="AC21" s="255">
        <f t="shared" si="3"/>
        <v>1413</v>
      </c>
      <c r="AD21" s="255">
        <f t="shared" si="3"/>
        <v>0.2</v>
      </c>
      <c r="AE21" s="255">
        <f t="shared" si="4"/>
        <v>0.11111111111111141</v>
      </c>
      <c r="AF21" s="258">
        <f t="shared" si="5"/>
        <v>0.26</v>
      </c>
      <c r="AG21" s="258">
        <f t="shared" si="1"/>
        <v>0.26500000000000001</v>
      </c>
      <c r="AH21" s="258">
        <f t="shared" si="1"/>
        <v>6.9748830160802751</v>
      </c>
      <c r="AI21" s="258">
        <f t="shared" si="1"/>
        <v>3.9441586279710363</v>
      </c>
      <c r="AJ21" s="258">
        <f t="shared" si="1"/>
        <v>1.8068400111748741</v>
      </c>
      <c r="AK21" s="258">
        <f t="shared" si="1"/>
        <v>16.750710809242793</v>
      </c>
      <c r="AL21" s="258">
        <f t="shared" si="1"/>
        <v>0.2</v>
      </c>
      <c r="AM21" s="258">
        <f t="shared" si="1"/>
        <v>0.11111111111111141</v>
      </c>
      <c r="AN21" s="273">
        <f t="shared" si="6"/>
        <v>3.7890879469475109</v>
      </c>
      <c r="AO21" s="274">
        <f t="shared" si="7"/>
        <v>16.750710809242793</v>
      </c>
      <c r="AP21" s="275">
        <f t="shared" si="8"/>
        <v>14.357187469702904</v>
      </c>
      <c r="AQ21" s="275">
        <f t="shared" si="8"/>
        <v>280.58631261488335</v>
      </c>
      <c r="AR21" s="276">
        <f t="shared" si="9"/>
        <v>12.143794713444935</v>
      </c>
      <c r="AS21" s="280" t="str">
        <f t="shared" si="10"/>
        <v>berat</v>
      </c>
      <c r="AT21" s="327"/>
      <c r="AU21" s="346"/>
      <c r="AV21" s="305">
        <v>1</v>
      </c>
      <c r="AW21" s="303"/>
      <c r="AX21" s="301"/>
      <c r="AY21" s="298"/>
    </row>
    <row r="22" spans="1:51" ht="15" x14ac:dyDescent="0.2">
      <c r="A22" s="267">
        <v>10</v>
      </c>
      <c r="B22" s="278" t="s">
        <v>33</v>
      </c>
      <c r="C22" s="268" t="s">
        <v>225</v>
      </c>
      <c r="D22" s="268" t="s">
        <v>226</v>
      </c>
      <c r="E22" s="329">
        <v>43880</v>
      </c>
      <c r="F22" s="331">
        <v>14</v>
      </c>
      <c r="G22" s="331">
        <v>3.82</v>
      </c>
      <c r="H22" s="360">
        <v>42</v>
      </c>
      <c r="I22" s="331">
        <v>91</v>
      </c>
      <c r="J22" s="360">
        <v>0.3</v>
      </c>
      <c r="K22" s="362">
        <v>789000</v>
      </c>
      <c r="L22" s="331">
        <v>2</v>
      </c>
      <c r="M22" s="331">
        <v>7.63</v>
      </c>
      <c r="N22" s="254">
        <v>50</v>
      </c>
      <c r="O22" s="254">
        <v>4</v>
      </c>
      <c r="P22" s="254">
        <v>3</v>
      </c>
      <c r="Q22" s="254">
        <v>25</v>
      </c>
      <c r="R22" s="254">
        <v>0.2</v>
      </c>
      <c r="S22" s="254">
        <v>1000</v>
      </c>
      <c r="T22" s="254">
        <v>10</v>
      </c>
      <c r="U22" s="254">
        <v>6</v>
      </c>
      <c r="V22" s="254" t="s">
        <v>201</v>
      </c>
      <c r="W22" s="254">
        <v>9</v>
      </c>
      <c r="X22" s="255">
        <f t="shared" si="0"/>
        <v>0.28000000000000003</v>
      </c>
      <c r="Y22" s="255">
        <f t="shared" si="2"/>
        <v>0.26500000000000001</v>
      </c>
      <c r="Z22" s="255">
        <f t="shared" si="3"/>
        <v>14</v>
      </c>
      <c r="AA22" s="255">
        <f t="shared" si="3"/>
        <v>3.64</v>
      </c>
      <c r="AB22" s="255">
        <f t="shared" si="3"/>
        <v>1.4999999999999998</v>
      </c>
      <c r="AC22" s="255">
        <f t="shared" si="3"/>
        <v>789</v>
      </c>
      <c r="AD22" s="255">
        <f t="shared" si="3"/>
        <v>0.2</v>
      </c>
      <c r="AE22" s="255">
        <f t="shared" si="4"/>
        <v>9.4890510948905021E-2</v>
      </c>
      <c r="AF22" s="258">
        <f t="shared" si="5"/>
        <v>0.28000000000000003</v>
      </c>
      <c r="AG22" s="258">
        <f t="shared" si="1"/>
        <v>0.26500000000000001</v>
      </c>
      <c r="AH22" s="258">
        <f t="shared" si="1"/>
        <v>6.73064017839119</v>
      </c>
      <c r="AI22" s="258">
        <f t="shared" si="1"/>
        <v>3.8055069182452801</v>
      </c>
      <c r="AJ22" s="258">
        <f t="shared" si="1"/>
        <v>1.8804562952784059</v>
      </c>
      <c r="AK22" s="258">
        <f t="shared" si="1"/>
        <v>15.4853850160471</v>
      </c>
      <c r="AL22" s="258">
        <f t="shared" si="1"/>
        <v>0.2</v>
      </c>
      <c r="AM22" s="258">
        <f t="shared" si="1"/>
        <v>9.4890510948905021E-2</v>
      </c>
      <c r="AN22" s="273">
        <f t="shared" si="6"/>
        <v>3.5927348648638602</v>
      </c>
      <c r="AO22" s="274">
        <f t="shared" si="7"/>
        <v>15.4853850160471</v>
      </c>
      <c r="AP22" s="275">
        <f t="shared" si="8"/>
        <v>12.907743809208339</v>
      </c>
      <c r="AQ22" s="275">
        <f t="shared" si="8"/>
        <v>239.79714909521607</v>
      </c>
      <c r="AR22" s="276">
        <f t="shared" si="9"/>
        <v>11.240660409967566</v>
      </c>
      <c r="AS22" s="280" t="str">
        <f t="shared" si="10"/>
        <v>berat</v>
      </c>
      <c r="AT22" s="327"/>
      <c r="AU22" s="346"/>
      <c r="AV22" s="305">
        <v>1</v>
      </c>
      <c r="AW22" s="303"/>
      <c r="AX22" s="301"/>
      <c r="AY22" s="298"/>
    </row>
    <row r="23" spans="1:51" ht="15" x14ac:dyDescent="0.2">
      <c r="A23" s="267">
        <v>11</v>
      </c>
      <c r="B23" s="278" t="s">
        <v>34</v>
      </c>
      <c r="C23" s="268" t="s">
        <v>227</v>
      </c>
      <c r="D23" s="268" t="s">
        <v>228</v>
      </c>
      <c r="E23" s="329">
        <v>43880</v>
      </c>
      <c r="F23" s="331">
        <v>30</v>
      </c>
      <c r="G23" s="331">
        <v>1.88</v>
      </c>
      <c r="H23" s="360">
        <v>46</v>
      </c>
      <c r="I23" s="360">
        <v>78</v>
      </c>
      <c r="J23" s="360">
        <v>0.28999999999999998</v>
      </c>
      <c r="K23" s="362">
        <v>1046200</v>
      </c>
      <c r="L23" s="331">
        <v>2</v>
      </c>
      <c r="M23" s="331">
        <v>7.5</v>
      </c>
      <c r="N23" s="254">
        <v>50</v>
      </c>
      <c r="O23" s="254">
        <v>4</v>
      </c>
      <c r="P23" s="254">
        <v>3</v>
      </c>
      <c r="Q23" s="254">
        <v>25</v>
      </c>
      <c r="R23" s="254">
        <v>0.2</v>
      </c>
      <c r="S23" s="254">
        <v>1000</v>
      </c>
      <c r="T23" s="254">
        <v>10</v>
      </c>
      <c r="U23" s="254">
        <v>6</v>
      </c>
      <c r="V23" s="254" t="s">
        <v>201</v>
      </c>
      <c r="W23" s="254">
        <v>9</v>
      </c>
      <c r="X23" s="255">
        <f t="shared" si="0"/>
        <v>0.6</v>
      </c>
      <c r="Y23" s="255">
        <f t="shared" si="2"/>
        <v>0.42666666666666669</v>
      </c>
      <c r="Z23" s="255">
        <f t="shared" si="3"/>
        <v>15.333333333333334</v>
      </c>
      <c r="AA23" s="255">
        <f t="shared" si="3"/>
        <v>3.12</v>
      </c>
      <c r="AB23" s="255">
        <f t="shared" si="3"/>
        <v>1.4499999999999997</v>
      </c>
      <c r="AC23" s="255">
        <f t="shared" si="3"/>
        <v>1046.2</v>
      </c>
      <c r="AD23" s="255">
        <f t="shared" si="3"/>
        <v>0.2</v>
      </c>
      <c r="AE23" s="255">
        <f t="shared" si="4"/>
        <v>0</v>
      </c>
      <c r="AF23" s="258">
        <f t="shared" si="5"/>
        <v>0.6</v>
      </c>
      <c r="AG23" s="258">
        <f t="shared" si="1"/>
        <v>0.42666666666666669</v>
      </c>
      <c r="AH23" s="258">
        <f t="shared" si="1"/>
        <v>6.9281828848095586</v>
      </c>
      <c r="AI23" s="258">
        <f t="shared" si="1"/>
        <v>3.4707729700922139</v>
      </c>
      <c r="AJ23" s="258">
        <f t="shared" si="1"/>
        <v>1.8068400111748741</v>
      </c>
      <c r="AK23" s="258">
        <f t="shared" si="1"/>
        <v>16.098073578457086</v>
      </c>
      <c r="AL23" s="258">
        <f t="shared" si="1"/>
        <v>0.2</v>
      </c>
      <c r="AM23" s="258">
        <f t="shared" si="1"/>
        <v>0</v>
      </c>
      <c r="AN23" s="273">
        <f t="shared" si="6"/>
        <v>3.6913170139000497</v>
      </c>
      <c r="AO23" s="274">
        <f t="shared" si="7"/>
        <v>16.098073578457086</v>
      </c>
      <c r="AP23" s="275">
        <f t="shared" si="8"/>
        <v>13.625821297107979</v>
      </c>
      <c r="AQ23" s="275">
        <f t="shared" si="8"/>
        <v>259.14797293741816</v>
      </c>
      <c r="AR23" s="276">
        <f t="shared" si="9"/>
        <v>11.678480085921414</v>
      </c>
      <c r="AS23" s="280" t="str">
        <f t="shared" si="10"/>
        <v>berat</v>
      </c>
      <c r="AT23" s="327"/>
      <c r="AU23" s="346"/>
      <c r="AV23" s="305">
        <v>1</v>
      </c>
      <c r="AW23" s="303"/>
      <c r="AX23" s="301"/>
      <c r="AY23" s="298"/>
    </row>
    <row r="24" spans="1:51" ht="15" x14ac:dyDescent="0.2">
      <c r="A24" s="267">
        <v>12</v>
      </c>
      <c r="B24" s="278" t="s">
        <v>54</v>
      </c>
      <c r="C24" s="268" t="s">
        <v>229</v>
      </c>
      <c r="D24" s="268" t="s">
        <v>230</v>
      </c>
      <c r="E24" s="329">
        <v>43880</v>
      </c>
      <c r="F24" s="359">
        <v>62</v>
      </c>
      <c r="G24" s="330">
        <v>1</v>
      </c>
      <c r="H24" s="359">
        <v>54</v>
      </c>
      <c r="I24" s="359">
        <v>126</v>
      </c>
      <c r="J24" s="359">
        <v>0.6</v>
      </c>
      <c r="K24" s="361">
        <v>3873000</v>
      </c>
      <c r="L24" s="330">
        <v>2.1</v>
      </c>
      <c r="M24" s="330">
        <v>7.51</v>
      </c>
      <c r="N24" s="254">
        <v>50</v>
      </c>
      <c r="O24" s="254">
        <v>4</v>
      </c>
      <c r="P24" s="254">
        <v>3</v>
      </c>
      <c r="Q24" s="254">
        <v>25</v>
      </c>
      <c r="R24" s="254">
        <v>0.2</v>
      </c>
      <c r="S24" s="254">
        <v>1000</v>
      </c>
      <c r="T24" s="254">
        <v>10</v>
      </c>
      <c r="U24" s="254">
        <v>6</v>
      </c>
      <c r="V24" s="254" t="s">
        <v>201</v>
      </c>
      <c r="W24" s="254">
        <v>9</v>
      </c>
      <c r="X24" s="255">
        <f t="shared" si="0"/>
        <v>1.24</v>
      </c>
      <c r="Y24" s="255">
        <f t="shared" si="2"/>
        <v>0.5</v>
      </c>
      <c r="Z24" s="255">
        <f t="shared" si="3"/>
        <v>18</v>
      </c>
      <c r="AA24" s="255">
        <f t="shared" si="3"/>
        <v>5.04</v>
      </c>
      <c r="AB24" s="255">
        <f t="shared" si="3"/>
        <v>2.9999999999999996</v>
      </c>
      <c r="AC24" s="255">
        <f t="shared" si="3"/>
        <v>3873</v>
      </c>
      <c r="AD24" s="255">
        <f t="shared" si="3"/>
        <v>0.21000000000000002</v>
      </c>
      <c r="AE24" s="255">
        <f t="shared" si="4"/>
        <v>6.7114093959730102E-3</v>
      </c>
      <c r="AF24" s="258">
        <f t="shared" si="5"/>
        <v>1.4671084258111753</v>
      </c>
      <c r="AG24" s="258">
        <f t="shared" si="1"/>
        <v>0.5</v>
      </c>
      <c r="AH24" s="258">
        <f t="shared" si="1"/>
        <v>7.2763625255165305</v>
      </c>
      <c r="AI24" s="258">
        <f t="shared" si="1"/>
        <v>4.5121526822276268</v>
      </c>
      <c r="AJ24" s="258">
        <f t="shared" si="1"/>
        <v>3.3856062735983121</v>
      </c>
      <c r="AK24" s="258">
        <f t="shared" si="1"/>
        <v>18.940237484930414</v>
      </c>
      <c r="AL24" s="258">
        <f t="shared" si="1"/>
        <v>0.21000000000000002</v>
      </c>
      <c r="AM24" s="258">
        <f t="shared" si="1"/>
        <v>6.7114093959730102E-3</v>
      </c>
      <c r="AN24" s="273">
        <f t="shared" si="6"/>
        <v>4.5372723501850043</v>
      </c>
      <c r="AO24" s="274">
        <f t="shared" si="7"/>
        <v>18.940237484930414</v>
      </c>
      <c r="AP24" s="275">
        <f t="shared" si="8"/>
        <v>20.586840379753351</v>
      </c>
      <c r="AQ24" s="275">
        <f t="shared" si="8"/>
        <v>358.73259598556319</v>
      </c>
      <c r="AR24" s="276">
        <f t="shared" si="9"/>
        <v>13.771699901706334</v>
      </c>
      <c r="AS24" s="280" t="str">
        <f t="shared" si="10"/>
        <v>berat</v>
      </c>
      <c r="AT24" s="327"/>
      <c r="AU24" s="346"/>
      <c r="AV24" s="305">
        <v>1</v>
      </c>
      <c r="AW24" s="303"/>
      <c r="AX24" s="301"/>
      <c r="AY24" s="298"/>
    </row>
    <row r="25" spans="1:51" ht="15" x14ac:dyDescent="0.2">
      <c r="A25" s="267">
        <v>13</v>
      </c>
      <c r="B25" s="278" t="s">
        <v>27</v>
      </c>
      <c r="C25" s="268" t="s">
        <v>231</v>
      </c>
      <c r="D25" s="268" t="s">
        <v>232</v>
      </c>
      <c r="E25" s="329">
        <v>43878</v>
      </c>
      <c r="F25" s="360">
        <v>53</v>
      </c>
      <c r="G25" s="360">
        <v>6.7</v>
      </c>
      <c r="H25" s="360">
        <v>7</v>
      </c>
      <c r="I25" s="360">
        <v>28</v>
      </c>
      <c r="J25" s="360">
        <v>0.28999999999999998</v>
      </c>
      <c r="K25" s="362">
        <v>633000</v>
      </c>
      <c r="L25" s="331">
        <v>5.7</v>
      </c>
      <c r="M25" s="331">
        <v>7.35</v>
      </c>
      <c r="N25" s="254">
        <v>50</v>
      </c>
      <c r="O25" s="254">
        <v>4</v>
      </c>
      <c r="P25" s="254">
        <v>3</v>
      </c>
      <c r="Q25" s="254">
        <v>25</v>
      </c>
      <c r="R25" s="254">
        <v>0.2</v>
      </c>
      <c r="S25" s="254">
        <v>1000</v>
      </c>
      <c r="T25" s="254">
        <v>10</v>
      </c>
      <c r="U25" s="254">
        <v>6</v>
      </c>
      <c r="V25" s="254" t="s">
        <v>201</v>
      </c>
      <c r="W25" s="254">
        <v>9</v>
      </c>
      <c r="X25" s="255">
        <f t="shared" si="0"/>
        <v>1.06</v>
      </c>
      <c r="Y25" s="255">
        <f t="shared" si="2"/>
        <v>2.4999999999999984E-2</v>
      </c>
      <c r="Z25" s="255">
        <f t="shared" si="3"/>
        <v>2.3333333333333335</v>
      </c>
      <c r="AA25" s="255">
        <f t="shared" si="3"/>
        <v>1.1200000000000001</v>
      </c>
      <c r="AB25" s="255">
        <f t="shared" si="3"/>
        <v>1.4499999999999997</v>
      </c>
      <c r="AC25" s="255">
        <f t="shared" si="3"/>
        <v>633</v>
      </c>
      <c r="AD25" s="255">
        <f t="shared" si="3"/>
        <v>0.57000000000000006</v>
      </c>
      <c r="AE25" s="255">
        <f t="shared" si="4"/>
        <v>0.11111111111111141</v>
      </c>
      <c r="AF25" s="258">
        <f t="shared" si="5"/>
        <v>1.1265293263238514</v>
      </c>
      <c r="AG25" s="258">
        <f t="shared" si="1"/>
        <v>2.4999999999999984E-2</v>
      </c>
      <c r="AH25" s="258">
        <f t="shared" si="1"/>
        <v>2.8398839264729721</v>
      </c>
      <c r="AI25" s="258">
        <f t="shared" si="1"/>
        <v>1.2460901133509084</v>
      </c>
      <c r="AJ25" s="258">
        <f t="shared" si="1"/>
        <v>1.8068400111748741</v>
      </c>
      <c r="AK25" s="258">
        <f t="shared" si="1"/>
        <v>15.007018550086777</v>
      </c>
      <c r="AL25" s="258">
        <f t="shared" si="1"/>
        <v>0.57000000000000006</v>
      </c>
      <c r="AM25" s="258">
        <f t="shared" si="1"/>
        <v>0.11111111111111141</v>
      </c>
      <c r="AN25" s="273">
        <f t="shared" si="6"/>
        <v>2.8415591298150615</v>
      </c>
      <c r="AO25" s="274">
        <f t="shared" si="7"/>
        <v>15.007018550086777</v>
      </c>
      <c r="AP25" s="275">
        <f t="shared" si="8"/>
        <v>8.0744582882353289</v>
      </c>
      <c r="AQ25" s="275">
        <f t="shared" si="8"/>
        <v>225.21060576264861</v>
      </c>
      <c r="AR25" s="276">
        <f t="shared" si="9"/>
        <v>10.800117222763925</v>
      </c>
      <c r="AS25" s="280" t="str">
        <f t="shared" si="10"/>
        <v>berat</v>
      </c>
      <c r="AT25" s="327"/>
      <c r="AU25" s="346"/>
      <c r="AV25" s="305">
        <v>1</v>
      </c>
      <c r="AW25" s="303"/>
      <c r="AX25" s="301"/>
      <c r="AY25" s="298"/>
    </row>
    <row r="26" spans="1:51" ht="15" x14ac:dyDescent="0.2">
      <c r="A26" s="267">
        <v>14</v>
      </c>
      <c r="B26" s="278" t="s">
        <v>28</v>
      </c>
      <c r="C26" s="268" t="s">
        <v>233</v>
      </c>
      <c r="D26" s="268" t="s">
        <v>234</v>
      </c>
      <c r="E26" s="329">
        <v>43878</v>
      </c>
      <c r="F26" s="360">
        <v>67</v>
      </c>
      <c r="G26" s="331">
        <v>3.43</v>
      </c>
      <c r="H26" s="360">
        <v>8</v>
      </c>
      <c r="I26" s="360">
        <v>40</v>
      </c>
      <c r="J26" s="360">
        <v>0.28999999999999998</v>
      </c>
      <c r="K26" s="362">
        <v>645000</v>
      </c>
      <c r="L26" s="331">
        <v>4.8</v>
      </c>
      <c r="M26" s="331">
        <v>7.27</v>
      </c>
      <c r="N26" s="254">
        <v>50</v>
      </c>
      <c r="O26" s="254">
        <v>4</v>
      </c>
      <c r="P26" s="254">
        <v>3</v>
      </c>
      <c r="Q26" s="254">
        <v>25</v>
      </c>
      <c r="R26" s="254">
        <v>0.2</v>
      </c>
      <c r="S26" s="254">
        <v>1000</v>
      </c>
      <c r="T26" s="254">
        <v>10</v>
      </c>
      <c r="U26" s="254">
        <v>6</v>
      </c>
      <c r="V26" s="254" t="s">
        <v>201</v>
      </c>
      <c r="W26" s="254">
        <v>9</v>
      </c>
      <c r="X26" s="255">
        <f t="shared" si="0"/>
        <v>1.34</v>
      </c>
      <c r="Y26" s="255">
        <f t="shared" si="2"/>
        <v>0.29749999999999999</v>
      </c>
      <c r="Z26" s="255">
        <f t="shared" si="3"/>
        <v>2.6666666666666665</v>
      </c>
      <c r="AA26" s="255">
        <f t="shared" si="3"/>
        <v>1.6</v>
      </c>
      <c r="AB26" s="255">
        <f t="shared" si="3"/>
        <v>1.4499999999999997</v>
      </c>
      <c r="AC26" s="255">
        <f t="shared" si="3"/>
        <v>645</v>
      </c>
      <c r="AD26" s="255">
        <f t="shared" si="3"/>
        <v>0.48</v>
      </c>
      <c r="AE26" s="255">
        <f t="shared" si="4"/>
        <v>0.18110236220472481</v>
      </c>
      <c r="AF26" s="258">
        <f t="shared" si="5"/>
        <v>1.6355239918240383</v>
      </c>
      <c r="AG26" s="258">
        <f t="shared" si="1"/>
        <v>0.29749999999999999</v>
      </c>
      <c r="AH26" s="258">
        <f t="shared" si="1"/>
        <v>3.1298436613614053</v>
      </c>
      <c r="AI26" s="258">
        <f t="shared" si="1"/>
        <v>2.0205999132796242</v>
      </c>
      <c r="AJ26" s="258">
        <f t="shared" si="1"/>
        <v>1.8068400111748741</v>
      </c>
      <c r="AK26" s="258">
        <f t="shared" si="1"/>
        <v>15.047798573176337</v>
      </c>
      <c r="AL26" s="258">
        <f t="shared" si="1"/>
        <v>0.48</v>
      </c>
      <c r="AM26" s="258">
        <f t="shared" si="1"/>
        <v>0.18110236220472481</v>
      </c>
      <c r="AN26" s="273">
        <f t="shared" si="6"/>
        <v>3.074901064127626</v>
      </c>
      <c r="AO26" s="274">
        <f t="shared" si="7"/>
        <v>15.047798573176337</v>
      </c>
      <c r="AP26" s="275">
        <f t="shared" si="8"/>
        <v>9.4550165541732074</v>
      </c>
      <c r="AQ26" s="275">
        <f t="shared" si="8"/>
        <v>226.4362418988878</v>
      </c>
      <c r="AR26" s="276">
        <f t="shared" si="9"/>
        <v>10.860277585150873</v>
      </c>
      <c r="AS26" s="280" t="str">
        <f t="shared" si="10"/>
        <v>berat</v>
      </c>
      <c r="AT26" s="327"/>
      <c r="AU26" s="346"/>
      <c r="AV26" s="305">
        <v>1</v>
      </c>
      <c r="AW26" s="303"/>
      <c r="AX26" s="301"/>
      <c r="AY26" s="298"/>
    </row>
    <row r="27" spans="1:51" ht="15" x14ac:dyDescent="0.2">
      <c r="A27" s="267">
        <v>15</v>
      </c>
      <c r="B27" s="278" t="s">
        <v>29</v>
      </c>
      <c r="C27" s="268" t="s">
        <v>235</v>
      </c>
      <c r="D27" s="268" t="s">
        <v>236</v>
      </c>
      <c r="E27" s="329">
        <v>43878</v>
      </c>
      <c r="F27" s="360">
        <v>60</v>
      </c>
      <c r="G27" s="331">
        <v>3.88</v>
      </c>
      <c r="H27" s="360">
        <v>10</v>
      </c>
      <c r="I27" s="360">
        <v>37</v>
      </c>
      <c r="J27" s="360">
        <v>0.28999999999999998</v>
      </c>
      <c r="K27" s="362">
        <v>196000</v>
      </c>
      <c r="L27" s="331">
        <v>6</v>
      </c>
      <c r="M27" s="331">
        <v>7.45</v>
      </c>
      <c r="N27" s="254">
        <v>50</v>
      </c>
      <c r="O27" s="254">
        <v>4</v>
      </c>
      <c r="P27" s="254">
        <v>3</v>
      </c>
      <c r="Q27" s="254">
        <v>25</v>
      </c>
      <c r="R27" s="254">
        <v>0.2</v>
      </c>
      <c r="S27" s="254">
        <v>1000</v>
      </c>
      <c r="T27" s="254">
        <v>10</v>
      </c>
      <c r="U27" s="254">
        <v>6</v>
      </c>
      <c r="V27" s="254" t="s">
        <v>201</v>
      </c>
      <c r="W27" s="254">
        <v>9</v>
      </c>
      <c r="X27" s="255">
        <f t="shared" si="0"/>
        <v>1.2</v>
      </c>
      <c r="Y27" s="255">
        <f t="shared" si="2"/>
        <v>0.26</v>
      </c>
      <c r="Z27" s="255">
        <f t="shared" si="3"/>
        <v>3.3333333333333335</v>
      </c>
      <c r="AA27" s="255">
        <f t="shared" si="3"/>
        <v>1.48</v>
      </c>
      <c r="AB27" s="255">
        <f t="shared" si="3"/>
        <v>1.4499999999999997</v>
      </c>
      <c r="AC27" s="255">
        <f t="shared" si="3"/>
        <v>196</v>
      </c>
      <c r="AD27" s="255">
        <f t="shared" si="3"/>
        <v>0.6</v>
      </c>
      <c r="AE27" s="255">
        <f t="shared" si="4"/>
        <v>3.448275862068953E-2</v>
      </c>
      <c r="AF27" s="258">
        <f t="shared" si="5"/>
        <v>1.3959062302381242</v>
      </c>
      <c r="AG27" s="258">
        <f t="shared" si="1"/>
        <v>0.26</v>
      </c>
      <c r="AH27" s="258">
        <f t="shared" si="1"/>
        <v>3.6143937264016879</v>
      </c>
      <c r="AI27" s="258">
        <f t="shared" si="1"/>
        <v>1.851308576974787</v>
      </c>
      <c r="AJ27" s="258">
        <f t="shared" si="1"/>
        <v>1.8068400111748741</v>
      </c>
      <c r="AK27" s="258">
        <f t="shared" si="1"/>
        <v>12.46128035678238</v>
      </c>
      <c r="AL27" s="258">
        <f t="shared" si="1"/>
        <v>0.6</v>
      </c>
      <c r="AM27" s="258">
        <f t="shared" si="1"/>
        <v>3.448275862068953E-2</v>
      </c>
      <c r="AN27" s="273">
        <f t="shared" si="6"/>
        <v>2.7530264575240682</v>
      </c>
      <c r="AO27" s="274">
        <f t="shared" si="7"/>
        <v>12.46128035678238</v>
      </c>
      <c r="AP27" s="275">
        <f t="shared" si="8"/>
        <v>7.5791546758275201</v>
      </c>
      <c r="AQ27" s="275">
        <f t="shared" si="8"/>
        <v>155.2835081303304</v>
      </c>
      <c r="AR27" s="276">
        <f t="shared" si="9"/>
        <v>9.023931039357457</v>
      </c>
      <c r="AS27" s="282" t="str">
        <f t="shared" si="10"/>
        <v>sedang</v>
      </c>
      <c r="AU27" s="281"/>
      <c r="AV27" s="305"/>
      <c r="AW27" s="303">
        <v>1</v>
      </c>
      <c r="AX27" s="301"/>
      <c r="AY27" s="298"/>
    </row>
    <row r="28" spans="1:51" x14ac:dyDescent="0.2">
      <c r="A28" s="311" t="s">
        <v>184</v>
      </c>
      <c r="B28" s="278"/>
      <c r="C28" s="278"/>
      <c r="D28" s="279"/>
      <c r="E28" s="270"/>
      <c r="F28" s="271"/>
      <c r="G28" s="271"/>
      <c r="H28" s="271"/>
      <c r="I28" s="271"/>
      <c r="J28" s="271"/>
      <c r="K28" s="356"/>
      <c r="L28" s="272"/>
      <c r="M28" s="272"/>
      <c r="N28" s="254"/>
      <c r="O28" s="254"/>
      <c r="P28" s="254"/>
      <c r="Q28" s="254"/>
      <c r="R28" s="254"/>
      <c r="S28" s="254"/>
      <c r="T28" s="254"/>
      <c r="U28" s="254"/>
      <c r="V28" s="254"/>
      <c r="W28" s="254"/>
      <c r="X28" s="255"/>
      <c r="Y28" s="255"/>
      <c r="Z28" s="255"/>
      <c r="AA28" s="255"/>
      <c r="AB28" s="255"/>
      <c r="AC28" s="255"/>
      <c r="AD28" s="255"/>
      <c r="AE28" s="255"/>
      <c r="AF28" s="258"/>
      <c r="AG28" s="258"/>
      <c r="AH28" s="258"/>
      <c r="AI28" s="258"/>
      <c r="AJ28" s="258"/>
      <c r="AK28" s="258"/>
      <c r="AL28" s="258"/>
      <c r="AM28" s="258"/>
      <c r="AN28" s="273"/>
      <c r="AO28" s="274"/>
      <c r="AP28" s="275"/>
      <c r="AQ28" s="275"/>
      <c r="AR28" s="276"/>
      <c r="AS28" s="333"/>
      <c r="AV28" s="334"/>
      <c r="AW28" s="334"/>
      <c r="AX28" s="334"/>
      <c r="AY28" s="334"/>
    </row>
    <row r="29" spans="1:51" ht="15" x14ac:dyDescent="0.2">
      <c r="A29" s="267">
        <v>16</v>
      </c>
      <c r="B29" s="278" t="s">
        <v>21</v>
      </c>
      <c r="C29" s="348" t="s">
        <v>264</v>
      </c>
      <c r="D29" s="348" t="s">
        <v>265</v>
      </c>
      <c r="E29" s="329">
        <v>44027</v>
      </c>
      <c r="F29" s="271">
        <v>31</v>
      </c>
      <c r="G29" s="347">
        <v>8.0399999999999991</v>
      </c>
      <c r="H29" s="347">
        <v>16.399999999999999</v>
      </c>
      <c r="I29" s="347">
        <v>47.2</v>
      </c>
      <c r="J29" s="347">
        <v>0.53</v>
      </c>
      <c r="K29" s="357">
        <v>12000000</v>
      </c>
      <c r="L29" s="272">
        <v>3.6</v>
      </c>
      <c r="M29" s="272">
        <v>8.6999999999999993</v>
      </c>
      <c r="N29" s="254">
        <v>50</v>
      </c>
      <c r="O29" s="254">
        <v>4</v>
      </c>
      <c r="P29" s="254">
        <v>3</v>
      </c>
      <c r="Q29" s="254">
        <v>25</v>
      </c>
      <c r="R29" s="254">
        <v>0.2</v>
      </c>
      <c r="S29" s="254">
        <v>1000</v>
      </c>
      <c r="T29" s="254">
        <v>10</v>
      </c>
      <c r="U29" s="254">
        <v>6</v>
      </c>
      <c r="V29" s="254" t="s">
        <v>201</v>
      </c>
      <c r="W29" s="254">
        <v>9</v>
      </c>
      <c r="X29" s="255">
        <f t="shared" ref="X29:X43" si="11">F29/N29</f>
        <v>0.62</v>
      </c>
      <c r="Y29" s="255">
        <f>((7-G29)/(7-O29))/O29</f>
        <v>-8.66666666666666E-2</v>
      </c>
      <c r="Z29" s="255">
        <f t="shared" ref="Z29:AD43" si="12">H29/P29</f>
        <v>5.4666666666666659</v>
      </c>
      <c r="AA29" s="255">
        <f t="shared" si="12"/>
        <v>1.8880000000000001</v>
      </c>
      <c r="AB29" s="255">
        <f t="shared" si="12"/>
        <v>2.65</v>
      </c>
      <c r="AC29" s="255">
        <f t="shared" si="12"/>
        <v>12000</v>
      </c>
      <c r="AD29" s="255">
        <f t="shared" si="3"/>
        <v>0.36</v>
      </c>
      <c r="AE29" s="255">
        <f t="shared" ref="AE29:AE59" si="13">(M29-(AVERAGE(U29,W29)))/((IF(M29&lt;7.5,U29,W29)-M29))</f>
        <v>3.999999999999988</v>
      </c>
      <c r="AF29" s="258">
        <f t="shared" ref="AF29:AM59" si="14">IF(X29&lt;1,X29,(1+(5*(LOG10(X29)))))</f>
        <v>0.62</v>
      </c>
      <c r="AG29" s="258">
        <f t="shared" si="14"/>
        <v>-8.66666666666666E-2</v>
      </c>
      <c r="AH29" s="258">
        <f t="shared" si="14"/>
        <v>4.6886129666401768</v>
      </c>
      <c r="AI29" s="258">
        <f t="shared" si="14"/>
        <v>2.3800099498102512</v>
      </c>
      <c r="AJ29" s="258">
        <f t="shared" si="14"/>
        <v>3.1162293696840391</v>
      </c>
      <c r="AK29" s="258">
        <f t="shared" si="14"/>
        <v>21.395906230238126</v>
      </c>
      <c r="AL29" s="258">
        <f t="shared" si="14"/>
        <v>0.36</v>
      </c>
      <c r="AM29" s="258">
        <f t="shared" si="14"/>
        <v>4.0102999566398054</v>
      </c>
      <c r="AN29" s="273">
        <f t="shared" si="6"/>
        <v>4.5605489757932167</v>
      </c>
      <c r="AO29" s="274">
        <f t="shared" si="7"/>
        <v>21.395906230238126</v>
      </c>
      <c r="AP29" s="275">
        <f t="shared" si="8"/>
        <v>20.798606960608559</v>
      </c>
      <c r="AQ29" s="275">
        <f t="shared" si="8"/>
        <v>457.78480341314264</v>
      </c>
      <c r="AR29" s="276">
        <f t="shared" si="9"/>
        <v>15.469056376743721</v>
      </c>
      <c r="AS29" s="280" t="str">
        <f t="shared" si="10"/>
        <v>berat</v>
      </c>
      <c r="AV29" s="305">
        <v>1</v>
      </c>
      <c r="AW29" s="303"/>
      <c r="AX29" s="301"/>
      <c r="AY29" s="298"/>
    </row>
    <row r="30" spans="1:51" ht="15" x14ac:dyDescent="0.2">
      <c r="A30" s="267">
        <v>17</v>
      </c>
      <c r="B30" s="278" t="s">
        <v>61</v>
      </c>
      <c r="C30" s="348" t="s">
        <v>266</v>
      </c>
      <c r="D30" s="348" t="s">
        <v>267</v>
      </c>
      <c r="E30" s="329">
        <v>44028</v>
      </c>
      <c r="F30" s="347">
        <v>77.5</v>
      </c>
      <c r="G30" s="347">
        <v>7.05</v>
      </c>
      <c r="H30" s="347">
        <v>18.5</v>
      </c>
      <c r="I30" s="347">
        <v>41.5</v>
      </c>
      <c r="J30" s="347">
        <v>0.66400000000000003</v>
      </c>
      <c r="K30" s="357">
        <v>820000</v>
      </c>
      <c r="L30" s="272">
        <v>3.1</v>
      </c>
      <c r="M30" s="272">
        <v>8.09</v>
      </c>
      <c r="N30" s="254">
        <v>50</v>
      </c>
      <c r="O30" s="254">
        <v>4</v>
      </c>
      <c r="P30" s="254">
        <v>3</v>
      </c>
      <c r="Q30" s="254">
        <v>25</v>
      </c>
      <c r="R30" s="254">
        <v>0.2</v>
      </c>
      <c r="S30" s="254">
        <v>1000</v>
      </c>
      <c r="T30" s="254">
        <v>10</v>
      </c>
      <c r="U30" s="254">
        <v>6</v>
      </c>
      <c r="V30" s="254" t="s">
        <v>201</v>
      </c>
      <c r="W30" s="254">
        <v>9</v>
      </c>
      <c r="X30" s="255">
        <f t="shared" si="11"/>
        <v>1.55</v>
      </c>
      <c r="Y30" s="255">
        <f t="shared" ref="Y30:Y43" si="15">((7-G30)/(7-O30))/O30</f>
        <v>-4.1666666666666519E-3</v>
      </c>
      <c r="Z30" s="255">
        <f t="shared" si="12"/>
        <v>6.166666666666667</v>
      </c>
      <c r="AA30" s="255">
        <f t="shared" si="12"/>
        <v>1.66</v>
      </c>
      <c r="AB30" s="255">
        <f t="shared" si="12"/>
        <v>3.32</v>
      </c>
      <c r="AC30" s="255">
        <f t="shared" si="12"/>
        <v>820</v>
      </c>
      <c r="AD30" s="255">
        <f t="shared" si="12"/>
        <v>0.31</v>
      </c>
      <c r="AE30" s="255">
        <f t="shared" si="13"/>
        <v>0.64835164835164805</v>
      </c>
      <c r="AF30" s="258">
        <f t="shared" si="14"/>
        <v>1.9516584908514574</v>
      </c>
      <c r="AG30" s="258">
        <f t="shared" si="14"/>
        <v>-4.1666666666666519E-3</v>
      </c>
      <c r="AH30" s="258">
        <f t="shared" si="14"/>
        <v>4.9502523684167565</v>
      </c>
      <c r="AI30" s="258">
        <f t="shared" si="14"/>
        <v>2.1005404402002754</v>
      </c>
      <c r="AJ30" s="258">
        <f t="shared" si="14"/>
        <v>3.6056904185201812</v>
      </c>
      <c r="AK30" s="258">
        <f t="shared" si="14"/>
        <v>15.569069261918584</v>
      </c>
      <c r="AL30" s="258">
        <f t="shared" si="14"/>
        <v>0.31</v>
      </c>
      <c r="AM30" s="258">
        <f t="shared" si="14"/>
        <v>0.64835164835164805</v>
      </c>
      <c r="AN30" s="273">
        <f t="shared" si="6"/>
        <v>3.6414244951990296</v>
      </c>
      <c r="AO30" s="274">
        <f t="shared" si="7"/>
        <v>15.569069261918584</v>
      </c>
      <c r="AP30" s="275">
        <f t="shared" si="8"/>
        <v>13.259972354235508</v>
      </c>
      <c r="AQ30" s="275">
        <f t="shared" si="8"/>
        <v>242.39591768241806</v>
      </c>
      <c r="AR30" s="276">
        <f t="shared" si="9"/>
        <v>11.306102114271159</v>
      </c>
      <c r="AS30" s="280" t="str">
        <f t="shared" si="10"/>
        <v>berat</v>
      </c>
      <c r="AV30" s="305">
        <v>1</v>
      </c>
      <c r="AW30" s="303"/>
      <c r="AX30" s="301"/>
      <c r="AY30" s="298"/>
    </row>
    <row r="31" spans="1:51" ht="15" x14ac:dyDescent="0.2">
      <c r="A31" s="267">
        <v>18</v>
      </c>
      <c r="B31" s="278" t="s">
        <v>60</v>
      </c>
      <c r="C31" s="348" t="s">
        <v>287</v>
      </c>
      <c r="D31" s="348" t="s">
        <v>288</v>
      </c>
      <c r="E31" s="329">
        <v>44028</v>
      </c>
      <c r="F31" s="271">
        <v>34.5</v>
      </c>
      <c r="G31" s="271">
        <v>2.16</v>
      </c>
      <c r="H31" s="347">
        <v>36.799999999999997</v>
      </c>
      <c r="I31" s="347">
        <v>75.5</v>
      </c>
      <c r="J31" s="347">
        <v>0.9</v>
      </c>
      <c r="K31" s="357">
        <v>1360000</v>
      </c>
      <c r="L31" s="272">
        <v>2.2000000000000002</v>
      </c>
      <c r="M31" s="272">
        <v>7.55</v>
      </c>
      <c r="N31" s="254">
        <v>50</v>
      </c>
      <c r="O31" s="254">
        <v>4</v>
      </c>
      <c r="P31" s="254">
        <v>3</v>
      </c>
      <c r="Q31" s="254">
        <v>25</v>
      </c>
      <c r="R31" s="254">
        <v>0.2</v>
      </c>
      <c r="S31" s="254">
        <v>1000</v>
      </c>
      <c r="T31" s="254">
        <v>10</v>
      </c>
      <c r="U31" s="254">
        <v>6</v>
      </c>
      <c r="V31" s="254" t="s">
        <v>201</v>
      </c>
      <c r="W31" s="254">
        <v>9</v>
      </c>
      <c r="X31" s="255">
        <f t="shared" si="11"/>
        <v>0.69</v>
      </c>
      <c r="Y31" s="255">
        <f t="shared" si="15"/>
        <v>0.40333333333333332</v>
      </c>
      <c r="Z31" s="255">
        <f t="shared" si="12"/>
        <v>12.266666666666666</v>
      </c>
      <c r="AA31" s="255">
        <f t="shared" si="12"/>
        <v>3.02</v>
      </c>
      <c r="AB31" s="255">
        <f t="shared" si="12"/>
        <v>4.5</v>
      </c>
      <c r="AC31" s="255">
        <f t="shared" si="12"/>
        <v>1360</v>
      </c>
      <c r="AD31" s="255">
        <f t="shared" si="12"/>
        <v>0.22000000000000003</v>
      </c>
      <c r="AE31" s="255">
        <f t="shared" si="13"/>
        <v>3.448275862068953E-2</v>
      </c>
      <c r="AF31" s="258">
        <f t="shared" si="14"/>
        <v>0.69</v>
      </c>
      <c r="AG31" s="258">
        <f t="shared" si="14"/>
        <v>0.40333333333333332</v>
      </c>
      <c r="AH31" s="258">
        <f t="shared" si="14"/>
        <v>6.4436328197692765</v>
      </c>
      <c r="AI31" s="258">
        <f t="shared" si="14"/>
        <v>3.400034714785753</v>
      </c>
      <c r="AJ31" s="258">
        <f t="shared" si="14"/>
        <v>4.2660625688767189</v>
      </c>
      <c r="AK31" s="258">
        <f t="shared" si="14"/>
        <v>16.667694541851088</v>
      </c>
      <c r="AL31" s="258">
        <f t="shared" si="14"/>
        <v>0.22000000000000003</v>
      </c>
      <c r="AM31" s="258">
        <f t="shared" si="14"/>
        <v>3.448275862068953E-2</v>
      </c>
      <c r="AN31" s="273">
        <f t="shared" si="6"/>
        <v>4.0156550921546073</v>
      </c>
      <c r="AO31" s="274">
        <f t="shared" si="7"/>
        <v>16.667694541851088</v>
      </c>
      <c r="AP31" s="275">
        <f t="shared" si="8"/>
        <v>16.125485819147226</v>
      </c>
      <c r="AQ31" s="275">
        <f t="shared" si="8"/>
        <v>277.81204134045254</v>
      </c>
      <c r="AR31" s="276">
        <f t="shared" si="9"/>
        <v>12.123067416285364</v>
      </c>
      <c r="AS31" s="280" t="str">
        <f t="shared" si="10"/>
        <v>berat</v>
      </c>
      <c r="AV31" s="305">
        <v>1</v>
      </c>
      <c r="AW31" s="303"/>
      <c r="AX31" s="301"/>
      <c r="AY31" s="298"/>
    </row>
    <row r="32" spans="1:51" ht="15" x14ac:dyDescent="0.2">
      <c r="A32" s="267">
        <v>19</v>
      </c>
      <c r="B32" s="278" t="s">
        <v>30</v>
      </c>
      <c r="C32" s="348" t="s">
        <v>276</v>
      </c>
      <c r="D32" s="348" t="s">
        <v>277</v>
      </c>
      <c r="E32" s="329">
        <v>44028</v>
      </c>
      <c r="F32" s="271">
        <v>27.2</v>
      </c>
      <c r="G32" s="271">
        <v>3.11</v>
      </c>
      <c r="H32" s="347">
        <v>115</v>
      </c>
      <c r="I32" s="347">
        <v>330</v>
      </c>
      <c r="J32" s="347">
        <v>0.85</v>
      </c>
      <c r="K32" s="357">
        <v>10700000</v>
      </c>
      <c r="L32" s="272">
        <v>1.7</v>
      </c>
      <c r="M32" s="272">
        <v>8.1</v>
      </c>
      <c r="N32" s="254">
        <v>50</v>
      </c>
      <c r="O32" s="254">
        <v>4</v>
      </c>
      <c r="P32" s="254">
        <v>3</v>
      </c>
      <c r="Q32" s="254">
        <v>25</v>
      </c>
      <c r="R32" s="254">
        <v>0.2</v>
      </c>
      <c r="S32" s="254">
        <v>1000</v>
      </c>
      <c r="T32" s="254">
        <v>10</v>
      </c>
      <c r="U32" s="254">
        <v>6</v>
      </c>
      <c r="V32" s="254" t="s">
        <v>201</v>
      </c>
      <c r="W32" s="254">
        <v>9</v>
      </c>
      <c r="X32" s="255">
        <f t="shared" si="11"/>
        <v>0.54400000000000004</v>
      </c>
      <c r="Y32" s="255">
        <f t="shared" si="15"/>
        <v>0.32416666666666666</v>
      </c>
      <c r="Z32" s="255">
        <f>H32/P32</f>
        <v>38.333333333333336</v>
      </c>
      <c r="AA32" s="255">
        <f>I32/Q32</f>
        <v>13.2</v>
      </c>
      <c r="AB32" s="255">
        <f>J32/R32</f>
        <v>4.25</v>
      </c>
      <c r="AC32" s="255">
        <f>K32/S32</f>
        <v>10700</v>
      </c>
      <c r="AD32" s="255">
        <f t="shared" si="12"/>
        <v>0.16999999999999998</v>
      </c>
      <c r="AE32" s="255">
        <f t="shared" si="13"/>
        <v>0.66666666666666596</v>
      </c>
      <c r="AF32" s="258">
        <f t="shared" si="14"/>
        <v>0.54400000000000004</v>
      </c>
      <c r="AG32" s="258">
        <f t="shared" si="14"/>
        <v>0.32416666666666666</v>
      </c>
      <c r="AH32" s="258">
        <f t="shared" si="14"/>
        <v>8.917882928169746</v>
      </c>
      <c r="AI32" s="258">
        <f t="shared" si="14"/>
        <v>6.6028696560292488</v>
      </c>
      <c r="AJ32" s="258">
        <f t="shared" si="14"/>
        <v>4.141944650251558</v>
      </c>
      <c r="AK32" s="258">
        <f t="shared" si="14"/>
        <v>21.14691888842605</v>
      </c>
      <c r="AL32" s="258">
        <f t="shared" si="14"/>
        <v>0.16999999999999998</v>
      </c>
      <c r="AM32" s="258">
        <f t="shared" si="14"/>
        <v>0.66666666666666596</v>
      </c>
      <c r="AN32" s="273">
        <f t="shared" si="6"/>
        <v>5.3143061820262423</v>
      </c>
      <c r="AO32" s="274">
        <f t="shared" si="7"/>
        <v>21.14691888842605</v>
      </c>
      <c r="AP32" s="275">
        <f t="shared" si="8"/>
        <v>28.241850196322336</v>
      </c>
      <c r="AQ32" s="275">
        <f t="shared" si="8"/>
        <v>447.19217847367048</v>
      </c>
      <c r="AR32" s="276">
        <f t="shared" si="9"/>
        <v>15.418074274532355</v>
      </c>
      <c r="AS32" s="280" t="str">
        <f t="shared" si="10"/>
        <v>berat</v>
      </c>
      <c r="AV32" s="305">
        <v>1</v>
      </c>
      <c r="AW32" s="303"/>
      <c r="AX32" s="301"/>
      <c r="AY32" s="298"/>
    </row>
    <row r="33" spans="1:51" ht="15" x14ac:dyDescent="0.2">
      <c r="A33" s="267">
        <v>20</v>
      </c>
      <c r="B33" s="278" t="s">
        <v>31</v>
      </c>
      <c r="C33" s="348" t="s">
        <v>278</v>
      </c>
      <c r="D33" s="348" t="s">
        <v>279</v>
      </c>
      <c r="E33" s="329">
        <v>44028</v>
      </c>
      <c r="F33" s="271">
        <v>33.5</v>
      </c>
      <c r="G33" s="271">
        <v>1.8</v>
      </c>
      <c r="H33" s="347">
        <v>24.6</v>
      </c>
      <c r="I33" s="347">
        <v>54.8</v>
      </c>
      <c r="J33" s="347">
        <v>0.82699999999999996</v>
      </c>
      <c r="K33" s="357">
        <v>10000</v>
      </c>
      <c r="L33" s="272">
        <v>2.2000000000000002</v>
      </c>
      <c r="M33" s="272">
        <v>7.75</v>
      </c>
      <c r="N33" s="254">
        <v>50</v>
      </c>
      <c r="O33" s="254">
        <v>4</v>
      </c>
      <c r="P33" s="254">
        <v>3</v>
      </c>
      <c r="Q33" s="254">
        <v>25</v>
      </c>
      <c r="R33" s="254">
        <v>0.2</v>
      </c>
      <c r="S33" s="254">
        <v>1000</v>
      </c>
      <c r="T33" s="254">
        <v>10</v>
      </c>
      <c r="U33" s="254">
        <v>6</v>
      </c>
      <c r="V33" s="254" t="s">
        <v>201</v>
      </c>
      <c r="W33" s="254">
        <v>9</v>
      </c>
      <c r="X33" s="255">
        <f t="shared" si="11"/>
        <v>0.67</v>
      </c>
      <c r="Y33" s="255">
        <f t="shared" si="15"/>
        <v>0.43333333333333335</v>
      </c>
      <c r="Z33" s="255">
        <f t="shared" ref="Z33:AC43" si="16">H33/P33</f>
        <v>8.2000000000000011</v>
      </c>
      <c r="AA33" s="255">
        <f t="shared" si="16"/>
        <v>2.1919999999999997</v>
      </c>
      <c r="AB33" s="255">
        <f t="shared" si="16"/>
        <v>4.1349999999999998</v>
      </c>
      <c r="AC33" s="255">
        <f t="shared" si="16"/>
        <v>10</v>
      </c>
      <c r="AD33" s="255">
        <f t="shared" si="12"/>
        <v>0.22000000000000003</v>
      </c>
      <c r="AE33" s="255">
        <f t="shared" si="13"/>
        <v>0.2</v>
      </c>
      <c r="AF33" s="258">
        <f t="shared" si="14"/>
        <v>0.67</v>
      </c>
      <c r="AG33" s="258">
        <f t="shared" si="14"/>
        <v>0.43333333333333335</v>
      </c>
      <c r="AH33" s="258">
        <f t="shared" si="14"/>
        <v>5.5690692619185835</v>
      </c>
      <c r="AI33" s="258">
        <f t="shared" si="14"/>
        <v>2.7042027490616576</v>
      </c>
      <c r="AJ33" s="258">
        <f t="shared" si="14"/>
        <v>4.0823775694428273</v>
      </c>
      <c r="AK33" s="258">
        <f t="shared" si="14"/>
        <v>6</v>
      </c>
      <c r="AL33" s="258">
        <f t="shared" si="14"/>
        <v>0.22000000000000003</v>
      </c>
      <c r="AM33" s="258">
        <f t="shared" si="14"/>
        <v>0.2</v>
      </c>
      <c r="AN33" s="273">
        <f t="shared" si="6"/>
        <v>2.4848728642195499</v>
      </c>
      <c r="AO33" s="274">
        <f t="shared" si="7"/>
        <v>6</v>
      </c>
      <c r="AP33" s="275">
        <f t="shared" si="8"/>
        <v>6.1745931513346699</v>
      </c>
      <c r="AQ33" s="275">
        <f t="shared" si="8"/>
        <v>36</v>
      </c>
      <c r="AR33" s="276">
        <f t="shared" si="9"/>
        <v>4.5920906541212068</v>
      </c>
      <c r="AS33" s="283" t="str">
        <f t="shared" si="10"/>
        <v>ringan</v>
      </c>
      <c r="AV33" s="305"/>
      <c r="AW33" s="303"/>
      <c r="AX33" s="301">
        <v>1</v>
      </c>
      <c r="AY33" s="298"/>
    </row>
    <row r="34" spans="1:51" ht="15" x14ac:dyDescent="0.2">
      <c r="A34" s="267">
        <v>21</v>
      </c>
      <c r="B34" s="278" t="s">
        <v>32</v>
      </c>
      <c r="C34" s="348" t="s">
        <v>289</v>
      </c>
      <c r="D34" s="348" t="s">
        <v>280</v>
      </c>
      <c r="E34" s="329">
        <v>44028</v>
      </c>
      <c r="F34" s="347">
        <v>56</v>
      </c>
      <c r="G34" s="271">
        <v>1.1100000000000001</v>
      </c>
      <c r="H34" s="347">
        <v>43</v>
      </c>
      <c r="I34" s="347">
        <v>130</v>
      </c>
      <c r="J34" s="347">
        <v>0.79600000000000004</v>
      </c>
      <c r="K34" s="357">
        <v>4400000</v>
      </c>
      <c r="L34" s="272">
        <v>3.1</v>
      </c>
      <c r="M34" s="272">
        <v>7.55</v>
      </c>
      <c r="N34" s="254">
        <v>50</v>
      </c>
      <c r="O34" s="254">
        <v>4</v>
      </c>
      <c r="P34" s="254">
        <v>3</v>
      </c>
      <c r="Q34" s="254">
        <v>25</v>
      </c>
      <c r="R34" s="254">
        <v>0.2</v>
      </c>
      <c r="S34" s="254">
        <v>1000</v>
      </c>
      <c r="T34" s="254">
        <v>10</v>
      </c>
      <c r="U34" s="254">
        <v>6</v>
      </c>
      <c r="V34" s="254" t="s">
        <v>201</v>
      </c>
      <c r="W34" s="254">
        <v>9</v>
      </c>
      <c r="X34" s="255">
        <f t="shared" si="11"/>
        <v>1.1200000000000001</v>
      </c>
      <c r="Y34" s="255">
        <f t="shared" si="15"/>
        <v>0.49083333333333329</v>
      </c>
      <c r="Z34" s="255">
        <f t="shared" si="16"/>
        <v>14.333333333333334</v>
      </c>
      <c r="AA34" s="255">
        <f t="shared" si="16"/>
        <v>5.2</v>
      </c>
      <c r="AB34" s="255">
        <f t="shared" si="16"/>
        <v>3.98</v>
      </c>
      <c r="AC34" s="255">
        <f t="shared" si="16"/>
        <v>4400</v>
      </c>
      <c r="AD34" s="255">
        <f t="shared" si="12"/>
        <v>0.31</v>
      </c>
      <c r="AE34" s="255">
        <f t="shared" si="13"/>
        <v>3.448275862068953E-2</v>
      </c>
      <c r="AF34" s="258">
        <f t="shared" si="14"/>
        <v>1.2460901133509084</v>
      </c>
      <c r="AG34" s="258">
        <f t="shared" si="14"/>
        <v>0.49083333333333329</v>
      </c>
      <c r="AH34" s="258">
        <f t="shared" si="14"/>
        <v>6.7817360042996206</v>
      </c>
      <c r="AI34" s="258">
        <f t="shared" si="14"/>
        <v>4.5800167181739964</v>
      </c>
      <c r="AJ34" s="258">
        <f t="shared" si="14"/>
        <v>3.999415360368439</v>
      </c>
      <c r="AK34" s="258">
        <f t="shared" si="14"/>
        <v>19.217263382430936</v>
      </c>
      <c r="AL34" s="258">
        <f t="shared" si="14"/>
        <v>0.31</v>
      </c>
      <c r="AM34" s="258">
        <f t="shared" si="14"/>
        <v>3.448275862068953E-2</v>
      </c>
      <c r="AN34" s="273">
        <f t="shared" si="6"/>
        <v>4.5824797088222402</v>
      </c>
      <c r="AO34" s="274">
        <f t="shared" si="7"/>
        <v>19.217263382430936</v>
      </c>
      <c r="AP34" s="275">
        <f t="shared" si="8"/>
        <v>20.999120281767564</v>
      </c>
      <c r="AQ34" s="275">
        <f t="shared" si="8"/>
        <v>369.30321190972091</v>
      </c>
      <c r="AR34" s="276">
        <f t="shared" si="9"/>
        <v>13.969651609676751</v>
      </c>
      <c r="AS34" s="280" t="str">
        <f t="shared" si="10"/>
        <v>berat</v>
      </c>
      <c r="AV34" s="305">
        <v>1</v>
      </c>
      <c r="AW34" s="303"/>
      <c r="AX34" s="301"/>
      <c r="AY34" s="298"/>
    </row>
    <row r="35" spans="1:51" ht="15" x14ac:dyDescent="0.2">
      <c r="A35" s="267">
        <v>22</v>
      </c>
      <c r="B35" s="278" t="s">
        <v>260</v>
      </c>
      <c r="C35" s="348" t="s">
        <v>269</v>
      </c>
      <c r="D35" s="348" t="s">
        <v>268</v>
      </c>
      <c r="E35" s="329">
        <v>44027</v>
      </c>
      <c r="F35" s="271">
        <v>38.5</v>
      </c>
      <c r="G35" s="347">
        <v>5.34</v>
      </c>
      <c r="H35" s="347">
        <v>34.799999999999997</v>
      </c>
      <c r="I35" s="347">
        <v>85</v>
      </c>
      <c r="J35" s="347">
        <v>4.0199999999999996</v>
      </c>
      <c r="K35" s="357">
        <v>1360000</v>
      </c>
      <c r="L35" s="272">
        <v>1.8</v>
      </c>
      <c r="M35" s="272">
        <v>8.01</v>
      </c>
      <c r="N35" s="254">
        <v>50</v>
      </c>
      <c r="O35" s="254">
        <v>4</v>
      </c>
      <c r="P35" s="254">
        <v>3</v>
      </c>
      <c r="Q35" s="254">
        <v>25</v>
      </c>
      <c r="R35" s="254">
        <v>0.2</v>
      </c>
      <c r="S35" s="254">
        <v>1000</v>
      </c>
      <c r="T35" s="254">
        <v>10</v>
      </c>
      <c r="U35" s="254">
        <v>6</v>
      </c>
      <c r="V35" s="254" t="s">
        <v>201</v>
      </c>
      <c r="W35" s="254">
        <v>9</v>
      </c>
      <c r="X35" s="255">
        <f t="shared" si="11"/>
        <v>0.77</v>
      </c>
      <c r="Y35" s="255">
        <f t="shared" si="15"/>
        <v>0.13833333333333334</v>
      </c>
      <c r="Z35" s="255">
        <f t="shared" si="16"/>
        <v>11.6</v>
      </c>
      <c r="AA35" s="255">
        <f t="shared" si="16"/>
        <v>3.4</v>
      </c>
      <c r="AB35" s="255">
        <f t="shared" si="16"/>
        <v>20.099999999999998</v>
      </c>
      <c r="AC35" s="255">
        <f t="shared" si="16"/>
        <v>1360</v>
      </c>
      <c r="AD35" s="255">
        <f t="shared" si="12"/>
        <v>0.18</v>
      </c>
      <c r="AE35" s="255">
        <f t="shared" si="13"/>
        <v>0.5151515151515148</v>
      </c>
      <c r="AF35" s="258">
        <f t="shared" si="14"/>
        <v>0.77</v>
      </c>
      <c r="AG35" s="258">
        <f t="shared" si="14"/>
        <v>0.13833333333333334</v>
      </c>
      <c r="AH35" s="258">
        <f t="shared" si="14"/>
        <v>6.3222899461345916</v>
      </c>
      <c r="AI35" s="258">
        <f t="shared" si="14"/>
        <v>3.6573945852112759</v>
      </c>
      <c r="AJ35" s="258">
        <f t="shared" si="14"/>
        <v>7.5159802871024439</v>
      </c>
      <c r="AK35" s="258">
        <f t="shared" si="14"/>
        <v>16.667694541851088</v>
      </c>
      <c r="AL35" s="258">
        <f t="shared" si="14"/>
        <v>0.18</v>
      </c>
      <c r="AM35" s="258">
        <f t="shared" si="14"/>
        <v>0.5151515151515148</v>
      </c>
      <c r="AN35" s="273">
        <f t="shared" si="6"/>
        <v>4.4708555260980303</v>
      </c>
      <c r="AO35" s="274">
        <f t="shared" si="7"/>
        <v>16.667694541851088</v>
      </c>
      <c r="AP35" s="275">
        <f t="shared" si="8"/>
        <v>19.988549135241296</v>
      </c>
      <c r="AQ35" s="275">
        <f t="shared" si="8"/>
        <v>277.81204134045254</v>
      </c>
      <c r="AR35" s="276">
        <f t="shared" si="9"/>
        <v>12.202470866092936</v>
      </c>
      <c r="AS35" s="280" t="str">
        <f t="shared" si="10"/>
        <v>berat</v>
      </c>
      <c r="AV35" s="305">
        <v>1</v>
      </c>
      <c r="AW35" s="303"/>
      <c r="AX35" s="301"/>
      <c r="AY35" s="298"/>
    </row>
    <row r="36" spans="1:51" ht="15" x14ac:dyDescent="0.2">
      <c r="A36" s="267">
        <v>23</v>
      </c>
      <c r="B36" s="349" t="s">
        <v>261</v>
      </c>
      <c r="C36" s="348" t="s">
        <v>271</v>
      </c>
      <c r="D36" s="348" t="s">
        <v>270</v>
      </c>
      <c r="E36" s="329">
        <v>44027</v>
      </c>
      <c r="F36" s="271">
        <v>34</v>
      </c>
      <c r="G36" s="347">
        <v>4.6100000000000003</v>
      </c>
      <c r="H36" s="347">
        <v>20.399999999999999</v>
      </c>
      <c r="I36" s="347">
        <v>41.5</v>
      </c>
      <c r="J36" s="347">
        <v>7.66</v>
      </c>
      <c r="K36" s="357">
        <v>1010000</v>
      </c>
      <c r="L36" s="272">
        <v>1.5</v>
      </c>
      <c r="M36" s="272">
        <v>8.33</v>
      </c>
      <c r="N36" s="254">
        <v>50</v>
      </c>
      <c r="O36" s="254">
        <v>4</v>
      </c>
      <c r="P36" s="254">
        <v>3</v>
      </c>
      <c r="Q36" s="254">
        <v>25</v>
      </c>
      <c r="R36" s="254">
        <v>0.2</v>
      </c>
      <c r="S36" s="254">
        <v>1000</v>
      </c>
      <c r="T36" s="254">
        <v>10</v>
      </c>
      <c r="U36" s="254">
        <v>6</v>
      </c>
      <c r="V36" s="254" t="s">
        <v>201</v>
      </c>
      <c r="W36" s="254">
        <v>9</v>
      </c>
      <c r="X36" s="255">
        <f t="shared" si="11"/>
        <v>0.68</v>
      </c>
      <c r="Y36" s="255">
        <f t="shared" si="15"/>
        <v>0.19916666666666663</v>
      </c>
      <c r="Z36" s="255">
        <f t="shared" si="16"/>
        <v>6.8</v>
      </c>
      <c r="AA36" s="255">
        <f t="shared" si="16"/>
        <v>1.66</v>
      </c>
      <c r="AB36" s="255">
        <f t="shared" si="16"/>
        <v>38.299999999999997</v>
      </c>
      <c r="AC36" s="255">
        <f t="shared" si="16"/>
        <v>1010</v>
      </c>
      <c r="AD36" s="255">
        <f t="shared" si="12"/>
        <v>0.15</v>
      </c>
      <c r="AE36" s="255">
        <f t="shared" si="13"/>
        <v>1.238805970149254</v>
      </c>
      <c r="AF36" s="258">
        <f t="shared" si="14"/>
        <v>0.68</v>
      </c>
      <c r="AG36" s="258">
        <f t="shared" si="14"/>
        <v>0.19916666666666663</v>
      </c>
      <c r="AH36" s="258">
        <f t="shared" si="14"/>
        <v>5.1625445635311813</v>
      </c>
      <c r="AI36" s="258">
        <f t="shared" si="14"/>
        <v>2.1005404402002754</v>
      </c>
      <c r="AJ36" s="258">
        <f t="shared" si="14"/>
        <v>8.9159938698431134</v>
      </c>
      <c r="AK36" s="258">
        <f t="shared" si="14"/>
        <v>16.021606868913214</v>
      </c>
      <c r="AL36" s="258">
        <f t="shared" si="14"/>
        <v>0.15</v>
      </c>
      <c r="AM36" s="258">
        <f t="shared" si="14"/>
        <v>1.4650164483762378</v>
      </c>
      <c r="AN36" s="273">
        <f t="shared" si="6"/>
        <v>4.3368586071913366</v>
      </c>
      <c r="AO36" s="274">
        <f t="shared" si="7"/>
        <v>16.021606868913214</v>
      </c>
      <c r="AP36" s="275">
        <f t="shared" si="8"/>
        <v>18.808342578769579</v>
      </c>
      <c r="AQ36" s="275">
        <f t="shared" si="8"/>
        <v>256.69188666200705</v>
      </c>
      <c r="AR36" s="276">
        <f t="shared" si="9"/>
        <v>11.736699477297197</v>
      </c>
      <c r="AS36" s="280" t="str">
        <f t="shared" si="10"/>
        <v>berat</v>
      </c>
      <c r="AV36" s="305">
        <v>1</v>
      </c>
      <c r="AW36" s="303"/>
      <c r="AX36" s="301"/>
      <c r="AY36" s="298"/>
    </row>
    <row r="37" spans="1:51" ht="15" x14ac:dyDescent="0.2">
      <c r="A37" s="267">
        <v>24</v>
      </c>
      <c r="B37" s="278" t="s">
        <v>262</v>
      </c>
      <c r="C37" s="348" t="s">
        <v>272</v>
      </c>
      <c r="D37" s="348" t="s">
        <v>273</v>
      </c>
      <c r="E37" s="329">
        <v>44027</v>
      </c>
      <c r="F37" s="347">
        <v>77.5</v>
      </c>
      <c r="G37" s="347">
        <v>6</v>
      </c>
      <c r="H37" s="347">
        <v>53.1</v>
      </c>
      <c r="I37" s="347">
        <v>117</v>
      </c>
      <c r="J37" s="347">
        <v>2.76</v>
      </c>
      <c r="K37" s="357">
        <v>15500000</v>
      </c>
      <c r="L37" s="272">
        <v>1.8</v>
      </c>
      <c r="M37" s="272">
        <v>8.36</v>
      </c>
      <c r="N37" s="254">
        <v>50</v>
      </c>
      <c r="O37" s="254">
        <v>4</v>
      </c>
      <c r="P37" s="254">
        <v>3</v>
      </c>
      <c r="Q37" s="254">
        <v>25</v>
      </c>
      <c r="R37" s="254">
        <v>0.2</v>
      </c>
      <c r="S37" s="254">
        <v>1000</v>
      </c>
      <c r="T37" s="254">
        <v>10</v>
      </c>
      <c r="U37" s="254">
        <v>6</v>
      </c>
      <c r="V37" s="254" t="s">
        <v>201</v>
      </c>
      <c r="W37" s="254">
        <v>9</v>
      </c>
      <c r="X37" s="255">
        <f t="shared" si="11"/>
        <v>1.55</v>
      </c>
      <c r="Y37" s="255">
        <f t="shared" si="15"/>
        <v>8.3333333333333329E-2</v>
      </c>
      <c r="Z37" s="255">
        <f t="shared" si="16"/>
        <v>17.7</v>
      </c>
      <c r="AA37" s="255">
        <f t="shared" si="16"/>
        <v>4.68</v>
      </c>
      <c r="AB37" s="255">
        <f t="shared" si="16"/>
        <v>13.799999999999999</v>
      </c>
      <c r="AC37" s="255">
        <f t="shared" si="16"/>
        <v>15500</v>
      </c>
      <c r="AD37" s="255">
        <f t="shared" si="12"/>
        <v>0.18</v>
      </c>
      <c r="AE37" s="255">
        <f t="shared" si="13"/>
        <v>1.343749999999998</v>
      </c>
      <c r="AF37" s="258">
        <f t="shared" si="14"/>
        <v>1.9516584908514574</v>
      </c>
      <c r="AG37" s="258">
        <f t="shared" si="14"/>
        <v>8.3333333333333329E-2</v>
      </c>
      <c r="AH37" s="258">
        <f t="shared" si="14"/>
        <v>7.2398663318090328</v>
      </c>
      <c r="AI37" s="258">
        <f t="shared" si="14"/>
        <v>4.3512292653706197</v>
      </c>
      <c r="AJ37" s="258">
        <f t="shared" si="14"/>
        <v>6.6993954320061828</v>
      </c>
      <c r="AK37" s="258">
        <f t="shared" si="14"/>
        <v>21.951658490851457</v>
      </c>
      <c r="AL37" s="258">
        <f t="shared" si="14"/>
        <v>0.18</v>
      </c>
      <c r="AM37" s="258">
        <f t="shared" si="14"/>
        <v>1.6415923862983997</v>
      </c>
      <c r="AN37" s="273">
        <f t="shared" si="6"/>
        <v>5.5123417163150608</v>
      </c>
      <c r="AO37" s="274">
        <f t="shared" si="7"/>
        <v>21.951658490851457</v>
      </c>
      <c r="AP37" s="275">
        <f t="shared" si="8"/>
        <v>30.385911197427269</v>
      </c>
      <c r="AQ37" s="275">
        <f t="shared" si="8"/>
        <v>481.87531049897086</v>
      </c>
      <c r="AR37" s="276">
        <f t="shared" si="9"/>
        <v>16.004081068533708</v>
      </c>
      <c r="AS37" s="280" t="str">
        <f t="shared" si="10"/>
        <v>berat</v>
      </c>
      <c r="AV37" s="305">
        <v>1</v>
      </c>
      <c r="AW37" s="303"/>
      <c r="AX37" s="301"/>
      <c r="AY37" s="298"/>
    </row>
    <row r="38" spans="1:51" ht="15" x14ac:dyDescent="0.2">
      <c r="A38" s="267">
        <v>25</v>
      </c>
      <c r="B38" s="278" t="s">
        <v>33</v>
      </c>
      <c r="C38" s="348" t="s">
        <v>274</v>
      </c>
      <c r="D38" s="348" t="s">
        <v>275</v>
      </c>
      <c r="E38" s="329">
        <v>44027</v>
      </c>
      <c r="F38" s="347">
        <v>59</v>
      </c>
      <c r="G38" s="347">
        <v>4.6500000000000004</v>
      </c>
      <c r="H38" s="347">
        <v>40.9</v>
      </c>
      <c r="I38" s="347">
        <v>100</v>
      </c>
      <c r="J38" s="347">
        <v>1.1000000000000001</v>
      </c>
      <c r="K38" s="357">
        <v>15200000</v>
      </c>
      <c r="L38" s="272">
        <v>4.4000000000000004</v>
      </c>
      <c r="M38" s="272">
        <v>7.96</v>
      </c>
      <c r="N38" s="254">
        <v>50</v>
      </c>
      <c r="O38" s="254">
        <v>4</v>
      </c>
      <c r="P38" s="254">
        <v>3</v>
      </c>
      <c r="Q38" s="254">
        <v>25</v>
      </c>
      <c r="R38" s="254">
        <v>0.2</v>
      </c>
      <c r="S38" s="254">
        <v>1000</v>
      </c>
      <c r="T38" s="254">
        <v>10</v>
      </c>
      <c r="U38" s="254">
        <v>6</v>
      </c>
      <c r="V38" s="254" t="s">
        <v>201</v>
      </c>
      <c r="W38" s="254">
        <v>9</v>
      </c>
      <c r="X38" s="255">
        <f t="shared" si="11"/>
        <v>1.18</v>
      </c>
      <c r="Y38" s="255">
        <f t="shared" si="15"/>
        <v>0.1958333333333333</v>
      </c>
      <c r="Z38" s="255">
        <f t="shared" si="16"/>
        <v>13.633333333333333</v>
      </c>
      <c r="AA38" s="255">
        <f t="shared" si="16"/>
        <v>4</v>
      </c>
      <c r="AB38" s="255">
        <f t="shared" si="16"/>
        <v>5.5</v>
      </c>
      <c r="AC38" s="255">
        <f t="shared" si="16"/>
        <v>15200</v>
      </c>
      <c r="AD38" s="255">
        <f t="shared" si="12"/>
        <v>0.44000000000000006</v>
      </c>
      <c r="AE38" s="255">
        <f t="shared" si="13"/>
        <v>0.44230769230769224</v>
      </c>
      <c r="AF38" s="258">
        <f t="shared" si="14"/>
        <v>1.3594100365306268</v>
      </c>
      <c r="AG38" s="258">
        <f t="shared" si="14"/>
        <v>0.1958333333333333</v>
      </c>
      <c r="AH38" s="258">
        <f t="shared" si="14"/>
        <v>6.6730102664383963</v>
      </c>
      <c r="AI38" s="258">
        <f t="shared" si="14"/>
        <v>4.0102999566398125</v>
      </c>
      <c r="AJ38" s="258">
        <f t="shared" si="14"/>
        <v>4.7018134474712197</v>
      </c>
      <c r="AK38" s="258">
        <f t="shared" si="14"/>
        <v>21.909217939723863</v>
      </c>
      <c r="AL38" s="258">
        <f t="shared" si="14"/>
        <v>0.44000000000000006</v>
      </c>
      <c r="AM38" s="258">
        <f t="shared" si="14"/>
        <v>0.44230769230769224</v>
      </c>
      <c r="AN38" s="273">
        <f t="shared" si="6"/>
        <v>4.9664865840556178</v>
      </c>
      <c r="AO38" s="274">
        <f t="shared" si="7"/>
        <v>21.909217939723863</v>
      </c>
      <c r="AP38" s="275">
        <f t="shared" si="8"/>
        <v>24.66598898960444</v>
      </c>
      <c r="AQ38" s="275">
        <f t="shared" si="8"/>
        <v>480.01383073031798</v>
      </c>
      <c r="AR38" s="276">
        <f t="shared" si="9"/>
        <v>15.885210412832473</v>
      </c>
      <c r="AS38" s="280" t="str">
        <f t="shared" si="10"/>
        <v>berat</v>
      </c>
      <c r="AV38" s="305">
        <v>1</v>
      </c>
      <c r="AW38" s="303"/>
      <c r="AX38" s="301"/>
      <c r="AY38" s="298"/>
    </row>
    <row r="39" spans="1:51" ht="15" x14ac:dyDescent="0.2">
      <c r="A39" s="267">
        <v>26</v>
      </c>
      <c r="B39" s="278" t="s">
        <v>34</v>
      </c>
      <c r="C39" s="348" t="s">
        <v>290</v>
      </c>
      <c r="D39" s="348" t="s">
        <v>291</v>
      </c>
      <c r="E39" s="329">
        <v>44027</v>
      </c>
      <c r="F39" s="271">
        <v>41.5</v>
      </c>
      <c r="G39" s="271">
        <v>3.83</v>
      </c>
      <c r="H39" s="347">
        <v>27.6</v>
      </c>
      <c r="I39" s="347">
        <v>69.900000000000006</v>
      </c>
      <c r="J39" s="347">
        <v>4.7300000000000004</v>
      </c>
      <c r="K39" s="357">
        <v>1620000</v>
      </c>
      <c r="L39" s="272">
        <v>0.9</v>
      </c>
      <c r="M39" s="272">
        <v>7.88</v>
      </c>
      <c r="N39" s="254">
        <v>50</v>
      </c>
      <c r="O39" s="254">
        <v>4</v>
      </c>
      <c r="P39" s="254">
        <v>3</v>
      </c>
      <c r="Q39" s="254">
        <v>25</v>
      </c>
      <c r="R39" s="254">
        <v>0.2</v>
      </c>
      <c r="S39" s="254">
        <v>1000</v>
      </c>
      <c r="T39" s="254">
        <v>10</v>
      </c>
      <c r="U39" s="254">
        <v>6</v>
      </c>
      <c r="V39" s="254" t="s">
        <v>201</v>
      </c>
      <c r="W39" s="254">
        <v>9</v>
      </c>
      <c r="X39" s="255">
        <f t="shared" si="11"/>
        <v>0.83</v>
      </c>
      <c r="Y39" s="255">
        <f t="shared" si="15"/>
        <v>0.26416666666666666</v>
      </c>
      <c r="Z39" s="255">
        <f t="shared" si="16"/>
        <v>9.2000000000000011</v>
      </c>
      <c r="AA39" s="255">
        <f t="shared" si="16"/>
        <v>2.7960000000000003</v>
      </c>
      <c r="AB39" s="255">
        <f t="shared" si="16"/>
        <v>23.650000000000002</v>
      </c>
      <c r="AC39" s="255">
        <f t="shared" si="16"/>
        <v>1620</v>
      </c>
      <c r="AD39" s="255">
        <f t="shared" si="12"/>
        <v>0.09</v>
      </c>
      <c r="AE39" s="255">
        <f t="shared" si="13"/>
        <v>0.33928571428571414</v>
      </c>
      <c r="AF39" s="258">
        <f t="shared" si="14"/>
        <v>0.83</v>
      </c>
      <c r="AG39" s="258">
        <f t="shared" si="14"/>
        <v>0.26416666666666666</v>
      </c>
      <c r="AH39" s="258">
        <f t="shared" si="14"/>
        <v>5.818939136727777</v>
      </c>
      <c r="AI39" s="258">
        <f t="shared" si="14"/>
        <v>3.2326858353682191</v>
      </c>
      <c r="AJ39" s="258">
        <f t="shared" si="14"/>
        <v>7.8691557253691515</v>
      </c>
      <c r="AK39" s="258">
        <f t="shared" si="14"/>
        <v>17.047575072713155</v>
      </c>
      <c r="AL39" s="258">
        <f t="shared" si="14"/>
        <v>0.09</v>
      </c>
      <c r="AM39" s="258">
        <f t="shared" si="14"/>
        <v>0.33928571428571414</v>
      </c>
      <c r="AN39" s="273">
        <f t="shared" si="6"/>
        <v>4.4364760188913364</v>
      </c>
      <c r="AO39" s="274">
        <f t="shared" si="7"/>
        <v>17.047575072713155</v>
      </c>
      <c r="AP39" s="275">
        <f t="shared" si="8"/>
        <v>19.682319466197921</v>
      </c>
      <c r="AQ39" s="275">
        <f t="shared" si="8"/>
        <v>290.61981585979095</v>
      </c>
      <c r="AR39" s="276">
        <f t="shared" si="9"/>
        <v>12.455965143777275</v>
      </c>
      <c r="AS39" s="280" t="str">
        <f t="shared" si="10"/>
        <v>berat</v>
      </c>
      <c r="AV39" s="305">
        <v>1</v>
      </c>
      <c r="AW39" s="303"/>
      <c r="AX39" s="301"/>
      <c r="AY39" s="298"/>
    </row>
    <row r="40" spans="1:51" ht="15" x14ac:dyDescent="0.2">
      <c r="A40" s="267">
        <v>27</v>
      </c>
      <c r="B40" s="278" t="s">
        <v>54</v>
      </c>
      <c r="C40" s="348" t="s">
        <v>281</v>
      </c>
      <c r="D40" s="348" t="s">
        <v>282</v>
      </c>
      <c r="E40" s="329">
        <v>44027</v>
      </c>
      <c r="F40" s="271">
        <v>41.5</v>
      </c>
      <c r="G40" s="271">
        <v>0.16</v>
      </c>
      <c r="H40" s="347">
        <v>69</v>
      </c>
      <c r="I40" s="347">
        <v>217</v>
      </c>
      <c r="J40" s="347">
        <v>2.6</v>
      </c>
      <c r="K40" s="357">
        <v>19600000</v>
      </c>
      <c r="L40" s="272">
        <v>2.1</v>
      </c>
      <c r="M40" s="272">
        <v>8.19</v>
      </c>
      <c r="N40" s="254">
        <v>50</v>
      </c>
      <c r="O40" s="254">
        <v>4</v>
      </c>
      <c r="P40" s="254">
        <v>3</v>
      </c>
      <c r="Q40" s="254">
        <v>25</v>
      </c>
      <c r="R40" s="254">
        <v>0.2</v>
      </c>
      <c r="S40" s="254">
        <v>1000</v>
      </c>
      <c r="T40" s="254">
        <v>10</v>
      </c>
      <c r="U40" s="254">
        <v>6</v>
      </c>
      <c r="V40" s="254" t="s">
        <v>201</v>
      </c>
      <c r="W40" s="254">
        <v>9</v>
      </c>
      <c r="X40" s="255">
        <f t="shared" si="11"/>
        <v>0.83</v>
      </c>
      <c r="Y40" s="255">
        <f t="shared" si="15"/>
        <v>0.56999999999999995</v>
      </c>
      <c r="Z40" s="255">
        <f t="shared" si="16"/>
        <v>23</v>
      </c>
      <c r="AA40" s="255">
        <f t="shared" si="16"/>
        <v>8.68</v>
      </c>
      <c r="AB40" s="255">
        <f t="shared" si="16"/>
        <v>13</v>
      </c>
      <c r="AC40" s="255">
        <f t="shared" si="16"/>
        <v>19600</v>
      </c>
      <c r="AD40" s="255">
        <f t="shared" si="12"/>
        <v>0.21000000000000002</v>
      </c>
      <c r="AE40" s="255">
        <f t="shared" si="13"/>
        <v>0.85185185185185075</v>
      </c>
      <c r="AF40" s="258">
        <f t="shared" si="14"/>
        <v>0.83</v>
      </c>
      <c r="AG40" s="258">
        <f t="shared" si="14"/>
        <v>0.56999999999999995</v>
      </c>
      <c r="AH40" s="258">
        <f t="shared" si="14"/>
        <v>7.8086391800879644</v>
      </c>
      <c r="AI40" s="258">
        <f t="shared" si="14"/>
        <v>5.692598625882459</v>
      </c>
      <c r="AJ40" s="258">
        <f t="shared" si="14"/>
        <v>6.5697167615341838</v>
      </c>
      <c r="AK40" s="258">
        <f t="shared" si="14"/>
        <v>22.461280356782382</v>
      </c>
      <c r="AL40" s="258">
        <f t="shared" si="14"/>
        <v>0.21000000000000002</v>
      </c>
      <c r="AM40" s="258">
        <f t="shared" si="14"/>
        <v>0.85185185185185075</v>
      </c>
      <c r="AN40" s="273">
        <f t="shared" si="6"/>
        <v>5.6242608470173545</v>
      </c>
      <c r="AO40" s="274">
        <f t="shared" si="7"/>
        <v>22.461280356782382</v>
      </c>
      <c r="AP40" s="275">
        <f t="shared" si="8"/>
        <v>31.63231007529237</v>
      </c>
      <c r="AQ40" s="275">
        <f t="shared" si="8"/>
        <v>504.5091152659781</v>
      </c>
      <c r="AR40" s="276">
        <f t="shared" si="9"/>
        <v>16.372865133220735</v>
      </c>
      <c r="AS40" s="280" t="str">
        <f t="shared" si="10"/>
        <v>berat</v>
      </c>
      <c r="AV40" s="305">
        <v>1</v>
      </c>
      <c r="AW40" s="303"/>
      <c r="AX40" s="301"/>
      <c r="AY40" s="298"/>
    </row>
    <row r="41" spans="1:51" ht="15" x14ac:dyDescent="0.2">
      <c r="A41" s="267">
        <v>28</v>
      </c>
      <c r="B41" s="278" t="s">
        <v>27</v>
      </c>
      <c r="C41" s="348" t="s">
        <v>283</v>
      </c>
      <c r="D41" s="348" t="s">
        <v>284</v>
      </c>
      <c r="E41" s="329">
        <v>44027</v>
      </c>
      <c r="F41" s="347">
        <v>72.5</v>
      </c>
      <c r="G41" s="347">
        <v>8.2799999999999994</v>
      </c>
      <c r="H41" s="347">
        <v>34.799999999999997</v>
      </c>
      <c r="I41" s="347">
        <v>68</v>
      </c>
      <c r="J41" s="347">
        <v>0.98</v>
      </c>
      <c r="K41" s="357">
        <v>900000</v>
      </c>
      <c r="L41" s="272">
        <v>5.6</v>
      </c>
      <c r="M41" s="272">
        <v>8</v>
      </c>
      <c r="N41" s="254">
        <v>50</v>
      </c>
      <c r="O41" s="254">
        <v>4</v>
      </c>
      <c r="P41" s="254">
        <v>3</v>
      </c>
      <c r="Q41" s="254">
        <v>25</v>
      </c>
      <c r="R41" s="254">
        <v>0.2</v>
      </c>
      <c r="S41" s="254">
        <v>1000</v>
      </c>
      <c r="T41" s="254">
        <v>10</v>
      </c>
      <c r="U41" s="254">
        <v>6</v>
      </c>
      <c r="V41" s="254" t="s">
        <v>201</v>
      </c>
      <c r="W41" s="254">
        <v>9</v>
      </c>
      <c r="X41" s="255">
        <f t="shared" si="11"/>
        <v>1.45</v>
      </c>
      <c r="Y41" s="255">
        <f t="shared" si="15"/>
        <v>-0.10666666666666662</v>
      </c>
      <c r="Z41" s="255">
        <f t="shared" si="16"/>
        <v>11.6</v>
      </c>
      <c r="AA41" s="255">
        <f t="shared" si="16"/>
        <v>2.72</v>
      </c>
      <c r="AB41" s="255">
        <f t="shared" si="16"/>
        <v>4.8999999999999995</v>
      </c>
      <c r="AC41" s="255">
        <f t="shared" si="16"/>
        <v>900</v>
      </c>
      <c r="AD41" s="255">
        <f t="shared" si="12"/>
        <v>0.55999999999999994</v>
      </c>
      <c r="AE41" s="255">
        <f t="shared" si="13"/>
        <v>0.5</v>
      </c>
      <c r="AF41" s="258">
        <f t="shared" si="14"/>
        <v>1.8068400111748744</v>
      </c>
      <c r="AG41" s="258">
        <f t="shared" si="14"/>
        <v>-0.10666666666666662</v>
      </c>
      <c r="AH41" s="258">
        <f t="shared" si="14"/>
        <v>6.3222899461345916</v>
      </c>
      <c r="AI41" s="258">
        <f t="shared" si="14"/>
        <v>3.1728445201709938</v>
      </c>
      <c r="AJ41" s="258">
        <f t="shared" si="14"/>
        <v>4.4509804001425683</v>
      </c>
      <c r="AK41" s="258">
        <f t="shared" si="14"/>
        <v>15.771212547196624</v>
      </c>
      <c r="AL41" s="258">
        <f t="shared" si="14"/>
        <v>0.55999999999999994</v>
      </c>
      <c r="AM41" s="258">
        <f t="shared" si="14"/>
        <v>0.5</v>
      </c>
      <c r="AN41" s="273">
        <f t="shared" si="6"/>
        <v>4.0596875947691231</v>
      </c>
      <c r="AO41" s="274">
        <f t="shared" si="7"/>
        <v>15.771212547196624</v>
      </c>
      <c r="AP41" s="275">
        <f t="shared" si="8"/>
        <v>16.481063367122307</v>
      </c>
      <c r="AQ41" s="275">
        <f t="shared" si="8"/>
        <v>248.73114520885224</v>
      </c>
      <c r="AR41" s="276">
        <f t="shared" si="9"/>
        <v>11.515472386662532</v>
      </c>
      <c r="AS41" s="280" t="str">
        <f t="shared" si="10"/>
        <v>berat</v>
      </c>
      <c r="AV41" s="305">
        <v>1</v>
      </c>
      <c r="AW41" s="303"/>
      <c r="AX41" s="301"/>
      <c r="AY41" s="298"/>
    </row>
    <row r="42" spans="1:51" ht="15" x14ac:dyDescent="0.2">
      <c r="A42" s="267">
        <v>29</v>
      </c>
      <c r="B42" s="278" t="s">
        <v>28</v>
      </c>
      <c r="C42" s="348" t="s">
        <v>285</v>
      </c>
      <c r="D42" s="348" t="s">
        <v>286</v>
      </c>
      <c r="E42" s="329">
        <v>44028</v>
      </c>
      <c r="F42" s="347">
        <v>58</v>
      </c>
      <c r="G42" s="271">
        <v>3.75</v>
      </c>
      <c r="H42" s="347">
        <v>26.6</v>
      </c>
      <c r="I42" s="347">
        <v>60.4</v>
      </c>
      <c r="J42" s="347">
        <v>3.57</v>
      </c>
      <c r="K42" s="357">
        <v>1390000</v>
      </c>
      <c r="L42" s="272">
        <v>3</v>
      </c>
      <c r="M42" s="272">
        <v>7.86</v>
      </c>
      <c r="N42" s="254">
        <v>50</v>
      </c>
      <c r="O42" s="254">
        <v>4</v>
      </c>
      <c r="P42" s="254">
        <v>3</v>
      </c>
      <c r="Q42" s="254">
        <v>25</v>
      </c>
      <c r="R42" s="254">
        <v>0.2</v>
      </c>
      <c r="S42" s="254">
        <v>1000</v>
      </c>
      <c r="T42" s="254">
        <v>10</v>
      </c>
      <c r="U42" s="254">
        <v>6</v>
      </c>
      <c r="V42" s="254" t="s">
        <v>201</v>
      </c>
      <c r="W42" s="254">
        <v>9</v>
      </c>
      <c r="X42" s="255">
        <f t="shared" si="11"/>
        <v>1.1599999999999999</v>
      </c>
      <c r="Y42" s="255">
        <f t="shared" si="15"/>
        <v>0.27083333333333331</v>
      </c>
      <c r="Z42" s="255">
        <f t="shared" si="16"/>
        <v>8.8666666666666671</v>
      </c>
      <c r="AA42" s="255">
        <f t="shared" si="16"/>
        <v>2.4159999999999999</v>
      </c>
      <c r="AB42" s="255">
        <f t="shared" si="16"/>
        <v>17.849999999999998</v>
      </c>
      <c r="AC42" s="255">
        <f t="shared" si="16"/>
        <v>1390</v>
      </c>
      <c r="AD42" s="255">
        <f t="shared" si="12"/>
        <v>0.3</v>
      </c>
      <c r="AE42" s="255">
        <f t="shared" si="13"/>
        <v>0.3157894736842109</v>
      </c>
      <c r="AF42" s="258">
        <f t="shared" si="14"/>
        <v>1.3222899461345923</v>
      </c>
      <c r="AG42" s="258">
        <f t="shared" si="14"/>
        <v>0.27083333333333331</v>
      </c>
      <c r="AH42" s="258">
        <f t="shared" si="14"/>
        <v>5.7388019095570231</v>
      </c>
      <c r="AI42" s="258">
        <f t="shared" si="14"/>
        <v>2.9154846497454709</v>
      </c>
      <c r="AJ42" s="258">
        <f t="shared" si="14"/>
        <v>7.2581911022410601</v>
      </c>
      <c r="AK42" s="258">
        <f t="shared" si="14"/>
        <v>16.715074001270473</v>
      </c>
      <c r="AL42" s="258">
        <f t="shared" si="14"/>
        <v>0.3</v>
      </c>
      <c r="AM42" s="258">
        <f t="shared" si="14"/>
        <v>0.3157894736842109</v>
      </c>
      <c r="AN42" s="273">
        <f t="shared" si="6"/>
        <v>4.3545580519957703</v>
      </c>
      <c r="AO42" s="274">
        <f t="shared" si="7"/>
        <v>16.715074001270473</v>
      </c>
      <c r="AP42" s="275">
        <f t="shared" si="8"/>
        <v>18.962175828201197</v>
      </c>
      <c r="AQ42" s="275">
        <f t="shared" si="8"/>
        <v>279.3936988679481</v>
      </c>
      <c r="AR42" s="276">
        <f t="shared" si="9"/>
        <v>12.21384203877202</v>
      </c>
      <c r="AS42" s="280" t="str">
        <f t="shared" si="10"/>
        <v>berat</v>
      </c>
      <c r="AV42" s="305">
        <v>1</v>
      </c>
      <c r="AW42" s="303"/>
      <c r="AX42" s="301"/>
      <c r="AY42" s="298"/>
    </row>
    <row r="43" spans="1:51" ht="15" x14ac:dyDescent="0.2">
      <c r="A43" s="267">
        <v>30</v>
      </c>
      <c r="B43" s="278" t="s">
        <v>29</v>
      </c>
      <c r="C43" s="348" t="s">
        <v>292</v>
      </c>
      <c r="D43" s="348" t="s">
        <v>293</v>
      </c>
      <c r="E43" s="329">
        <v>44027</v>
      </c>
      <c r="F43" s="347">
        <v>116</v>
      </c>
      <c r="G43" s="271">
        <v>3.46</v>
      </c>
      <c r="H43" s="347">
        <v>45</v>
      </c>
      <c r="I43" s="347">
        <v>138</v>
      </c>
      <c r="J43" s="347">
        <v>1.0900000000000001</v>
      </c>
      <c r="K43" s="357">
        <v>3400000</v>
      </c>
      <c r="L43" s="272">
        <v>2.7</v>
      </c>
      <c r="M43" s="272">
        <v>7.91</v>
      </c>
      <c r="N43" s="254">
        <v>50</v>
      </c>
      <c r="O43" s="254">
        <v>4</v>
      </c>
      <c r="P43" s="254">
        <v>3</v>
      </c>
      <c r="Q43" s="254">
        <v>25</v>
      </c>
      <c r="R43" s="254">
        <v>0.2</v>
      </c>
      <c r="S43" s="254">
        <v>1000</v>
      </c>
      <c r="T43" s="254">
        <v>10</v>
      </c>
      <c r="U43" s="254">
        <v>6</v>
      </c>
      <c r="V43" s="254" t="s">
        <v>201</v>
      </c>
      <c r="W43" s="254">
        <v>9</v>
      </c>
      <c r="X43" s="255">
        <f t="shared" si="11"/>
        <v>2.3199999999999998</v>
      </c>
      <c r="Y43" s="255">
        <f t="shared" si="15"/>
        <v>0.29499999999999998</v>
      </c>
      <c r="Z43" s="255">
        <f t="shared" si="16"/>
        <v>15</v>
      </c>
      <c r="AA43" s="255">
        <f t="shared" si="16"/>
        <v>5.52</v>
      </c>
      <c r="AB43" s="255">
        <f t="shared" si="16"/>
        <v>5.45</v>
      </c>
      <c r="AC43" s="255">
        <f t="shared" si="16"/>
        <v>3400</v>
      </c>
      <c r="AD43" s="255">
        <f t="shared" si="12"/>
        <v>0.27</v>
      </c>
      <c r="AE43" s="255">
        <f t="shared" si="13"/>
        <v>0.37614678899082588</v>
      </c>
      <c r="AF43" s="258">
        <f t="shared" si="14"/>
        <v>2.8274399244544979</v>
      </c>
      <c r="AG43" s="258">
        <f t="shared" si="14"/>
        <v>0.29499999999999998</v>
      </c>
      <c r="AH43" s="258">
        <f t="shared" si="14"/>
        <v>6.8804562952784067</v>
      </c>
      <c r="AI43" s="258">
        <f t="shared" si="14"/>
        <v>4.7096953886459945</v>
      </c>
      <c r="AJ43" s="258">
        <f t="shared" si="14"/>
        <v>4.6819825113832128</v>
      </c>
      <c r="AK43" s="258">
        <f t="shared" si="14"/>
        <v>18.657394585211275</v>
      </c>
      <c r="AL43" s="258">
        <f t="shared" si="14"/>
        <v>0.27</v>
      </c>
      <c r="AM43" s="258">
        <f t="shared" si="14"/>
        <v>0.37614678899082588</v>
      </c>
      <c r="AN43" s="273">
        <f t="shared" si="6"/>
        <v>4.8372644367455271</v>
      </c>
      <c r="AO43" s="274">
        <f t="shared" si="7"/>
        <v>18.657394585211275</v>
      </c>
      <c r="AP43" s="275">
        <f t="shared" si="8"/>
        <v>23.399127231003021</v>
      </c>
      <c r="AQ43" s="275">
        <f t="shared" si="8"/>
        <v>348.09837270827103</v>
      </c>
      <c r="AR43" s="276">
        <f t="shared" si="9"/>
        <v>13.628967311195556</v>
      </c>
      <c r="AS43" s="280" t="str">
        <f t="shared" si="10"/>
        <v>berat</v>
      </c>
      <c r="AV43" s="305">
        <v>1</v>
      </c>
      <c r="AW43" s="303"/>
      <c r="AX43" s="301"/>
      <c r="AY43" s="298"/>
    </row>
    <row r="44" spans="1:51" x14ac:dyDescent="0.2">
      <c r="A44" s="311" t="s">
        <v>208</v>
      </c>
      <c r="B44" s="278"/>
      <c r="C44" s="278"/>
      <c r="D44" s="279"/>
      <c r="E44" s="270"/>
      <c r="F44" s="271"/>
      <c r="G44" s="271"/>
      <c r="H44" s="271"/>
      <c r="I44" s="271"/>
      <c r="J44" s="271"/>
      <c r="K44" s="356"/>
      <c r="L44" s="272"/>
      <c r="M44" s="272"/>
      <c r="N44" s="254"/>
      <c r="O44" s="254"/>
      <c r="P44" s="254"/>
      <c r="Q44" s="254"/>
      <c r="R44" s="254"/>
      <c r="S44" s="254"/>
      <c r="T44" s="254"/>
      <c r="U44" s="254"/>
      <c r="V44" s="254"/>
      <c r="W44" s="254"/>
      <c r="X44" s="255"/>
      <c r="Y44" s="255"/>
      <c r="Z44" s="255"/>
      <c r="AA44" s="255"/>
      <c r="AB44" s="255"/>
      <c r="AC44" s="255"/>
      <c r="AD44" s="255"/>
      <c r="AE44" s="255"/>
      <c r="AF44" s="258"/>
      <c r="AG44" s="258"/>
      <c r="AH44" s="258"/>
      <c r="AI44" s="258"/>
      <c r="AJ44" s="258"/>
      <c r="AK44" s="258"/>
      <c r="AL44" s="258"/>
      <c r="AM44" s="258"/>
      <c r="AN44" s="273"/>
      <c r="AO44" s="274"/>
      <c r="AP44" s="275"/>
      <c r="AQ44" s="275"/>
      <c r="AR44" s="276"/>
      <c r="AS44" s="333" t="str">
        <f t="shared" si="10"/>
        <v/>
      </c>
      <c r="AV44" s="334"/>
      <c r="AW44" s="334"/>
      <c r="AX44" s="334"/>
      <c r="AY44" s="334"/>
    </row>
    <row r="45" spans="1:51" ht="15" x14ac:dyDescent="0.2">
      <c r="A45" s="267">
        <v>31</v>
      </c>
      <c r="B45" s="278" t="s">
        <v>21</v>
      </c>
      <c r="C45" s="348" t="s">
        <v>264</v>
      </c>
      <c r="D45" s="348" t="s">
        <v>265</v>
      </c>
      <c r="E45" s="270" t="s">
        <v>301</v>
      </c>
      <c r="F45" s="352">
        <v>145</v>
      </c>
      <c r="G45" s="352">
        <v>9.52</v>
      </c>
      <c r="H45" s="352">
        <v>22.4</v>
      </c>
      <c r="I45" s="352">
        <v>72.8</v>
      </c>
      <c r="J45" s="352">
        <v>0.505</v>
      </c>
      <c r="K45" s="358">
        <v>9200000</v>
      </c>
      <c r="L45" s="285">
        <v>3.1</v>
      </c>
      <c r="M45" s="285">
        <v>7.72</v>
      </c>
      <c r="N45" s="254">
        <v>50</v>
      </c>
      <c r="O45" s="254">
        <v>4</v>
      </c>
      <c r="P45" s="254">
        <v>3</v>
      </c>
      <c r="Q45" s="254">
        <v>25</v>
      </c>
      <c r="R45" s="254">
        <v>0.2</v>
      </c>
      <c r="S45" s="254">
        <v>1000</v>
      </c>
      <c r="T45" s="254">
        <v>10</v>
      </c>
      <c r="U45" s="254">
        <v>6</v>
      </c>
      <c r="V45" s="254" t="s">
        <v>201</v>
      </c>
      <c r="W45" s="254">
        <v>9</v>
      </c>
      <c r="X45" s="255">
        <f>F45/N45</f>
        <v>2.9</v>
      </c>
      <c r="Y45" s="255">
        <f>((7-G45)/(7-O45))/O45</f>
        <v>-0.20999999999999996</v>
      </c>
      <c r="Z45" s="255">
        <f t="shared" ref="Z45:AD59" si="17">H45/P45</f>
        <v>7.4666666666666659</v>
      </c>
      <c r="AA45" s="255">
        <f t="shared" si="17"/>
        <v>2.9119999999999999</v>
      </c>
      <c r="AB45" s="255">
        <f t="shared" si="17"/>
        <v>2.5249999999999999</v>
      </c>
      <c r="AC45" s="255">
        <f t="shared" si="17"/>
        <v>9200</v>
      </c>
      <c r="AD45" s="255">
        <f t="shared" si="17"/>
        <v>0.31</v>
      </c>
      <c r="AE45" s="255">
        <f t="shared" si="13"/>
        <v>0.17187499999999978</v>
      </c>
      <c r="AF45" s="258">
        <f t="shared" si="14"/>
        <v>3.3119899894947804</v>
      </c>
      <c r="AG45" s="258">
        <f t="shared" si="14"/>
        <v>-0.20999999999999996</v>
      </c>
      <c r="AH45" s="258">
        <f t="shared" si="14"/>
        <v>5.3656338180725021</v>
      </c>
      <c r="AI45" s="258">
        <f t="shared" si="14"/>
        <v>3.320956853204998</v>
      </c>
      <c r="AJ45" s="258">
        <f t="shared" si="14"/>
        <v>3.0113069122734011</v>
      </c>
      <c r="AK45" s="258">
        <f t="shared" si="14"/>
        <v>20.818939136727774</v>
      </c>
      <c r="AL45" s="258">
        <f t="shared" si="14"/>
        <v>0.31</v>
      </c>
      <c r="AM45" s="258">
        <f t="shared" si="14"/>
        <v>0.17187499999999978</v>
      </c>
      <c r="AN45" s="273">
        <f t="shared" si="6"/>
        <v>4.5125877137216825</v>
      </c>
      <c r="AO45" s="274">
        <f t="shared" si="7"/>
        <v>20.818939136727774</v>
      </c>
      <c r="AP45" s="275">
        <f t="shared" si="8"/>
        <v>20.363447874031881</v>
      </c>
      <c r="AQ45" s="275">
        <f t="shared" si="8"/>
        <v>433.42822677877541</v>
      </c>
      <c r="AR45" s="276">
        <f t="shared" si="9"/>
        <v>15.063062016947406</v>
      </c>
      <c r="AS45" s="280" t="str">
        <f t="shared" si="10"/>
        <v>berat</v>
      </c>
      <c r="AV45" s="305">
        <v>1</v>
      </c>
      <c r="AW45" s="303"/>
      <c r="AX45" s="301"/>
      <c r="AY45" s="298"/>
    </row>
    <row r="46" spans="1:51" ht="15" x14ac:dyDescent="0.2">
      <c r="A46" s="267">
        <v>32</v>
      </c>
      <c r="B46" s="278" t="s">
        <v>61</v>
      </c>
      <c r="C46" s="348" t="s">
        <v>266</v>
      </c>
      <c r="D46" s="348" t="s">
        <v>267</v>
      </c>
      <c r="E46" s="270" t="s">
        <v>301</v>
      </c>
      <c r="F46" s="352">
        <v>70.2</v>
      </c>
      <c r="G46" s="352">
        <v>8.94</v>
      </c>
      <c r="H46" s="352">
        <v>14.3</v>
      </c>
      <c r="I46" s="352">
        <v>57.8</v>
      </c>
      <c r="J46" s="352">
        <v>0.53</v>
      </c>
      <c r="K46" s="358">
        <v>3300000</v>
      </c>
      <c r="L46" s="285">
        <v>0.6</v>
      </c>
      <c r="M46" s="285">
        <v>7.45</v>
      </c>
      <c r="N46" s="254">
        <v>50</v>
      </c>
      <c r="O46" s="254">
        <v>4</v>
      </c>
      <c r="P46" s="254">
        <v>3</v>
      </c>
      <c r="Q46" s="254">
        <v>25</v>
      </c>
      <c r="R46" s="254">
        <v>0.2</v>
      </c>
      <c r="S46" s="254">
        <v>1000</v>
      </c>
      <c r="T46" s="254">
        <v>10</v>
      </c>
      <c r="U46" s="254">
        <v>6</v>
      </c>
      <c r="V46" s="254" t="s">
        <v>201</v>
      </c>
      <c r="W46" s="254">
        <v>9</v>
      </c>
      <c r="X46" s="255">
        <f>F46/N46</f>
        <v>1.4040000000000001</v>
      </c>
      <c r="Y46" s="255">
        <f t="shared" ref="Y46:Y59" si="18">((7-G46)/(7-O46))/O46</f>
        <v>-0.16166666666666663</v>
      </c>
      <c r="Z46" s="255">
        <f t="shared" si="17"/>
        <v>4.7666666666666666</v>
      </c>
      <c r="AA46" s="255">
        <f t="shared" si="17"/>
        <v>2.3119999999999998</v>
      </c>
      <c r="AB46" s="255">
        <f t="shared" si="17"/>
        <v>2.65</v>
      </c>
      <c r="AC46" s="255">
        <f t="shared" si="17"/>
        <v>3300</v>
      </c>
      <c r="AD46" s="255">
        <f t="shared" si="17"/>
        <v>0.06</v>
      </c>
      <c r="AE46" s="255">
        <f t="shared" si="13"/>
        <v>3.448275862068953E-2</v>
      </c>
      <c r="AF46" s="258">
        <f t="shared" si="14"/>
        <v>1.7368355389689325</v>
      </c>
      <c r="AG46" s="258">
        <f t="shared" si="14"/>
        <v>-0.16166666666666663</v>
      </c>
      <c r="AH46" s="258">
        <f t="shared" si="14"/>
        <v>4.3910739137269967</v>
      </c>
      <c r="AI46" s="258">
        <f t="shared" si="14"/>
        <v>2.8199391487424572</v>
      </c>
      <c r="AJ46" s="258">
        <f t="shared" si="14"/>
        <v>3.1162293696840391</v>
      </c>
      <c r="AK46" s="258">
        <f t="shared" si="14"/>
        <v>18.592569699389436</v>
      </c>
      <c r="AL46" s="258">
        <f t="shared" si="14"/>
        <v>0.06</v>
      </c>
      <c r="AM46" s="258">
        <f t="shared" si="14"/>
        <v>3.448275862068953E-2</v>
      </c>
      <c r="AN46" s="273">
        <f t="shared" si="6"/>
        <v>3.8236829703082353</v>
      </c>
      <c r="AO46" s="274">
        <f t="shared" si="7"/>
        <v>18.592569699389436</v>
      </c>
      <c r="AP46" s="275">
        <f t="shared" si="8"/>
        <v>14.62055145742521</v>
      </c>
      <c r="AQ46" s="275">
        <f t="shared" si="8"/>
        <v>345.68364802665417</v>
      </c>
      <c r="AR46" s="276">
        <f t="shared" si="9"/>
        <v>13.422075090761476</v>
      </c>
      <c r="AS46" s="280" t="str">
        <f t="shared" si="10"/>
        <v>berat</v>
      </c>
      <c r="AV46" s="305">
        <v>1</v>
      </c>
      <c r="AW46" s="303"/>
      <c r="AX46" s="301"/>
      <c r="AY46" s="298"/>
    </row>
    <row r="47" spans="1:51" ht="15" x14ac:dyDescent="0.2">
      <c r="A47" s="267">
        <v>33</v>
      </c>
      <c r="B47" s="278" t="s">
        <v>60</v>
      </c>
      <c r="C47" s="348" t="s">
        <v>287</v>
      </c>
      <c r="D47" s="348" t="s">
        <v>288</v>
      </c>
      <c r="E47" s="270" t="s">
        <v>301</v>
      </c>
      <c r="F47" s="352">
        <v>44.7</v>
      </c>
      <c r="G47" s="352">
        <v>10.6</v>
      </c>
      <c r="H47" s="352">
        <v>26.5</v>
      </c>
      <c r="I47" s="352">
        <v>80.2</v>
      </c>
      <c r="J47" s="352">
        <v>0.36599999999999999</v>
      </c>
      <c r="K47" s="358">
        <v>4500000</v>
      </c>
      <c r="L47" s="288">
        <v>3.7</v>
      </c>
      <c r="M47" s="288">
        <v>7.55</v>
      </c>
      <c r="N47" s="254">
        <v>50</v>
      </c>
      <c r="O47" s="254">
        <v>4</v>
      </c>
      <c r="P47" s="254">
        <v>3</v>
      </c>
      <c r="Q47" s="254">
        <v>25</v>
      </c>
      <c r="R47" s="254">
        <v>0.2</v>
      </c>
      <c r="S47" s="254">
        <v>1000</v>
      </c>
      <c r="T47" s="254">
        <v>10</v>
      </c>
      <c r="U47" s="254">
        <v>6</v>
      </c>
      <c r="V47" s="254" t="s">
        <v>201</v>
      </c>
      <c r="W47" s="254">
        <v>9</v>
      </c>
      <c r="X47" s="255">
        <f t="shared" ref="X47:X59" si="19">F47/N47</f>
        <v>0.89400000000000002</v>
      </c>
      <c r="Y47" s="255">
        <f t="shared" si="18"/>
        <v>-0.3</v>
      </c>
      <c r="Z47" s="255">
        <f t="shared" si="17"/>
        <v>8.8333333333333339</v>
      </c>
      <c r="AA47" s="255">
        <f t="shared" si="17"/>
        <v>3.2080000000000002</v>
      </c>
      <c r="AB47" s="255">
        <f t="shared" si="17"/>
        <v>1.8299999999999998</v>
      </c>
      <c r="AC47" s="255">
        <f t="shared" si="17"/>
        <v>4500</v>
      </c>
      <c r="AD47" s="255">
        <f t="shared" si="17"/>
        <v>0.37</v>
      </c>
      <c r="AE47" s="255">
        <f t="shared" si="13"/>
        <v>3.448275862068953E-2</v>
      </c>
      <c r="AF47" s="258">
        <f t="shared" si="14"/>
        <v>0.89400000000000002</v>
      </c>
      <c r="AG47" s="258">
        <f t="shared" si="14"/>
        <v>-0.3</v>
      </c>
      <c r="AH47" s="258">
        <f t="shared" si="14"/>
        <v>5.7306230960857274</v>
      </c>
      <c r="AI47" s="258">
        <f t="shared" si="14"/>
        <v>3.5311717980606296</v>
      </c>
      <c r="AJ47" s="258">
        <f t="shared" si="14"/>
        <v>2.3122554486521469</v>
      </c>
      <c r="AK47" s="258">
        <f t="shared" si="14"/>
        <v>19.266062568876716</v>
      </c>
      <c r="AL47" s="258">
        <f t="shared" si="14"/>
        <v>0.37</v>
      </c>
      <c r="AM47" s="258">
        <f t="shared" si="14"/>
        <v>3.448275862068953E-2</v>
      </c>
      <c r="AN47" s="273">
        <f t="shared" si="6"/>
        <v>3.9798244587869891</v>
      </c>
      <c r="AO47" s="274">
        <f t="shared" si="7"/>
        <v>19.266062568876716</v>
      </c>
      <c r="AP47" s="275">
        <f t="shared" ref="AP47:AQ59" si="20">POWER(AN47,2)</f>
        <v>15.839002722759151</v>
      </c>
      <c r="AQ47" s="275">
        <f t="shared" si="20"/>
        <v>371.18116690787247</v>
      </c>
      <c r="AR47" s="276">
        <f t="shared" si="9"/>
        <v>13.910790229721524</v>
      </c>
      <c r="AS47" s="280" t="str">
        <f t="shared" si="10"/>
        <v>berat</v>
      </c>
      <c r="AV47" s="305">
        <v>1</v>
      </c>
      <c r="AW47" s="303"/>
      <c r="AX47" s="301"/>
      <c r="AY47" s="298"/>
    </row>
    <row r="48" spans="1:51" ht="15" x14ac:dyDescent="0.2">
      <c r="A48" s="289">
        <v>34</v>
      </c>
      <c r="B48" s="278" t="s">
        <v>30</v>
      </c>
      <c r="C48" s="348" t="s">
        <v>276</v>
      </c>
      <c r="D48" s="348" t="s">
        <v>277</v>
      </c>
      <c r="E48" s="270" t="s">
        <v>301</v>
      </c>
      <c r="F48" s="352">
        <v>27.5</v>
      </c>
      <c r="G48" s="352">
        <v>4.7699999999999996</v>
      </c>
      <c r="H48" s="352">
        <v>22.4</v>
      </c>
      <c r="I48" s="352">
        <v>72.8</v>
      </c>
      <c r="J48" s="352">
        <v>0.47799999999999998</v>
      </c>
      <c r="K48" s="358">
        <v>5400000</v>
      </c>
      <c r="L48" s="288">
        <v>5.0999999999999996</v>
      </c>
      <c r="M48" s="288">
        <v>7.39</v>
      </c>
      <c r="N48" s="254">
        <v>50</v>
      </c>
      <c r="O48" s="254">
        <v>4</v>
      </c>
      <c r="P48" s="254">
        <v>3</v>
      </c>
      <c r="Q48" s="254">
        <v>25</v>
      </c>
      <c r="R48" s="254">
        <v>0.2</v>
      </c>
      <c r="S48" s="254">
        <v>1000</v>
      </c>
      <c r="T48" s="254">
        <v>10</v>
      </c>
      <c r="U48" s="254">
        <v>6</v>
      </c>
      <c r="V48" s="254" t="s">
        <v>201</v>
      </c>
      <c r="W48" s="254">
        <v>9</v>
      </c>
      <c r="X48" s="255">
        <f t="shared" si="19"/>
        <v>0.55000000000000004</v>
      </c>
      <c r="Y48" s="255">
        <f t="shared" si="18"/>
        <v>0.18583333333333338</v>
      </c>
      <c r="Z48" s="255">
        <f t="shared" si="17"/>
        <v>7.4666666666666659</v>
      </c>
      <c r="AA48" s="255">
        <f t="shared" si="17"/>
        <v>2.9119999999999999</v>
      </c>
      <c r="AB48" s="255">
        <f t="shared" si="17"/>
        <v>2.3899999999999997</v>
      </c>
      <c r="AC48" s="255">
        <f t="shared" si="17"/>
        <v>5400</v>
      </c>
      <c r="AD48" s="255">
        <f t="shared" si="17"/>
        <v>0.51</v>
      </c>
      <c r="AE48" s="255">
        <f t="shared" si="13"/>
        <v>7.9136690647482258E-2</v>
      </c>
      <c r="AF48" s="258">
        <f t="shared" si="14"/>
        <v>0.55000000000000004</v>
      </c>
      <c r="AG48" s="258">
        <f t="shared" si="14"/>
        <v>0.18583333333333338</v>
      </c>
      <c r="AH48" s="258">
        <f t="shared" si="14"/>
        <v>5.3656338180725021</v>
      </c>
      <c r="AI48" s="258">
        <f t="shared" si="14"/>
        <v>3.320956853204998</v>
      </c>
      <c r="AJ48" s="258">
        <f t="shared" si="14"/>
        <v>2.8919895047406881</v>
      </c>
      <c r="AK48" s="258">
        <f t="shared" si="14"/>
        <v>19.661968799114842</v>
      </c>
      <c r="AL48" s="258">
        <f t="shared" si="14"/>
        <v>0.51</v>
      </c>
      <c r="AM48" s="258">
        <f t="shared" si="14"/>
        <v>7.9136690647482258E-2</v>
      </c>
      <c r="AN48" s="273">
        <f t="shared" si="6"/>
        <v>4.0706898748892302</v>
      </c>
      <c r="AO48" s="274">
        <f t="shared" si="7"/>
        <v>19.661968799114842</v>
      </c>
      <c r="AP48" s="275">
        <f t="shared" si="20"/>
        <v>16.570516057525698</v>
      </c>
      <c r="AQ48" s="275">
        <f t="shared" si="20"/>
        <v>386.59301705736556</v>
      </c>
      <c r="AR48" s="276">
        <f t="shared" si="9"/>
        <v>14.197949378605546</v>
      </c>
      <c r="AS48" s="280" t="str">
        <f t="shared" si="10"/>
        <v>berat</v>
      </c>
      <c r="AV48" s="305">
        <v>1</v>
      </c>
      <c r="AW48" s="303"/>
      <c r="AX48" s="301"/>
      <c r="AY48" s="298"/>
    </row>
    <row r="49" spans="1:51" ht="15" x14ac:dyDescent="0.2">
      <c r="A49" s="289">
        <v>35</v>
      </c>
      <c r="B49" s="278" t="s">
        <v>31</v>
      </c>
      <c r="C49" s="348" t="s">
        <v>278</v>
      </c>
      <c r="D49" s="348" t="s">
        <v>279</v>
      </c>
      <c r="E49" s="270" t="s">
        <v>301</v>
      </c>
      <c r="F49" s="352">
        <v>29</v>
      </c>
      <c r="G49" s="284">
        <v>1.96</v>
      </c>
      <c r="H49" s="352">
        <v>40.799999999999997</v>
      </c>
      <c r="I49" s="352">
        <v>162</v>
      </c>
      <c r="J49" s="352">
        <v>0.60799999999999998</v>
      </c>
      <c r="K49" s="358">
        <v>8600000</v>
      </c>
      <c r="L49" s="288">
        <v>2.2999999999999998</v>
      </c>
      <c r="M49" s="288">
        <v>7.3</v>
      </c>
      <c r="N49" s="254">
        <v>50</v>
      </c>
      <c r="O49" s="254">
        <v>4</v>
      </c>
      <c r="P49" s="254">
        <v>3</v>
      </c>
      <c r="Q49" s="254">
        <v>25</v>
      </c>
      <c r="R49" s="254">
        <v>0.2</v>
      </c>
      <c r="S49" s="254">
        <v>1000</v>
      </c>
      <c r="T49" s="254">
        <v>10</v>
      </c>
      <c r="U49" s="254">
        <v>6</v>
      </c>
      <c r="V49" s="254" t="s">
        <v>201</v>
      </c>
      <c r="W49" s="254">
        <v>9</v>
      </c>
      <c r="X49" s="255">
        <f t="shared" si="19"/>
        <v>0.57999999999999996</v>
      </c>
      <c r="Y49" s="255">
        <f t="shared" si="18"/>
        <v>0.42</v>
      </c>
      <c r="Z49" s="255">
        <f t="shared" si="17"/>
        <v>13.6</v>
      </c>
      <c r="AA49" s="255">
        <f t="shared" si="17"/>
        <v>6.48</v>
      </c>
      <c r="AB49" s="255">
        <f t="shared" si="17"/>
        <v>3.0399999999999996</v>
      </c>
      <c r="AC49" s="255">
        <f t="shared" si="17"/>
        <v>8600</v>
      </c>
      <c r="AD49" s="255">
        <f t="shared" si="17"/>
        <v>0.22999999999999998</v>
      </c>
      <c r="AE49" s="255">
        <f t="shared" si="13"/>
        <v>0.15384615384615399</v>
      </c>
      <c r="AF49" s="258">
        <f t="shared" si="14"/>
        <v>0.57999999999999996</v>
      </c>
      <c r="AG49" s="258">
        <f t="shared" si="14"/>
        <v>0.42</v>
      </c>
      <c r="AH49" s="258">
        <f t="shared" si="14"/>
        <v>6.6676945418510876</v>
      </c>
      <c r="AI49" s="258">
        <f t="shared" si="14"/>
        <v>5.0578750293529673</v>
      </c>
      <c r="AJ49" s="258">
        <f t="shared" si="14"/>
        <v>3.4143679180437685</v>
      </c>
      <c r="AK49" s="258">
        <f t="shared" si="14"/>
        <v>20.67249225621784</v>
      </c>
      <c r="AL49" s="258">
        <f t="shared" si="14"/>
        <v>0.22999999999999998</v>
      </c>
      <c r="AM49" s="258">
        <f t="shared" si="14"/>
        <v>0.15384615384615399</v>
      </c>
      <c r="AN49" s="273">
        <f t="shared" si="6"/>
        <v>4.6495344874139768</v>
      </c>
      <c r="AO49" s="274">
        <f t="shared" si="7"/>
        <v>20.67249225621784</v>
      </c>
      <c r="AP49" s="275">
        <f t="shared" si="20"/>
        <v>21.618170949651951</v>
      </c>
      <c r="AQ49" s="275">
        <f t="shared" si="20"/>
        <v>427.35193608338653</v>
      </c>
      <c r="AR49" s="276">
        <f t="shared" si="9"/>
        <v>14.982825284855965</v>
      </c>
      <c r="AS49" s="280" t="str">
        <f t="shared" si="10"/>
        <v>berat</v>
      </c>
      <c r="AV49" s="305">
        <v>1</v>
      </c>
      <c r="AW49" s="303"/>
      <c r="AX49" s="301"/>
      <c r="AY49" s="298"/>
    </row>
    <row r="50" spans="1:51" ht="15" x14ac:dyDescent="0.2">
      <c r="A50" s="267">
        <v>36</v>
      </c>
      <c r="B50" s="278" t="s">
        <v>32</v>
      </c>
      <c r="C50" s="348" t="s">
        <v>289</v>
      </c>
      <c r="D50" s="348" t="s">
        <v>280</v>
      </c>
      <c r="E50" s="270" t="s">
        <v>301</v>
      </c>
      <c r="F50" s="352">
        <v>23.7</v>
      </c>
      <c r="G50" s="284">
        <v>3.14</v>
      </c>
      <c r="H50" s="352">
        <v>20.399999999999999</v>
      </c>
      <c r="I50" s="352">
        <v>76.5</v>
      </c>
      <c r="J50" s="352">
        <v>0.53100000000000003</v>
      </c>
      <c r="K50" s="358">
        <v>1700000</v>
      </c>
      <c r="L50" s="288">
        <v>1.8</v>
      </c>
      <c r="M50" s="288">
        <v>7.34</v>
      </c>
      <c r="N50" s="254">
        <v>50</v>
      </c>
      <c r="O50" s="254">
        <v>4</v>
      </c>
      <c r="P50" s="254">
        <v>3</v>
      </c>
      <c r="Q50" s="254">
        <v>25</v>
      </c>
      <c r="R50" s="254">
        <v>0.2</v>
      </c>
      <c r="S50" s="254">
        <v>1000</v>
      </c>
      <c r="T50" s="254">
        <v>10</v>
      </c>
      <c r="U50" s="254">
        <v>6</v>
      </c>
      <c r="V50" s="254" t="s">
        <v>201</v>
      </c>
      <c r="W50" s="254">
        <v>9</v>
      </c>
      <c r="X50" s="255">
        <f t="shared" si="19"/>
        <v>0.47399999999999998</v>
      </c>
      <c r="Y50" s="255">
        <f t="shared" si="18"/>
        <v>0.32166666666666666</v>
      </c>
      <c r="Z50" s="255">
        <f t="shared" si="17"/>
        <v>6.8</v>
      </c>
      <c r="AA50" s="255">
        <f t="shared" si="17"/>
        <v>3.06</v>
      </c>
      <c r="AB50" s="255">
        <f t="shared" si="17"/>
        <v>2.6549999999999998</v>
      </c>
      <c r="AC50" s="255">
        <f t="shared" si="17"/>
        <v>1700</v>
      </c>
      <c r="AD50" s="255">
        <f t="shared" si="17"/>
        <v>0.18</v>
      </c>
      <c r="AE50" s="255">
        <f t="shared" si="13"/>
        <v>0.11940298507462699</v>
      </c>
      <c r="AF50" s="258">
        <f t="shared" si="14"/>
        <v>0.47399999999999998</v>
      </c>
      <c r="AG50" s="258">
        <f t="shared" si="14"/>
        <v>0.32166666666666666</v>
      </c>
      <c r="AH50" s="258">
        <f t="shared" si="14"/>
        <v>5.1625445635311813</v>
      </c>
      <c r="AI50" s="258">
        <f t="shared" si="14"/>
        <v>3.4286071324079002</v>
      </c>
      <c r="AJ50" s="258">
        <f t="shared" si="14"/>
        <v>3.1203226270874391</v>
      </c>
      <c r="AK50" s="258">
        <f t="shared" si="14"/>
        <v>17.152244606891372</v>
      </c>
      <c r="AL50" s="258">
        <f t="shared" si="14"/>
        <v>0.18</v>
      </c>
      <c r="AM50" s="258">
        <f t="shared" si="14"/>
        <v>0.11940298507462699</v>
      </c>
      <c r="AN50" s="273">
        <f t="shared" si="6"/>
        <v>3.7448485727073981</v>
      </c>
      <c r="AO50" s="274">
        <f t="shared" si="7"/>
        <v>17.152244606891372</v>
      </c>
      <c r="AP50" s="275">
        <f t="shared" si="20"/>
        <v>14.023890832508638</v>
      </c>
      <c r="AQ50" s="275">
        <f t="shared" si="20"/>
        <v>294.19949505463416</v>
      </c>
      <c r="AR50" s="276">
        <f t="shared" si="9"/>
        <v>12.414173067247427</v>
      </c>
      <c r="AS50" s="280" t="str">
        <f t="shared" si="10"/>
        <v>berat</v>
      </c>
      <c r="AV50" s="305">
        <v>1</v>
      </c>
      <c r="AW50" s="303"/>
      <c r="AX50" s="301"/>
      <c r="AY50" s="298"/>
    </row>
    <row r="51" spans="1:51" ht="15" x14ac:dyDescent="0.2">
      <c r="A51" s="289">
        <v>37</v>
      </c>
      <c r="B51" s="278" t="s">
        <v>260</v>
      </c>
      <c r="C51" s="348" t="s">
        <v>269</v>
      </c>
      <c r="D51" s="348" t="s">
        <v>268</v>
      </c>
      <c r="E51" s="270" t="s">
        <v>301</v>
      </c>
      <c r="F51" s="352">
        <v>32.299999999999997</v>
      </c>
      <c r="G51" s="352">
        <v>8.06</v>
      </c>
      <c r="H51" s="352">
        <v>16.3</v>
      </c>
      <c r="I51" s="352">
        <v>50.4</v>
      </c>
      <c r="J51" s="352">
        <v>0.34</v>
      </c>
      <c r="K51" s="358">
        <v>4400000</v>
      </c>
      <c r="L51" s="288">
        <v>3</v>
      </c>
      <c r="M51" s="288">
        <v>7.59</v>
      </c>
      <c r="N51" s="254">
        <v>50</v>
      </c>
      <c r="O51" s="254">
        <v>4</v>
      </c>
      <c r="P51" s="254">
        <v>3</v>
      </c>
      <c r="Q51" s="254">
        <v>25</v>
      </c>
      <c r="R51" s="254">
        <v>0.2</v>
      </c>
      <c r="S51" s="254">
        <v>1000</v>
      </c>
      <c r="T51" s="254">
        <v>10</v>
      </c>
      <c r="U51" s="254">
        <v>6</v>
      </c>
      <c r="V51" s="254" t="s">
        <v>201</v>
      </c>
      <c r="W51" s="254">
        <v>9</v>
      </c>
      <c r="X51" s="255">
        <f t="shared" si="19"/>
        <v>0.64599999999999991</v>
      </c>
      <c r="Y51" s="255">
        <f t="shared" si="18"/>
        <v>-8.8333333333333375E-2</v>
      </c>
      <c r="Z51" s="255">
        <f t="shared" si="17"/>
        <v>5.4333333333333336</v>
      </c>
      <c r="AA51" s="255">
        <f t="shared" si="17"/>
        <v>2.016</v>
      </c>
      <c r="AB51" s="255">
        <f t="shared" si="17"/>
        <v>1.7</v>
      </c>
      <c r="AC51" s="255">
        <f t="shared" si="17"/>
        <v>4400</v>
      </c>
      <c r="AD51" s="255">
        <f t="shared" si="17"/>
        <v>0.3</v>
      </c>
      <c r="AE51" s="255">
        <f t="shared" si="13"/>
        <v>6.3829787234042451E-2</v>
      </c>
      <c r="AF51" s="258">
        <f t="shared" si="14"/>
        <v>0.64599999999999991</v>
      </c>
      <c r="AG51" s="258">
        <f t="shared" si="14"/>
        <v>-8.8333333333333375E-2</v>
      </c>
      <c r="AH51" s="258">
        <f t="shared" si="14"/>
        <v>4.6753317484214776</v>
      </c>
      <c r="AI51" s="258">
        <f t="shared" si="14"/>
        <v>2.5224526388674384</v>
      </c>
      <c r="AJ51" s="258">
        <f t="shared" si="14"/>
        <v>2.1522446068913696</v>
      </c>
      <c r="AK51" s="258">
        <f t="shared" si="14"/>
        <v>19.217263382430936</v>
      </c>
      <c r="AL51" s="258">
        <f t="shared" si="14"/>
        <v>0.3</v>
      </c>
      <c r="AM51" s="258">
        <f t="shared" si="14"/>
        <v>6.3829787234042451E-2</v>
      </c>
      <c r="AN51" s="273">
        <f t="shared" si="6"/>
        <v>3.6860986038139911</v>
      </c>
      <c r="AO51" s="274">
        <f t="shared" si="7"/>
        <v>19.217263382430936</v>
      </c>
      <c r="AP51" s="275">
        <f t="shared" si="20"/>
        <v>13.587322917039454</v>
      </c>
      <c r="AQ51" s="275">
        <f t="shared" si="20"/>
        <v>369.30321190972091</v>
      </c>
      <c r="AR51" s="276">
        <f t="shared" si="9"/>
        <v>13.836374793036656</v>
      </c>
      <c r="AS51" s="280" t="str">
        <f t="shared" si="10"/>
        <v>berat</v>
      </c>
      <c r="AV51" s="305">
        <v>1</v>
      </c>
      <c r="AW51" s="303"/>
      <c r="AX51" s="301"/>
      <c r="AY51" s="298"/>
    </row>
    <row r="52" spans="1:51" ht="15" x14ac:dyDescent="0.2">
      <c r="A52" s="267">
        <v>38</v>
      </c>
      <c r="B52" s="349" t="s">
        <v>261</v>
      </c>
      <c r="C52" s="348" t="s">
        <v>271</v>
      </c>
      <c r="D52" s="348" t="s">
        <v>270</v>
      </c>
      <c r="E52" s="270" t="s">
        <v>301</v>
      </c>
      <c r="F52" s="353">
        <v>17.3</v>
      </c>
      <c r="G52" s="352">
        <v>6.12</v>
      </c>
      <c r="H52" s="352">
        <v>14.3</v>
      </c>
      <c r="I52" s="352">
        <v>42.9</v>
      </c>
      <c r="J52" s="352">
        <v>0.48699999999999999</v>
      </c>
      <c r="K52" s="358">
        <v>2900000</v>
      </c>
      <c r="L52" s="288">
        <v>1.8</v>
      </c>
      <c r="M52" s="288">
        <v>7.56</v>
      </c>
      <c r="N52" s="254">
        <v>50</v>
      </c>
      <c r="O52" s="254">
        <v>4</v>
      </c>
      <c r="P52" s="254">
        <v>3</v>
      </c>
      <c r="Q52" s="254">
        <v>25</v>
      </c>
      <c r="R52" s="254">
        <v>0.2</v>
      </c>
      <c r="S52" s="254">
        <v>1000</v>
      </c>
      <c r="T52" s="254">
        <v>10</v>
      </c>
      <c r="U52" s="254">
        <v>6</v>
      </c>
      <c r="V52" s="254" t="s">
        <v>201</v>
      </c>
      <c r="W52" s="254">
        <v>9</v>
      </c>
      <c r="X52" s="255">
        <f t="shared" si="19"/>
        <v>0.34600000000000003</v>
      </c>
      <c r="Y52" s="255">
        <f t="shared" si="18"/>
        <v>7.333333333333332E-2</v>
      </c>
      <c r="Z52" s="255">
        <f t="shared" si="17"/>
        <v>4.7666666666666666</v>
      </c>
      <c r="AA52" s="255">
        <f t="shared" si="17"/>
        <v>1.716</v>
      </c>
      <c r="AB52" s="255">
        <f t="shared" si="17"/>
        <v>2.4349999999999996</v>
      </c>
      <c r="AC52" s="255">
        <f t="shared" si="17"/>
        <v>2900</v>
      </c>
      <c r="AD52" s="255">
        <f t="shared" si="17"/>
        <v>0.18</v>
      </c>
      <c r="AE52" s="255">
        <f t="shared" si="13"/>
        <v>4.1666666666666387E-2</v>
      </c>
      <c r="AF52" s="258">
        <f t="shared" si="14"/>
        <v>0.34600000000000003</v>
      </c>
      <c r="AG52" s="258">
        <f t="shared" si="14"/>
        <v>7.333333333333332E-2</v>
      </c>
      <c r="AH52" s="258">
        <f t="shared" si="14"/>
        <v>4.3910739137269967</v>
      </c>
      <c r="AI52" s="258">
        <f t="shared" si="14"/>
        <v>2.1725864175634331</v>
      </c>
      <c r="AJ52" s="258">
        <f t="shared" si="14"/>
        <v>2.9324948277532652</v>
      </c>
      <c r="AK52" s="258">
        <f t="shared" si="14"/>
        <v>18.31198998949478</v>
      </c>
      <c r="AL52" s="258">
        <f t="shared" si="14"/>
        <v>0.18</v>
      </c>
      <c r="AM52" s="258">
        <f t="shared" si="14"/>
        <v>4.1666666666666387E-2</v>
      </c>
      <c r="AN52" s="273">
        <f t="shared" si="6"/>
        <v>3.5561431435673092</v>
      </c>
      <c r="AO52" s="274">
        <f t="shared" si="7"/>
        <v>18.31198998949478</v>
      </c>
      <c r="AP52" s="275">
        <f t="shared" si="20"/>
        <v>12.646154057540784</v>
      </c>
      <c r="AQ52" s="275">
        <f t="shared" si="20"/>
        <v>335.32897737535706</v>
      </c>
      <c r="AR52" s="276">
        <f t="shared" si="9"/>
        <v>13.190434629550648</v>
      </c>
      <c r="AS52" s="280" t="str">
        <f t="shared" si="10"/>
        <v>berat</v>
      </c>
      <c r="AV52" s="305">
        <v>1</v>
      </c>
      <c r="AW52" s="303"/>
      <c r="AX52" s="301"/>
      <c r="AY52" s="298"/>
    </row>
    <row r="53" spans="1:51" ht="15" x14ac:dyDescent="0.2">
      <c r="A53" s="267">
        <v>39</v>
      </c>
      <c r="B53" s="278" t="s">
        <v>262</v>
      </c>
      <c r="C53" s="348" t="s">
        <v>272</v>
      </c>
      <c r="D53" s="348" t="s">
        <v>273</v>
      </c>
      <c r="E53" s="270" t="s">
        <v>301</v>
      </c>
      <c r="F53" s="352">
        <v>66</v>
      </c>
      <c r="G53" s="352">
        <v>6.07</v>
      </c>
      <c r="H53" s="352">
        <v>54</v>
      </c>
      <c r="I53" s="352">
        <v>200</v>
      </c>
      <c r="J53" s="352">
        <v>0.49299999999999999</v>
      </c>
      <c r="K53" s="358">
        <v>700000</v>
      </c>
      <c r="L53" s="288">
        <v>1.6</v>
      </c>
      <c r="M53" s="288">
        <v>7.75</v>
      </c>
      <c r="N53" s="254">
        <v>50</v>
      </c>
      <c r="O53" s="254">
        <v>4</v>
      </c>
      <c r="P53" s="254">
        <v>3</v>
      </c>
      <c r="Q53" s="254">
        <v>25</v>
      </c>
      <c r="R53" s="254">
        <v>0.2</v>
      </c>
      <c r="S53" s="254">
        <v>1000</v>
      </c>
      <c r="T53" s="254">
        <v>10</v>
      </c>
      <c r="U53" s="254">
        <v>6</v>
      </c>
      <c r="V53" s="254" t="s">
        <v>201</v>
      </c>
      <c r="W53" s="254">
        <v>9</v>
      </c>
      <c r="X53" s="255">
        <f t="shared" si="19"/>
        <v>1.32</v>
      </c>
      <c r="Y53" s="255">
        <f t="shared" si="18"/>
        <v>7.7499999999999972E-2</v>
      </c>
      <c r="Z53" s="255">
        <f t="shared" si="17"/>
        <v>18</v>
      </c>
      <c r="AA53" s="255">
        <f t="shared" si="17"/>
        <v>8</v>
      </c>
      <c r="AB53" s="255">
        <f t="shared" si="17"/>
        <v>2.4649999999999999</v>
      </c>
      <c r="AC53" s="255">
        <f t="shared" si="17"/>
        <v>700</v>
      </c>
      <c r="AD53" s="255">
        <f t="shared" si="17"/>
        <v>0.16</v>
      </c>
      <c r="AE53" s="255">
        <f t="shared" si="13"/>
        <v>0.2</v>
      </c>
      <c r="AF53" s="258">
        <f t="shared" si="14"/>
        <v>1.6028696560292495</v>
      </c>
      <c r="AG53" s="258">
        <f t="shared" si="14"/>
        <v>7.7499999999999972E-2</v>
      </c>
      <c r="AH53" s="258">
        <f t="shared" si="14"/>
        <v>7.2763625255165305</v>
      </c>
      <c r="AI53" s="258">
        <f t="shared" si="14"/>
        <v>5.5154499349597179</v>
      </c>
      <c r="AJ53" s="258">
        <f t="shared" si="14"/>
        <v>2.9590846180662438</v>
      </c>
      <c r="AK53" s="258">
        <f t="shared" si="14"/>
        <v>15.225490200071285</v>
      </c>
      <c r="AL53" s="258">
        <f t="shared" si="14"/>
        <v>0.16</v>
      </c>
      <c r="AM53" s="258">
        <f t="shared" si="14"/>
        <v>0.2</v>
      </c>
      <c r="AN53" s="273">
        <f t="shared" si="6"/>
        <v>4.1270946168303784</v>
      </c>
      <c r="AO53" s="274">
        <f t="shared" si="7"/>
        <v>15.225490200071285</v>
      </c>
      <c r="AP53" s="275">
        <f t="shared" si="20"/>
        <v>17.032909976270286</v>
      </c>
      <c r="AQ53" s="275">
        <f t="shared" si="20"/>
        <v>231.81555183246672</v>
      </c>
      <c r="AR53" s="276">
        <f t="shared" si="9"/>
        <v>11.154560991108905</v>
      </c>
      <c r="AS53" s="280" t="str">
        <f t="shared" si="10"/>
        <v>berat</v>
      </c>
      <c r="AV53" s="305">
        <v>1</v>
      </c>
      <c r="AW53" s="303"/>
      <c r="AX53" s="301"/>
      <c r="AY53" s="298"/>
    </row>
    <row r="54" spans="1:51" ht="15" x14ac:dyDescent="0.2">
      <c r="A54" s="267">
        <v>40</v>
      </c>
      <c r="B54" s="278" t="s">
        <v>33</v>
      </c>
      <c r="C54" s="348" t="s">
        <v>274</v>
      </c>
      <c r="D54" s="348" t="s">
        <v>275</v>
      </c>
      <c r="E54" s="270" t="s">
        <v>301</v>
      </c>
      <c r="F54" s="352">
        <v>37.5</v>
      </c>
      <c r="G54" s="352">
        <v>8.01</v>
      </c>
      <c r="H54" s="352">
        <v>24.4</v>
      </c>
      <c r="I54" s="352">
        <v>71.8</v>
      </c>
      <c r="J54" s="352">
        <v>0.52100000000000002</v>
      </c>
      <c r="K54" s="358">
        <v>8700000</v>
      </c>
      <c r="L54" s="288">
        <v>3.55</v>
      </c>
      <c r="M54" s="288">
        <v>7.61</v>
      </c>
      <c r="N54" s="254">
        <v>50</v>
      </c>
      <c r="O54" s="254">
        <v>4</v>
      </c>
      <c r="P54" s="254">
        <v>3</v>
      </c>
      <c r="Q54" s="254">
        <v>25</v>
      </c>
      <c r="R54" s="254">
        <v>0.2</v>
      </c>
      <c r="S54" s="254">
        <v>1000</v>
      </c>
      <c r="T54" s="254">
        <v>10</v>
      </c>
      <c r="U54" s="254">
        <v>6</v>
      </c>
      <c r="V54" s="254" t="s">
        <v>201</v>
      </c>
      <c r="W54" s="254">
        <v>9</v>
      </c>
      <c r="X54" s="255">
        <f t="shared" si="19"/>
        <v>0.75</v>
      </c>
      <c r="Y54" s="255">
        <f t="shared" si="18"/>
        <v>-8.4166666666666654E-2</v>
      </c>
      <c r="Z54" s="255">
        <f t="shared" si="17"/>
        <v>8.1333333333333329</v>
      </c>
      <c r="AA54" s="255">
        <f t="shared" si="17"/>
        <v>2.8719999999999999</v>
      </c>
      <c r="AB54" s="255">
        <f t="shared" si="17"/>
        <v>2.605</v>
      </c>
      <c r="AC54" s="255">
        <f t="shared" si="17"/>
        <v>8700</v>
      </c>
      <c r="AD54" s="255">
        <f t="shared" si="17"/>
        <v>0.35499999999999998</v>
      </c>
      <c r="AE54" s="255">
        <f t="shared" si="13"/>
        <v>7.9136690647482258E-2</v>
      </c>
      <c r="AF54" s="258">
        <f t="shared" si="14"/>
        <v>0.75</v>
      </c>
      <c r="AG54" s="258">
        <f t="shared" si="14"/>
        <v>-8.4166666666666654E-2</v>
      </c>
      <c r="AH54" s="258">
        <f t="shared" si="14"/>
        <v>5.5513428580953343</v>
      </c>
      <c r="AI54" s="258">
        <f t="shared" si="14"/>
        <v>3.2909221778513138</v>
      </c>
      <c r="AJ54" s="258">
        <f t="shared" si="14"/>
        <v>3.0790386381777166</v>
      </c>
      <c r="AK54" s="258">
        <f t="shared" si="14"/>
        <v>20.697596263093093</v>
      </c>
      <c r="AL54" s="258">
        <f t="shared" si="14"/>
        <v>0.35499999999999998</v>
      </c>
      <c r="AM54" s="258">
        <f t="shared" si="14"/>
        <v>7.9136690647482258E-2</v>
      </c>
      <c r="AN54" s="273">
        <f t="shared" si="6"/>
        <v>4.2148587451497832</v>
      </c>
      <c r="AO54" s="274">
        <f t="shared" si="7"/>
        <v>20.697596263093093</v>
      </c>
      <c r="AP54" s="275">
        <f t="shared" si="20"/>
        <v>17.765034241565605</v>
      </c>
      <c r="AQ54" s="275">
        <f t="shared" si="20"/>
        <v>428.39049107000517</v>
      </c>
      <c r="AR54" s="276">
        <f t="shared" si="9"/>
        <v>14.935787982419454</v>
      </c>
      <c r="AS54" s="280" t="str">
        <f t="shared" si="10"/>
        <v>berat</v>
      </c>
      <c r="AV54" s="305">
        <v>1</v>
      </c>
      <c r="AW54" s="303"/>
      <c r="AX54" s="301"/>
      <c r="AY54" s="298"/>
    </row>
    <row r="55" spans="1:51" ht="15" x14ac:dyDescent="0.2">
      <c r="A55" s="267">
        <v>41</v>
      </c>
      <c r="B55" s="278" t="s">
        <v>34</v>
      </c>
      <c r="C55" s="348" t="s">
        <v>290</v>
      </c>
      <c r="D55" s="348" t="s">
        <v>291</v>
      </c>
      <c r="E55" s="270" t="s">
        <v>301</v>
      </c>
      <c r="F55" s="352">
        <v>55</v>
      </c>
      <c r="G55" s="352">
        <v>7.02</v>
      </c>
      <c r="H55" s="352">
        <v>26.5</v>
      </c>
      <c r="I55" s="352">
        <v>76.5</v>
      </c>
      <c r="J55" s="352">
        <v>0.63600000000000001</v>
      </c>
      <c r="K55" s="358">
        <v>12300000</v>
      </c>
      <c r="L55" s="288">
        <v>2.9</v>
      </c>
      <c r="M55" s="288">
        <v>7.63</v>
      </c>
      <c r="N55" s="254">
        <v>50</v>
      </c>
      <c r="O55" s="254">
        <v>4</v>
      </c>
      <c r="P55" s="254">
        <v>3</v>
      </c>
      <c r="Q55" s="254">
        <v>25</v>
      </c>
      <c r="R55" s="254">
        <v>0.2</v>
      </c>
      <c r="S55" s="254">
        <v>1000</v>
      </c>
      <c r="T55" s="254">
        <v>10</v>
      </c>
      <c r="U55" s="254">
        <v>6</v>
      </c>
      <c r="V55" s="254" t="s">
        <v>201</v>
      </c>
      <c r="W55" s="254">
        <v>9</v>
      </c>
      <c r="X55" s="255">
        <f t="shared" si="19"/>
        <v>1.1000000000000001</v>
      </c>
      <c r="Y55" s="255">
        <f t="shared" si="18"/>
        <v>-1.6666666666666312E-3</v>
      </c>
      <c r="Z55" s="255">
        <f t="shared" si="17"/>
        <v>8.8333333333333339</v>
      </c>
      <c r="AA55" s="255">
        <f t="shared" si="17"/>
        <v>3.06</v>
      </c>
      <c r="AB55" s="255">
        <f t="shared" si="17"/>
        <v>3.1799999999999997</v>
      </c>
      <c r="AC55" s="255">
        <f t="shared" si="17"/>
        <v>12300</v>
      </c>
      <c r="AD55" s="255">
        <f t="shared" si="17"/>
        <v>0.28999999999999998</v>
      </c>
      <c r="AE55" s="255">
        <f t="shared" si="13"/>
        <v>9.4890510948905021E-2</v>
      </c>
      <c r="AF55" s="258">
        <f t="shared" si="14"/>
        <v>1.2069634257911255</v>
      </c>
      <c r="AG55" s="258">
        <f t="shared" si="14"/>
        <v>-1.6666666666666312E-3</v>
      </c>
      <c r="AH55" s="258">
        <f t="shared" si="14"/>
        <v>5.7306230960857274</v>
      </c>
      <c r="AI55" s="258">
        <f t="shared" si="14"/>
        <v>3.4286071324079002</v>
      </c>
      <c r="AJ55" s="258">
        <f t="shared" si="14"/>
        <v>3.5121355999221633</v>
      </c>
      <c r="AK55" s="258">
        <f t="shared" si="14"/>
        <v>21.449525557196992</v>
      </c>
      <c r="AL55" s="258">
        <f t="shared" si="14"/>
        <v>0.28999999999999998</v>
      </c>
      <c r="AM55" s="258">
        <f t="shared" si="14"/>
        <v>9.4890510948905021E-2</v>
      </c>
      <c r="AN55" s="273">
        <f t="shared" si="6"/>
        <v>4.4638848319607689</v>
      </c>
      <c r="AO55" s="274">
        <f t="shared" si="7"/>
        <v>21.449525557196992</v>
      </c>
      <c r="AP55" s="275">
        <f t="shared" si="20"/>
        <v>19.926267793009423</v>
      </c>
      <c r="AQ55" s="275">
        <f t="shared" si="20"/>
        <v>460.08214662884694</v>
      </c>
      <c r="AR55" s="276">
        <f t="shared" si="9"/>
        <v>15.492069171383408</v>
      </c>
      <c r="AS55" s="280" t="str">
        <f t="shared" si="10"/>
        <v>berat</v>
      </c>
      <c r="AV55" s="305">
        <v>1</v>
      </c>
      <c r="AW55" s="303"/>
      <c r="AX55" s="301"/>
      <c r="AY55" s="298"/>
    </row>
    <row r="56" spans="1:51" ht="15" x14ac:dyDescent="0.2">
      <c r="A56" s="267">
        <v>42</v>
      </c>
      <c r="B56" s="278" t="s">
        <v>54</v>
      </c>
      <c r="C56" s="348" t="s">
        <v>281</v>
      </c>
      <c r="D56" s="348" t="s">
        <v>282</v>
      </c>
      <c r="E56" s="270" t="s">
        <v>301</v>
      </c>
      <c r="F56" s="352">
        <v>68.900000000000006</v>
      </c>
      <c r="G56" s="284">
        <v>0.86</v>
      </c>
      <c r="H56" s="352">
        <v>42.8</v>
      </c>
      <c r="I56" s="352">
        <v>188</v>
      </c>
      <c r="J56" s="353">
        <v>0.88100000000000001</v>
      </c>
      <c r="K56" s="358">
        <v>20000000</v>
      </c>
      <c r="L56" s="288">
        <v>4</v>
      </c>
      <c r="M56" s="288">
        <v>7.38</v>
      </c>
      <c r="N56" s="254">
        <v>50</v>
      </c>
      <c r="O56" s="254">
        <v>4</v>
      </c>
      <c r="P56" s="254">
        <v>3</v>
      </c>
      <c r="Q56" s="254">
        <v>25</v>
      </c>
      <c r="R56" s="254">
        <v>0.2</v>
      </c>
      <c r="S56" s="254">
        <v>1000</v>
      </c>
      <c r="T56" s="254">
        <v>10</v>
      </c>
      <c r="U56" s="254">
        <v>6</v>
      </c>
      <c r="V56" s="254" t="s">
        <v>201</v>
      </c>
      <c r="W56" s="254">
        <v>9</v>
      </c>
      <c r="X56" s="255">
        <f t="shared" si="19"/>
        <v>1.3780000000000001</v>
      </c>
      <c r="Y56" s="255">
        <f t="shared" si="18"/>
        <v>0.5116666666666666</v>
      </c>
      <c r="Z56" s="255">
        <f t="shared" si="17"/>
        <v>14.266666666666666</v>
      </c>
      <c r="AA56" s="255">
        <f t="shared" si="17"/>
        <v>7.52</v>
      </c>
      <c r="AB56" s="255">
        <f t="shared" si="17"/>
        <v>4.4049999999999994</v>
      </c>
      <c r="AC56" s="255">
        <f t="shared" si="17"/>
        <v>20000</v>
      </c>
      <c r="AD56" s="255">
        <f t="shared" si="17"/>
        <v>0.4</v>
      </c>
      <c r="AE56" s="255">
        <f t="shared" si="13"/>
        <v>8.6956521739130516E-2</v>
      </c>
      <c r="AF56" s="258">
        <f t="shared" si="14"/>
        <v>1.6962460878580352</v>
      </c>
      <c r="AG56" s="258">
        <f t="shared" si="14"/>
        <v>0.5116666666666666</v>
      </c>
      <c r="AH56" s="258">
        <f t="shared" si="14"/>
        <v>6.7716125714675481</v>
      </c>
      <c r="AI56" s="258">
        <f t="shared" si="14"/>
        <v>5.3810892029582114</v>
      </c>
      <c r="AJ56" s="258">
        <f t="shared" si="14"/>
        <v>4.2197295637403336</v>
      </c>
      <c r="AK56" s="258">
        <f t="shared" si="14"/>
        <v>22.505149978319906</v>
      </c>
      <c r="AL56" s="258">
        <f t="shared" si="14"/>
        <v>0.4</v>
      </c>
      <c r="AM56" s="258">
        <f t="shared" si="14"/>
        <v>8.6956521739130516E-2</v>
      </c>
      <c r="AN56" s="273">
        <f t="shared" si="6"/>
        <v>5.1965563240937289</v>
      </c>
      <c r="AO56" s="274">
        <f t="shared" si="7"/>
        <v>22.505149978319906</v>
      </c>
      <c r="AP56" s="275">
        <f t="shared" si="20"/>
        <v>27.004197629478529</v>
      </c>
      <c r="AQ56" s="275">
        <f t="shared" si="20"/>
        <v>506.48177554667245</v>
      </c>
      <c r="AR56" s="276">
        <f t="shared" si="9"/>
        <v>16.332268262188062</v>
      </c>
      <c r="AS56" s="280" t="str">
        <f t="shared" si="10"/>
        <v>berat</v>
      </c>
      <c r="AV56" s="305">
        <v>1</v>
      </c>
      <c r="AW56" s="303"/>
      <c r="AX56" s="301"/>
      <c r="AY56" s="298"/>
    </row>
    <row r="57" spans="1:51" ht="15" x14ac:dyDescent="0.2">
      <c r="A57" s="267">
        <v>43</v>
      </c>
      <c r="B57" s="278" t="s">
        <v>27</v>
      </c>
      <c r="C57" s="348" t="s">
        <v>283</v>
      </c>
      <c r="D57" s="348" t="s">
        <v>284</v>
      </c>
      <c r="E57" s="270" t="s">
        <v>301</v>
      </c>
      <c r="F57" s="352">
        <v>33</v>
      </c>
      <c r="G57" s="352">
        <v>9.34</v>
      </c>
      <c r="H57" s="352">
        <v>22.4</v>
      </c>
      <c r="I57" s="352">
        <v>73.7</v>
      </c>
      <c r="J57" s="352">
        <v>0.51800000000000002</v>
      </c>
      <c r="K57" s="358">
        <v>600000</v>
      </c>
      <c r="L57" s="288">
        <v>5.5</v>
      </c>
      <c r="M57" s="288">
        <v>7.33</v>
      </c>
      <c r="N57" s="254">
        <v>50</v>
      </c>
      <c r="O57" s="254">
        <v>4</v>
      </c>
      <c r="P57" s="254">
        <v>3</v>
      </c>
      <c r="Q57" s="254">
        <v>25</v>
      </c>
      <c r="R57" s="254">
        <v>0.2</v>
      </c>
      <c r="S57" s="254">
        <v>1000</v>
      </c>
      <c r="T57" s="254">
        <v>10</v>
      </c>
      <c r="U57" s="254">
        <v>6</v>
      </c>
      <c r="V57" s="254" t="s">
        <v>201</v>
      </c>
      <c r="W57" s="254">
        <v>9</v>
      </c>
      <c r="X57" s="255">
        <f t="shared" si="19"/>
        <v>0.66</v>
      </c>
      <c r="Y57" s="255">
        <f t="shared" si="18"/>
        <v>-0.19499999999999998</v>
      </c>
      <c r="Z57" s="255">
        <f t="shared" si="17"/>
        <v>7.4666666666666659</v>
      </c>
      <c r="AA57" s="255">
        <f t="shared" si="17"/>
        <v>2.948</v>
      </c>
      <c r="AB57" s="255">
        <f t="shared" si="17"/>
        <v>2.59</v>
      </c>
      <c r="AC57" s="255">
        <f t="shared" si="17"/>
        <v>600</v>
      </c>
      <c r="AD57" s="255">
        <f t="shared" si="17"/>
        <v>0.55000000000000004</v>
      </c>
      <c r="AE57" s="255">
        <f t="shared" si="13"/>
        <v>0.12781954887218039</v>
      </c>
      <c r="AF57" s="258">
        <f t="shared" si="14"/>
        <v>0.66</v>
      </c>
      <c r="AG57" s="258">
        <f t="shared" si="14"/>
        <v>-0.19499999999999998</v>
      </c>
      <c r="AH57" s="258">
        <f t="shared" si="14"/>
        <v>5.3656338180725021</v>
      </c>
      <c r="AI57" s="258">
        <f t="shared" si="14"/>
        <v>3.3476373959350694</v>
      </c>
      <c r="AJ57" s="258">
        <f t="shared" si="14"/>
        <v>3.0664988204062591</v>
      </c>
      <c r="AK57" s="258">
        <f t="shared" si="14"/>
        <v>14.890756251918218</v>
      </c>
      <c r="AL57" s="258">
        <f t="shared" si="14"/>
        <v>0.55000000000000004</v>
      </c>
      <c r="AM57" s="258">
        <f t="shared" si="14"/>
        <v>0.12781954887218039</v>
      </c>
      <c r="AN57" s="273">
        <f t="shared" si="6"/>
        <v>3.4766682294005289</v>
      </c>
      <c r="AO57" s="274">
        <f t="shared" si="7"/>
        <v>14.890756251918218</v>
      </c>
      <c r="AP57" s="275">
        <f t="shared" si="20"/>
        <v>12.087221977323008</v>
      </c>
      <c r="AQ57" s="275">
        <f t="shared" si="20"/>
        <v>221.73462175404148</v>
      </c>
      <c r="AR57" s="276">
        <f t="shared" si="9"/>
        <v>10.812535404135435</v>
      </c>
      <c r="AS57" s="280" t="str">
        <f t="shared" si="10"/>
        <v>berat</v>
      </c>
      <c r="AV57" s="305">
        <v>1</v>
      </c>
      <c r="AW57" s="303"/>
      <c r="AX57" s="301"/>
      <c r="AY57" s="298"/>
    </row>
    <row r="58" spans="1:51" ht="15" x14ac:dyDescent="0.2">
      <c r="A58" s="267">
        <v>44</v>
      </c>
      <c r="B58" s="278" t="s">
        <v>28</v>
      </c>
      <c r="C58" s="348" t="s">
        <v>285</v>
      </c>
      <c r="D58" s="348" t="s">
        <v>286</v>
      </c>
      <c r="E58" s="270" t="s">
        <v>301</v>
      </c>
      <c r="F58" s="352">
        <v>55.8</v>
      </c>
      <c r="G58" s="352">
        <v>8.1300000000000008</v>
      </c>
      <c r="H58" s="352">
        <v>14.3</v>
      </c>
      <c r="I58" s="352">
        <v>46.6</v>
      </c>
      <c r="J58" s="352">
        <v>0.45400000000000001</v>
      </c>
      <c r="K58" s="358">
        <v>10900000</v>
      </c>
      <c r="L58" s="288">
        <v>4.3</v>
      </c>
      <c r="M58" s="288">
        <v>6.84</v>
      </c>
      <c r="N58" s="254">
        <v>50</v>
      </c>
      <c r="O58" s="254">
        <v>4</v>
      </c>
      <c r="P58" s="254">
        <v>3</v>
      </c>
      <c r="Q58" s="254">
        <v>25</v>
      </c>
      <c r="R58" s="254">
        <v>0.2</v>
      </c>
      <c r="S58" s="254">
        <v>1000</v>
      </c>
      <c r="T58" s="254">
        <v>10</v>
      </c>
      <c r="U58" s="254">
        <v>6</v>
      </c>
      <c r="V58" s="254" t="s">
        <v>201</v>
      </c>
      <c r="W58" s="254">
        <v>9</v>
      </c>
      <c r="X58" s="255">
        <f t="shared" si="19"/>
        <v>1.1159999999999999</v>
      </c>
      <c r="Y58" s="255">
        <f t="shared" si="18"/>
        <v>-9.4166666666666732E-2</v>
      </c>
      <c r="Z58" s="255">
        <f t="shared" si="17"/>
        <v>4.7666666666666666</v>
      </c>
      <c r="AA58" s="255">
        <f t="shared" si="17"/>
        <v>1.8640000000000001</v>
      </c>
      <c r="AB58" s="255">
        <f t="shared" si="17"/>
        <v>2.27</v>
      </c>
      <c r="AC58" s="255">
        <f t="shared" si="17"/>
        <v>10900</v>
      </c>
      <c r="AD58" s="255">
        <f t="shared" si="17"/>
        <v>0.43</v>
      </c>
      <c r="AE58" s="255">
        <f t="shared" si="13"/>
        <v>0.78571428571428603</v>
      </c>
      <c r="AF58" s="258">
        <f t="shared" si="14"/>
        <v>1.2383209730077995</v>
      </c>
      <c r="AG58" s="258">
        <f t="shared" si="14"/>
        <v>-9.4166666666666732E-2</v>
      </c>
      <c r="AH58" s="258">
        <f t="shared" si="14"/>
        <v>4.3910739137269967</v>
      </c>
      <c r="AI58" s="258">
        <f t="shared" si="14"/>
        <v>2.3522295400898132</v>
      </c>
      <c r="AJ58" s="258">
        <f t="shared" si="14"/>
        <v>2.7801292859656135</v>
      </c>
      <c r="AK58" s="258">
        <f t="shared" si="14"/>
        <v>21.187132489703117</v>
      </c>
      <c r="AL58" s="258">
        <f t="shared" si="14"/>
        <v>0.43</v>
      </c>
      <c r="AM58" s="258">
        <f t="shared" si="14"/>
        <v>0.78571428571428603</v>
      </c>
      <c r="AN58" s="273">
        <f t="shared" si="6"/>
        <v>4.1338042276926199</v>
      </c>
      <c r="AO58" s="274">
        <f t="shared" si="7"/>
        <v>21.187132489703117</v>
      </c>
      <c r="AP58" s="275">
        <f t="shared" si="20"/>
        <v>17.088337392889379</v>
      </c>
      <c r="AQ58" s="275">
        <f t="shared" si="20"/>
        <v>448.89458313623339</v>
      </c>
      <c r="AR58" s="276">
        <f t="shared" si="9"/>
        <v>15.264057791575652</v>
      </c>
      <c r="AS58" s="280" t="str">
        <f t="shared" si="10"/>
        <v>berat</v>
      </c>
      <c r="AV58" s="305">
        <v>1</v>
      </c>
      <c r="AW58" s="303"/>
      <c r="AX58" s="301"/>
      <c r="AY58" s="298"/>
    </row>
    <row r="59" spans="1:51" ht="15" x14ac:dyDescent="0.2">
      <c r="A59" s="267">
        <v>45</v>
      </c>
      <c r="B59" s="278" t="s">
        <v>29</v>
      </c>
      <c r="C59" s="348" t="s">
        <v>292</v>
      </c>
      <c r="D59" s="348" t="s">
        <v>293</v>
      </c>
      <c r="E59" s="270" t="s">
        <v>301</v>
      </c>
      <c r="F59" s="352">
        <v>54.2</v>
      </c>
      <c r="G59" s="352">
        <v>8.1999999999999993</v>
      </c>
      <c r="H59" s="352">
        <v>24.4</v>
      </c>
      <c r="I59" s="352">
        <v>76.5</v>
      </c>
      <c r="J59" s="352">
        <v>0.44900000000000001</v>
      </c>
      <c r="K59" s="358">
        <v>20000000</v>
      </c>
      <c r="L59" s="288">
        <v>1.7</v>
      </c>
      <c r="M59" s="288">
        <v>7.5</v>
      </c>
      <c r="N59" s="254">
        <v>50</v>
      </c>
      <c r="O59" s="254">
        <v>4</v>
      </c>
      <c r="P59" s="254">
        <v>3</v>
      </c>
      <c r="Q59" s="254">
        <v>25</v>
      </c>
      <c r="R59" s="254">
        <v>0.2</v>
      </c>
      <c r="S59" s="254">
        <v>1000</v>
      </c>
      <c r="T59" s="254">
        <v>10</v>
      </c>
      <c r="U59" s="254">
        <v>6</v>
      </c>
      <c r="V59" s="254" t="s">
        <v>201</v>
      </c>
      <c r="W59" s="254">
        <v>9</v>
      </c>
      <c r="X59" s="255">
        <f t="shared" si="19"/>
        <v>1.0840000000000001</v>
      </c>
      <c r="Y59" s="255">
        <f t="shared" si="18"/>
        <v>-9.9999999999999936E-2</v>
      </c>
      <c r="Z59" s="255">
        <f t="shared" si="17"/>
        <v>8.1333333333333329</v>
      </c>
      <c r="AA59" s="255">
        <f t="shared" si="17"/>
        <v>3.06</v>
      </c>
      <c r="AB59" s="255">
        <f t="shared" si="17"/>
        <v>2.2450000000000001</v>
      </c>
      <c r="AC59" s="255">
        <f t="shared" si="17"/>
        <v>20000</v>
      </c>
      <c r="AD59" s="255">
        <f t="shared" si="17"/>
        <v>0.16999999999999998</v>
      </c>
      <c r="AE59" s="255">
        <f t="shared" si="13"/>
        <v>0</v>
      </c>
      <c r="AF59" s="258">
        <f t="shared" si="14"/>
        <v>1.1751464110118408</v>
      </c>
      <c r="AG59" s="258">
        <f t="shared" si="14"/>
        <v>-9.9999999999999936E-2</v>
      </c>
      <c r="AH59" s="258">
        <f t="shared" si="14"/>
        <v>5.5513428580953343</v>
      </c>
      <c r="AI59" s="258">
        <f t="shared" si="14"/>
        <v>3.4286071324079002</v>
      </c>
      <c r="AJ59" s="258">
        <f t="shared" si="14"/>
        <v>2.7560817266967099</v>
      </c>
      <c r="AK59" s="258">
        <f t="shared" si="14"/>
        <v>22.505149978319906</v>
      </c>
      <c r="AL59" s="258">
        <f t="shared" si="14"/>
        <v>0.16999999999999998</v>
      </c>
      <c r="AM59" s="258">
        <f>IF(AE59&lt;1,AE59,(1+(5*(LOG10(AE59)))))</f>
        <v>0</v>
      </c>
      <c r="AN59" s="273">
        <f t="shared" si="6"/>
        <v>4.4357910133164618</v>
      </c>
      <c r="AO59" s="274">
        <f t="shared" si="7"/>
        <v>22.505149978319906</v>
      </c>
      <c r="AP59" s="275">
        <f t="shared" si="20"/>
        <v>19.676241913819084</v>
      </c>
      <c r="AQ59" s="275">
        <f t="shared" si="20"/>
        <v>506.48177554667245</v>
      </c>
      <c r="AR59" s="276">
        <f t="shared" si="9"/>
        <v>16.219710500814919</v>
      </c>
      <c r="AS59" s="280" t="str">
        <f t="shared" si="10"/>
        <v>berat</v>
      </c>
      <c r="AV59" s="305">
        <v>1</v>
      </c>
      <c r="AW59" s="303"/>
      <c r="AX59" s="301"/>
      <c r="AY59" s="298"/>
    </row>
    <row r="60" spans="1:51" x14ac:dyDescent="0.2">
      <c r="AR60" s="281">
        <f>MAX(AR12:AR59)</f>
        <v>16.372865133220735</v>
      </c>
      <c r="AS60" s="237" t="str">
        <f t="shared" si="10"/>
        <v>berat</v>
      </c>
      <c r="AU60" s="267" t="s">
        <v>202</v>
      </c>
      <c r="AV60" s="305">
        <f>SUM(AV13:AV59)</f>
        <v>37</v>
      </c>
      <c r="AW60" s="303">
        <f>SUM(AW13:AW59)</f>
        <v>7</v>
      </c>
      <c r="AX60" s="301">
        <f>SUM(AX13:AX59)</f>
        <v>1</v>
      </c>
      <c r="AY60" s="298">
        <f>SUM(AY13:AY59)</f>
        <v>0</v>
      </c>
    </row>
    <row r="62" spans="1:51" x14ac:dyDescent="0.2">
      <c r="A62" s="244" t="s">
        <v>37</v>
      </c>
      <c r="B62" s="237" t="s">
        <v>203</v>
      </c>
    </row>
    <row r="63" spans="1:51" x14ac:dyDescent="0.2">
      <c r="A63" s="244" t="s">
        <v>39</v>
      </c>
      <c r="B63" s="237" t="s">
        <v>204</v>
      </c>
    </row>
    <row r="65" spans="1:7" x14ac:dyDescent="0.2">
      <c r="A65" s="293" t="s">
        <v>41</v>
      </c>
      <c r="B65" s="294" t="s">
        <v>205</v>
      </c>
      <c r="C65" s="294"/>
      <c r="E65" s="295"/>
    </row>
    <row r="66" spans="1:7" ht="14.65" customHeight="1" x14ac:dyDescent="0.2">
      <c r="B66" s="296" t="s">
        <v>43</v>
      </c>
      <c r="C66" s="534" t="s">
        <v>44</v>
      </c>
      <c r="D66" s="535"/>
      <c r="E66" s="297" t="s">
        <v>45</v>
      </c>
      <c r="F66" s="297" t="s">
        <v>46</v>
      </c>
      <c r="G66" s="297" t="s">
        <v>47</v>
      </c>
    </row>
    <row r="67" spans="1:7" x14ac:dyDescent="0.2">
      <c r="B67" s="298" t="s">
        <v>206</v>
      </c>
      <c r="C67" s="317"/>
      <c r="D67" s="322">
        <f>AY60</f>
        <v>0</v>
      </c>
      <c r="E67" s="299">
        <f>D67/D71</f>
        <v>0</v>
      </c>
      <c r="F67" s="267">
        <v>70</v>
      </c>
      <c r="G67" s="300">
        <f>F67*E67</f>
        <v>0</v>
      </c>
    </row>
    <row r="68" spans="1:7" x14ac:dyDescent="0.2">
      <c r="B68" s="301" t="s">
        <v>49</v>
      </c>
      <c r="C68" s="318"/>
      <c r="D68" s="323">
        <f>AX60</f>
        <v>1</v>
      </c>
      <c r="E68" s="302">
        <f>D68/D71</f>
        <v>2.2222222222222223E-2</v>
      </c>
      <c r="F68" s="267">
        <v>50</v>
      </c>
      <c r="G68" s="300">
        <f>E68*F68</f>
        <v>1.1111111111111112</v>
      </c>
    </row>
    <row r="69" spans="1:7" x14ac:dyDescent="0.2">
      <c r="B69" s="303" t="s">
        <v>50</v>
      </c>
      <c r="C69" s="319"/>
      <c r="D69" s="324">
        <f>AW60</f>
        <v>7</v>
      </c>
      <c r="E69" s="304">
        <f>D69/D71</f>
        <v>0.15555555555555556</v>
      </c>
      <c r="F69" s="267">
        <v>30</v>
      </c>
      <c r="G69" s="300">
        <f>F69*E69</f>
        <v>4.666666666666667</v>
      </c>
    </row>
    <row r="70" spans="1:7" x14ac:dyDescent="0.2">
      <c r="B70" s="305" t="s">
        <v>51</v>
      </c>
      <c r="C70" s="320"/>
      <c r="D70" s="325">
        <f>AV60</f>
        <v>37</v>
      </c>
      <c r="E70" s="306">
        <f>D70/D71</f>
        <v>0.82222222222222219</v>
      </c>
      <c r="F70" s="267">
        <v>10</v>
      </c>
      <c r="G70" s="300">
        <f>F70*E70</f>
        <v>8.2222222222222214</v>
      </c>
    </row>
    <row r="71" spans="1:7" x14ac:dyDescent="0.2">
      <c r="B71" s="267"/>
      <c r="C71" s="321"/>
      <c r="D71" s="326">
        <f>SUM(D67:D70)</f>
        <v>45</v>
      </c>
      <c r="E71" s="307"/>
      <c r="F71" s="267"/>
      <c r="G71" s="308"/>
    </row>
    <row r="72" spans="1:7" x14ac:dyDescent="0.2">
      <c r="B72" s="292" t="s">
        <v>207</v>
      </c>
      <c r="C72" s="314"/>
      <c r="D72" s="309"/>
      <c r="E72" s="309"/>
      <c r="F72" s="309"/>
      <c r="G72" s="310">
        <f>SUM(G67:G71)</f>
        <v>14</v>
      </c>
    </row>
    <row r="87" spans="10:13" x14ac:dyDescent="0.2">
      <c r="J87" s="297" t="s">
        <v>307</v>
      </c>
      <c r="K87" s="297" t="s">
        <v>47</v>
      </c>
      <c r="L87" s="297" t="s">
        <v>46</v>
      </c>
      <c r="M87" s="297" t="s">
        <v>306</v>
      </c>
    </row>
    <row r="88" spans="10:13" x14ac:dyDescent="0.2">
      <c r="J88" s="267" t="s">
        <v>308</v>
      </c>
      <c r="K88" s="267">
        <v>68.91</v>
      </c>
      <c r="L88" s="267">
        <v>0.376</v>
      </c>
      <c r="M88" s="267">
        <f>K88*L88</f>
        <v>25.910159999999998</v>
      </c>
    </row>
    <row r="89" spans="10:13" x14ac:dyDescent="0.2">
      <c r="J89" s="267" t="s">
        <v>116</v>
      </c>
      <c r="K89" s="267">
        <v>14</v>
      </c>
      <c r="L89" s="267">
        <v>0.40500000000000003</v>
      </c>
      <c r="M89" s="267">
        <f>K89*L89</f>
        <v>5.67</v>
      </c>
    </row>
    <row r="90" spans="10:13" x14ac:dyDescent="0.2">
      <c r="J90" s="267" t="s">
        <v>309</v>
      </c>
      <c r="K90" s="267">
        <v>22.996500000000001</v>
      </c>
      <c r="L90" s="267">
        <v>0.219</v>
      </c>
      <c r="M90" s="267">
        <f>K90*L90</f>
        <v>5.0362334999999998</v>
      </c>
    </row>
    <row r="91" spans="10:13" x14ac:dyDescent="0.2">
      <c r="J91" s="321"/>
      <c r="K91" s="309"/>
      <c r="L91" s="355" t="s">
        <v>303</v>
      </c>
      <c r="M91" s="311">
        <f>SUM(M88:M90)</f>
        <v>36.616393500000001</v>
      </c>
    </row>
    <row r="93" spans="10:13" x14ac:dyDescent="0.2">
      <c r="J93" s="237" t="s">
        <v>302</v>
      </c>
    </row>
    <row r="95" spans="10:13" x14ac:dyDescent="0.2">
      <c r="J95" s="354" t="s">
        <v>304</v>
      </c>
    </row>
    <row r="97" spans="10:10" x14ac:dyDescent="0.2">
      <c r="J97" s="354" t="s">
        <v>305</v>
      </c>
    </row>
  </sheetData>
  <mergeCells count="15">
    <mergeCell ref="C66:D66"/>
    <mergeCell ref="AV11:AV12"/>
    <mergeCell ref="AW11:AW12"/>
    <mergeCell ref="AX11:AX12"/>
    <mergeCell ref="AY11:AY12"/>
    <mergeCell ref="X10:AE10"/>
    <mergeCell ref="AF10:AM10"/>
    <mergeCell ref="AS10:AS11"/>
    <mergeCell ref="U11:W11"/>
    <mergeCell ref="A10:A11"/>
    <mergeCell ref="B10:B11"/>
    <mergeCell ref="E10:E11"/>
    <mergeCell ref="F10:M10"/>
    <mergeCell ref="N10:W10"/>
    <mergeCell ref="C10:D11"/>
  </mergeCells>
  <pageMargins left="0.25" right="0.2" top="1.26" bottom="0.75" header="0.3" footer="0.3"/>
  <pageSetup paperSize="256" scale="55" orientation="landscape" horizontalDpi="4294967293" verticalDpi="4294967293"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3:N37"/>
  <sheetViews>
    <sheetView showGridLines="0" zoomScaleNormal="100" zoomScaleSheetLayoutView="145" workbookViewId="0">
      <selection activeCell="P8" sqref="P8"/>
    </sheetView>
  </sheetViews>
  <sheetFormatPr defaultColWidth="9.140625" defaultRowHeight="15" x14ac:dyDescent="0.25"/>
  <cols>
    <col min="1" max="1" width="3.140625" style="39" customWidth="1"/>
    <col min="2" max="2" width="3.42578125" style="39" bestFit="1" customWidth="1"/>
    <col min="3" max="3" width="9.140625" style="39"/>
    <col min="4" max="4" width="17.28515625" style="39" customWidth="1"/>
    <col min="5" max="5" width="19.42578125" style="39" customWidth="1"/>
    <col min="6" max="6" width="30.7109375" style="39" customWidth="1"/>
    <col min="7" max="7" width="9.140625" style="39"/>
    <col min="8" max="8" width="9.140625" style="39" customWidth="1"/>
    <col min="9" max="14" width="9.140625" style="39"/>
    <col min="15" max="15" width="3.140625" style="39" customWidth="1"/>
    <col min="16" max="16384" width="9.140625" style="39"/>
  </cols>
  <sheetData>
    <row r="3" spans="2:14" ht="51" x14ac:dyDescent="0.35">
      <c r="B3" s="506" t="s">
        <v>4</v>
      </c>
      <c r="C3" s="506" t="s">
        <v>90</v>
      </c>
      <c r="D3" s="506" t="s">
        <v>89</v>
      </c>
      <c r="E3" s="507" t="s">
        <v>88</v>
      </c>
      <c r="F3" s="511" t="s">
        <v>250</v>
      </c>
      <c r="G3" s="363" t="s">
        <v>87</v>
      </c>
      <c r="H3" s="363" t="s">
        <v>86</v>
      </c>
      <c r="I3" s="363" t="s">
        <v>85</v>
      </c>
      <c r="J3" s="52" t="s">
        <v>84</v>
      </c>
      <c r="K3" s="363" t="s">
        <v>83</v>
      </c>
      <c r="L3" s="363" t="s">
        <v>82</v>
      </c>
      <c r="M3" s="363" t="s">
        <v>81</v>
      </c>
      <c r="N3" s="50" t="s">
        <v>80</v>
      </c>
    </row>
    <row r="4" spans="2:14" ht="39.75" customHeight="1" x14ac:dyDescent="0.25">
      <c r="B4" s="506"/>
      <c r="C4" s="506"/>
      <c r="D4" s="506"/>
      <c r="E4" s="507"/>
      <c r="F4" s="512"/>
      <c r="G4" s="48" t="s">
        <v>79</v>
      </c>
      <c r="H4" s="48" t="s">
        <v>79</v>
      </c>
      <c r="I4" s="48" t="s">
        <v>79</v>
      </c>
      <c r="J4" s="48" t="s">
        <v>79</v>
      </c>
      <c r="K4" s="48" t="s">
        <v>79</v>
      </c>
      <c r="L4" s="48" t="s">
        <v>79</v>
      </c>
      <c r="M4" s="47" t="s">
        <v>78</v>
      </c>
      <c r="N4" s="46" t="s">
        <v>78</v>
      </c>
    </row>
    <row r="5" spans="2:14" ht="16.5" x14ac:dyDescent="0.3">
      <c r="B5" s="508">
        <v>1</v>
      </c>
      <c r="C5" s="509" t="s">
        <v>77</v>
      </c>
      <c r="D5" s="509" t="s">
        <v>76</v>
      </c>
      <c r="E5" s="365" t="s">
        <v>75</v>
      </c>
      <c r="F5" s="365" t="s">
        <v>242</v>
      </c>
      <c r="G5" s="313">
        <v>7.74</v>
      </c>
      <c r="H5" s="465">
        <v>10.59</v>
      </c>
      <c r="I5" s="458">
        <v>16.149999999999999</v>
      </c>
      <c r="J5" s="462">
        <v>24.76</v>
      </c>
      <c r="K5" s="45">
        <f>AVERAGE(G5:H12)</f>
        <v>8.3774999999999995</v>
      </c>
      <c r="L5" s="45">
        <f>AVERAGE(I5:J12)</f>
        <v>26.615625000000001</v>
      </c>
      <c r="M5" s="44">
        <f>((K5/20)+(L5/40))/2</f>
        <v>0.54213281250000001</v>
      </c>
      <c r="N5" s="43">
        <f>100-(50/0.9*(M5-0.1))</f>
        <v>75.437065972222229</v>
      </c>
    </row>
    <row r="6" spans="2:14" ht="33" x14ac:dyDescent="0.25">
      <c r="B6" s="508"/>
      <c r="C6" s="509"/>
      <c r="D6" s="509"/>
      <c r="E6" s="365" t="s">
        <v>241</v>
      </c>
      <c r="F6" s="365" t="s">
        <v>357</v>
      </c>
      <c r="G6" s="467">
        <v>26.35</v>
      </c>
      <c r="H6" s="465">
        <v>11.64</v>
      </c>
      <c r="I6" s="468">
        <v>30.16</v>
      </c>
      <c r="J6" s="463">
        <v>34.619999999999997</v>
      </c>
      <c r="K6" s="505"/>
      <c r="L6" s="505"/>
      <c r="M6" s="505"/>
      <c r="N6" s="505"/>
    </row>
    <row r="7" spans="2:14" ht="16.5" x14ac:dyDescent="0.3">
      <c r="B7" s="508"/>
      <c r="C7" s="509"/>
      <c r="D7" s="509"/>
      <c r="E7" s="365" t="s">
        <v>73</v>
      </c>
      <c r="F7" s="365" t="s">
        <v>244</v>
      </c>
      <c r="G7" s="313">
        <v>6.14</v>
      </c>
      <c r="H7" s="466">
        <v>3.64</v>
      </c>
      <c r="I7" s="458">
        <v>12.98</v>
      </c>
      <c r="J7" s="463">
        <v>14.75</v>
      </c>
      <c r="K7" s="505"/>
      <c r="L7" s="505"/>
      <c r="M7" s="505"/>
      <c r="N7" s="505"/>
    </row>
    <row r="8" spans="2:14" ht="17.25" thickBot="1" x14ac:dyDescent="0.35">
      <c r="B8" s="508"/>
      <c r="C8" s="509"/>
      <c r="D8" s="509"/>
      <c r="E8" s="341" t="s">
        <v>72</v>
      </c>
      <c r="F8" s="341" t="s">
        <v>245</v>
      </c>
      <c r="G8" s="313">
        <v>4.0999999999999996</v>
      </c>
      <c r="H8" s="466">
        <v>5.72</v>
      </c>
      <c r="I8" s="458">
        <v>15.56</v>
      </c>
      <c r="J8" s="462">
        <v>48.69</v>
      </c>
      <c r="K8" s="505"/>
      <c r="L8" s="505"/>
      <c r="M8" s="505"/>
      <c r="N8" s="505"/>
    </row>
    <row r="9" spans="2:14" ht="16.5" x14ac:dyDescent="0.25">
      <c r="B9" s="508"/>
      <c r="C9" s="509"/>
      <c r="D9" s="509"/>
      <c r="E9" s="339" t="s">
        <v>75</v>
      </c>
      <c r="F9" s="339" t="s">
        <v>246</v>
      </c>
      <c r="G9" s="458">
        <v>12.91</v>
      </c>
      <c r="H9" s="466">
        <v>3.09</v>
      </c>
      <c r="I9" s="458">
        <v>21.5</v>
      </c>
      <c r="J9" s="458">
        <v>28.84</v>
      </c>
      <c r="K9" s="505"/>
      <c r="L9" s="505"/>
      <c r="M9" s="505"/>
      <c r="N9" s="505"/>
    </row>
    <row r="10" spans="2:14" ht="16.5" x14ac:dyDescent="0.25">
      <c r="B10" s="508"/>
      <c r="C10" s="509"/>
      <c r="D10" s="509"/>
      <c r="E10" s="365" t="s">
        <v>241</v>
      </c>
      <c r="F10" s="364" t="s">
        <v>299</v>
      </c>
      <c r="G10" s="458">
        <v>14.77</v>
      </c>
      <c r="H10" s="466">
        <v>7.65</v>
      </c>
      <c r="I10" s="459">
        <v>26.96</v>
      </c>
      <c r="J10" s="459">
        <v>31.5</v>
      </c>
      <c r="K10" s="505"/>
      <c r="L10" s="505"/>
      <c r="M10" s="505"/>
      <c r="N10" s="505"/>
    </row>
    <row r="11" spans="2:14" ht="16.5" x14ac:dyDescent="0.25">
      <c r="B11" s="508"/>
      <c r="C11" s="509"/>
      <c r="D11" s="509"/>
      <c r="E11" s="365" t="s">
        <v>73</v>
      </c>
      <c r="F11" s="365" t="s">
        <v>248</v>
      </c>
      <c r="G11" s="458">
        <v>5.52</v>
      </c>
      <c r="H11" s="466">
        <v>5.04</v>
      </c>
      <c r="I11" s="459">
        <v>29.37</v>
      </c>
      <c r="J11" s="458">
        <v>35.81</v>
      </c>
      <c r="K11" s="505"/>
      <c r="L11" s="505"/>
      <c r="M11" s="505"/>
      <c r="N11" s="505"/>
    </row>
    <row r="12" spans="2:14" ht="16.5" x14ac:dyDescent="0.25">
      <c r="B12" s="508"/>
      <c r="C12" s="509"/>
      <c r="D12" s="509"/>
      <c r="E12" s="365" t="s">
        <v>72</v>
      </c>
      <c r="F12" s="365" t="s">
        <v>300</v>
      </c>
      <c r="G12" s="458">
        <v>4.72</v>
      </c>
      <c r="H12" s="466">
        <v>4.42</v>
      </c>
      <c r="I12" s="458">
        <v>26.38</v>
      </c>
      <c r="J12" s="459">
        <v>27.82</v>
      </c>
      <c r="K12" s="505"/>
      <c r="L12" s="505"/>
      <c r="M12" s="505"/>
      <c r="N12" s="505"/>
    </row>
    <row r="13" spans="2:14" ht="16.5" x14ac:dyDescent="0.3">
      <c r="B13" s="336" t="s">
        <v>239</v>
      </c>
      <c r="C13" s="40"/>
      <c r="E13" s="40"/>
      <c r="F13" s="40"/>
      <c r="G13" s="40"/>
      <c r="H13" s="40"/>
      <c r="I13" s="40"/>
      <c r="J13" s="464"/>
    </row>
    <row r="14" spans="2:14" ht="16.5" x14ac:dyDescent="0.3">
      <c r="B14" s="336" t="s">
        <v>240</v>
      </c>
      <c r="C14" s="40"/>
      <c r="E14" s="40"/>
      <c r="F14" s="40"/>
      <c r="G14" s="40"/>
      <c r="H14" s="40"/>
    </row>
    <row r="15" spans="2:14" ht="16.5" x14ac:dyDescent="0.3">
      <c r="B15" s="351" t="s">
        <v>296</v>
      </c>
      <c r="C15" s="40"/>
      <c r="D15" s="40"/>
      <c r="E15" s="40"/>
      <c r="F15" s="40"/>
      <c r="G15" s="40"/>
      <c r="H15" s="40"/>
    </row>
    <row r="16" spans="2:14" x14ac:dyDescent="0.25">
      <c r="B16" s="351" t="s">
        <v>297</v>
      </c>
    </row>
    <row r="19" spans="4:13" ht="16.5" x14ac:dyDescent="0.3">
      <c r="I19" s="469"/>
      <c r="J19" s="469"/>
      <c r="K19" s="470"/>
      <c r="L19" s="470"/>
      <c r="M19" s="470"/>
    </row>
    <row r="20" spans="4:13" x14ac:dyDescent="0.25">
      <c r="D20" s="99" t="s">
        <v>362</v>
      </c>
      <c r="I20" s="471"/>
      <c r="J20" s="471"/>
      <c r="K20" s="470"/>
      <c r="L20" s="471"/>
      <c r="M20" s="471"/>
    </row>
    <row r="21" spans="4:13" x14ac:dyDescent="0.25">
      <c r="D21" s="99" t="s">
        <v>363</v>
      </c>
      <c r="I21" s="472"/>
      <c r="J21" s="472"/>
      <c r="K21" s="470"/>
      <c r="L21" s="472"/>
      <c r="M21" s="472"/>
    </row>
    <row r="22" spans="4:13" x14ac:dyDescent="0.25">
      <c r="I22" s="472"/>
      <c r="J22" s="472"/>
      <c r="K22" s="470"/>
      <c r="L22" s="472"/>
      <c r="M22" s="472"/>
    </row>
    <row r="23" spans="4:13" x14ac:dyDescent="0.25">
      <c r="I23" s="472"/>
      <c r="J23" s="472"/>
      <c r="K23" s="470"/>
      <c r="L23" s="472"/>
      <c r="M23" s="472"/>
    </row>
    <row r="24" spans="4:13" x14ac:dyDescent="0.25">
      <c r="I24" s="472"/>
      <c r="J24" s="472"/>
      <c r="K24" s="470"/>
      <c r="L24" s="472"/>
      <c r="M24" s="472"/>
    </row>
    <row r="25" spans="4:13" x14ac:dyDescent="0.25">
      <c r="I25" s="472"/>
      <c r="J25" s="472"/>
      <c r="K25" s="470"/>
      <c r="L25" s="472"/>
      <c r="M25" s="472"/>
    </row>
    <row r="26" spans="4:13" x14ac:dyDescent="0.25">
      <c r="I26" s="472"/>
      <c r="J26" s="472"/>
      <c r="K26" s="470"/>
      <c r="L26" s="472"/>
      <c r="M26" s="472"/>
    </row>
    <row r="27" spans="4:13" x14ac:dyDescent="0.25">
      <c r="I27" s="472"/>
      <c r="J27" s="472"/>
      <c r="K27" s="470"/>
      <c r="L27" s="472"/>
      <c r="M27" s="472"/>
    </row>
    <row r="28" spans="4:13" x14ac:dyDescent="0.25">
      <c r="I28" s="470"/>
      <c r="J28" s="470"/>
      <c r="K28" s="470"/>
      <c r="L28" s="470"/>
      <c r="M28" s="470"/>
    </row>
    <row r="29" spans="4:13" x14ac:dyDescent="0.25">
      <c r="I29" s="473"/>
      <c r="J29" s="474"/>
      <c r="K29" s="470"/>
      <c r="L29" s="474"/>
      <c r="M29" s="473"/>
    </row>
    <row r="30" spans="4:13" x14ac:dyDescent="0.25">
      <c r="I30" s="475"/>
      <c r="J30" s="474"/>
      <c r="K30" s="470"/>
      <c r="L30" s="476"/>
      <c r="M30" s="473"/>
    </row>
    <row r="31" spans="4:13" x14ac:dyDescent="0.25">
      <c r="I31" s="474"/>
      <c r="J31" s="473"/>
      <c r="K31" s="470"/>
      <c r="L31" s="473"/>
      <c r="M31" s="474"/>
    </row>
    <row r="32" spans="4:13" x14ac:dyDescent="0.25">
      <c r="I32" s="476"/>
      <c r="J32" s="476"/>
      <c r="K32" s="470"/>
      <c r="L32" s="475"/>
      <c r="M32" s="475"/>
    </row>
    <row r="33" spans="9:13" x14ac:dyDescent="0.25">
      <c r="I33" s="477"/>
      <c r="J33" s="478"/>
      <c r="K33" s="470"/>
      <c r="L33" s="478"/>
      <c r="M33" s="477"/>
    </row>
    <row r="34" spans="9:13" x14ac:dyDescent="0.25">
      <c r="I34" s="479"/>
      <c r="J34" s="478"/>
      <c r="K34" s="470"/>
      <c r="L34" s="472"/>
      <c r="M34" s="477"/>
    </row>
    <row r="35" spans="9:13" x14ac:dyDescent="0.25">
      <c r="I35" s="472"/>
      <c r="J35" s="478"/>
      <c r="K35" s="470"/>
      <c r="L35" s="479"/>
      <c r="M35" s="477"/>
    </row>
    <row r="36" spans="9:13" x14ac:dyDescent="0.25">
      <c r="I36" s="478"/>
      <c r="J36" s="477"/>
      <c r="K36" s="470"/>
      <c r="L36" s="477"/>
      <c r="M36" s="478"/>
    </row>
    <row r="37" spans="9:13" x14ac:dyDescent="0.25">
      <c r="I37" s="470"/>
      <c r="J37" s="470"/>
      <c r="K37" s="470"/>
      <c r="L37" s="470"/>
      <c r="M37" s="470"/>
    </row>
  </sheetData>
  <mergeCells count="9">
    <mergeCell ref="K6:N12"/>
    <mergeCell ref="B3:B4"/>
    <mergeCell ref="C3:C4"/>
    <mergeCell ref="D3:D4"/>
    <mergeCell ref="E3:E4"/>
    <mergeCell ref="F3:F4"/>
    <mergeCell ref="B5:B12"/>
    <mergeCell ref="C5:C12"/>
    <mergeCell ref="D5:D12"/>
  </mergeCells>
  <pageMargins left="0.7" right="0.7" top="0.75" bottom="0.75" header="0.3" footer="0.3"/>
  <pageSetup paperSize="10000" scale="68" orientation="portrait" horizontalDpi="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Z97"/>
  <sheetViews>
    <sheetView showGridLines="0" topLeftCell="A10" zoomScale="115" zoomScaleNormal="115" workbookViewId="0">
      <pane ySplit="2" topLeftCell="A50" activePane="bottomLeft" state="frozen"/>
      <selection activeCell="A10" sqref="A10"/>
      <selection pane="bottomLeft" activeCell="H62" sqref="H62"/>
    </sheetView>
  </sheetViews>
  <sheetFormatPr defaultColWidth="9.140625" defaultRowHeight="12.75" x14ac:dyDescent="0.2"/>
  <cols>
    <col min="1" max="1" width="3.7109375" style="366" bestFit="1" customWidth="1"/>
    <col min="2" max="2" width="22.42578125" style="366" customWidth="1"/>
    <col min="3" max="3" width="14.42578125" style="366" customWidth="1"/>
    <col min="4" max="4" width="14.7109375" style="366" customWidth="1"/>
    <col min="5" max="5" width="47.7109375" style="368" hidden="1" customWidth="1"/>
    <col min="6" max="6" width="14.28515625" style="366" customWidth="1"/>
    <col min="7" max="7" width="8.42578125" style="366" customWidth="1"/>
    <col min="8" max="8" width="7.42578125" style="366" bestFit="1" customWidth="1"/>
    <col min="9" max="9" width="5" style="366" customWidth="1"/>
    <col min="10" max="10" width="7.7109375" style="366" customWidth="1"/>
    <col min="11" max="15" width="6.7109375" style="366" customWidth="1"/>
    <col min="16" max="16" width="3.42578125" style="366" customWidth="1"/>
    <col min="17" max="17" width="4.7109375" style="366" customWidth="1"/>
    <col min="18" max="18" width="4.42578125" style="366" customWidth="1"/>
    <col min="19" max="19" width="6.42578125" style="366" customWidth="1"/>
    <col min="20" max="20" width="7.7109375" style="366" customWidth="1"/>
    <col min="21" max="21" width="4.42578125" style="366" customWidth="1"/>
    <col min="22" max="22" width="2" style="366" customWidth="1"/>
    <col min="23" max="23" width="1.7109375" style="366" customWidth="1"/>
    <col min="24" max="24" width="2" style="366" customWidth="1"/>
    <col min="25" max="25" width="5.42578125" style="366" customWidth="1"/>
    <col min="26" max="26" width="6.140625" style="366" customWidth="1"/>
    <col min="27" max="28" width="6.28515625" style="366" customWidth="1"/>
    <col min="29" max="29" width="7" style="366" customWidth="1"/>
    <col min="30" max="30" width="9.7109375" style="366" customWidth="1"/>
    <col min="31" max="31" width="5.28515625" style="366" customWidth="1"/>
    <col min="32" max="32" width="6" style="366" bestFit="1" customWidth="1"/>
    <col min="33" max="34" width="6.140625" style="366" customWidth="1"/>
    <col min="35" max="35" width="5.42578125" style="366" customWidth="1"/>
    <col min="36" max="36" width="6.140625" style="366" customWidth="1"/>
    <col min="37" max="37" width="6.28515625" style="366" customWidth="1"/>
    <col min="38" max="38" width="6.140625" style="366" customWidth="1"/>
    <col min="39" max="39" width="5.28515625" style="366" customWidth="1"/>
    <col min="40" max="40" width="6" style="366" bestFit="1" customWidth="1"/>
    <col min="41" max="41" width="9.7109375" style="366" customWidth="1"/>
    <col min="42" max="42" width="8.7109375" style="366" customWidth="1"/>
    <col min="43" max="43" width="10.7109375" style="366" customWidth="1"/>
    <col min="44" max="44" width="12.42578125" style="366" customWidth="1"/>
    <col min="45" max="45" width="8.42578125" style="366" customWidth="1"/>
    <col min="46" max="46" width="9.42578125" style="366" customWidth="1"/>
    <col min="47" max="48" width="9.140625" style="366"/>
    <col min="49" max="52" width="9.140625" style="369"/>
    <col min="53" max="258" width="9.140625" style="366"/>
    <col min="259" max="259" width="3.7109375" style="366" bestFit="1" customWidth="1"/>
    <col min="260" max="260" width="17.7109375" style="366" customWidth="1"/>
    <col min="261" max="261" width="26.42578125" style="366" customWidth="1"/>
    <col min="262" max="262" width="13.42578125" style="366" customWidth="1"/>
    <col min="263" max="263" width="8.42578125" style="366" bestFit="1" customWidth="1"/>
    <col min="264" max="264" width="9.140625" style="366" customWidth="1"/>
    <col min="265" max="265" width="5" style="366" bestFit="1" customWidth="1"/>
    <col min="266" max="266" width="7.7109375" style="366" bestFit="1" customWidth="1"/>
    <col min="267" max="267" width="7" style="366" bestFit="1" customWidth="1"/>
    <col min="268" max="268" width="8.42578125" style="366" bestFit="1" customWidth="1"/>
    <col min="269" max="269" width="8" style="366" bestFit="1" customWidth="1"/>
    <col min="270" max="270" width="8" style="366" customWidth="1"/>
    <col min="271" max="271" width="6.28515625" style="366" customWidth="1"/>
    <col min="272" max="272" width="3.42578125" style="366" bestFit="1" customWidth="1"/>
    <col min="273" max="273" width="4.7109375" style="366" bestFit="1" customWidth="1"/>
    <col min="274" max="274" width="4.42578125" style="366" bestFit="1" customWidth="1"/>
    <col min="275" max="275" width="6.42578125" style="366" bestFit="1" customWidth="1"/>
    <col min="276" max="276" width="7.7109375" style="366" customWidth="1"/>
    <col min="277" max="277" width="4.42578125" style="366" bestFit="1" customWidth="1"/>
    <col min="278" max="278" width="2" style="366" bestFit="1" customWidth="1"/>
    <col min="279" max="279" width="1.7109375" style="366" customWidth="1"/>
    <col min="280" max="280" width="2" style="366" bestFit="1" customWidth="1"/>
    <col min="281" max="281" width="5.42578125" style="366" bestFit="1" customWidth="1"/>
    <col min="282" max="282" width="6.140625" style="366" bestFit="1" customWidth="1"/>
    <col min="283" max="284" width="6.28515625" style="366" bestFit="1" customWidth="1"/>
    <col min="285" max="285" width="7" style="366" bestFit="1" customWidth="1"/>
    <col min="286" max="286" width="9.7109375" style="366" bestFit="1" customWidth="1"/>
    <col min="287" max="288" width="5.28515625" style="366" bestFit="1" customWidth="1"/>
    <col min="289" max="290" width="6.140625" style="366" bestFit="1" customWidth="1"/>
    <col min="291" max="291" width="5.42578125" style="366" bestFit="1" customWidth="1"/>
    <col min="292" max="292" width="6.140625" style="366" bestFit="1" customWidth="1"/>
    <col min="293" max="293" width="6.28515625" style="366" bestFit="1" customWidth="1"/>
    <col min="294" max="294" width="6.140625" style="366" customWidth="1"/>
    <col min="295" max="296" width="5.28515625" style="366" bestFit="1" customWidth="1"/>
    <col min="297" max="297" width="9.7109375" style="366" bestFit="1" customWidth="1"/>
    <col min="298" max="298" width="8.7109375" style="366" bestFit="1" customWidth="1"/>
    <col min="299" max="299" width="10.7109375" style="366" bestFit="1" customWidth="1"/>
    <col min="300" max="300" width="12.42578125" style="366" bestFit="1" customWidth="1"/>
    <col min="301" max="301" width="8.42578125" style="366" bestFit="1" customWidth="1"/>
    <col min="302" max="302" width="9.42578125" style="366" customWidth="1"/>
    <col min="303" max="514" width="9.140625" style="366"/>
    <col min="515" max="515" width="3.7109375" style="366" bestFit="1" customWidth="1"/>
    <col min="516" max="516" width="17.7109375" style="366" customWidth="1"/>
    <col min="517" max="517" width="26.42578125" style="366" customWidth="1"/>
    <col min="518" max="518" width="13.42578125" style="366" customWidth="1"/>
    <col min="519" max="519" width="8.42578125" style="366" bestFit="1" customWidth="1"/>
    <col min="520" max="520" width="9.140625" style="366" customWidth="1"/>
    <col min="521" max="521" width="5" style="366" bestFit="1" customWidth="1"/>
    <col min="522" max="522" width="7.7109375" style="366" bestFit="1" customWidth="1"/>
    <col min="523" max="523" width="7" style="366" bestFit="1" customWidth="1"/>
    <col min="524" max="524" width="8.42578125" style="366" bestFit="1" customWidth="1"/>
    <col min="525" max="525" width="8" style="366" bestFit="1" customWidth="1"/>
    <col min="526" max="526" width="8" style="366" customWidth="1"/>
    <col min="527" max="527" width="6.28515625" style="366" customWidth="1"/>
    <col min="528" max="528" width="3.42578125" style="366" bestFit="1" customWidth="1"/>
    <col min="529" max="529" width="4.7109375" style="366" bestFit="1" customWidth="1"/>
    <col min="530" max="530" width="4.42578125" style="366" bestFit="1" customWidth="1"/>
    <col min="531" max="531" width="6.42578125" style="366" bestFit="1" customWidth="1"/>
    <col min="532" max="532" width="7.7109375" style="366" customWidth="1"/>
    <col min="533" max="533" width="4.42578125" style="366" bestFit="1" customWidth="1"/>
    <col min="534" max="534" width="2" style="366" bestFit="1" customWidth="1"/>
    <col min="535" max="535" width="1.7109375" style="366" customWidth="1"/>
    <col min="536" max="536" width="2" style="366" bestFit="1" customWidth="1"/>
    <col min="537" max="537" width="5.42578125" style="366" bestFit="1" customWidth="1"/>
    <col min="538" max="538" width="6.140625" style="366" bestFit="1" customWidth="1"/>
    <col min="539" max="540" width="6.28515625" style="366" bestFit="1" customWidth="1"/>
    <col min="541" max="541" width="7" style="366" bestFit="1" customWidth="1"/>
    <col min="542" max="542" width="9.7109375" style="366" bestFit="1" customWidth="1"/>
    <col min="543" max="544" width="5.28515625" style="366" bestFit="1" customWidth="1"/>
    <col min="545" max="546" width="6.140625" style="366" bestFit="1" customWidth="1"/>
    <col min="547" max="547" width="5.42578125" style="366" bestFit="1" customWidth="1"/>
    <col min="548" max="548" width="6.140625" style="366" bestFit="1" customWidth="1"/>
    <col min="549" max="549" width="6.28515625" style="366" bestFit="1" customWidth="1"/>
    <col min="550" max="550" width="6.140625" style="366" customWidth="1"/>
    <col min="551" max="552" width="5.28515625" style="366" bestFit="1" customWidth="1"/>
    <col min="553" max="553" width="9.7109375" style="366" bestFit="1" customWidth="1"/>
    <col min="554" max="554" width="8.7109375" style="366" bestFit="1" customWidth="1"/>
    <col min="555" max="555" width="10.7109375" style="366" bestFit="1" customWidth="1"/>
    <col min="556" max="556" width="12.42578125" style="366" bestFit="1" customWidth="1"/>
    <col min="557" max="557" width="8.42578125" style="366" bestFit="1" customWidth="1"/>
    <col min="558" max="558" width="9.42578125" style="366" customWidth="1"/>
    <col min="559" max="770" width="9.140625" style="366"/>
    <col min="771" max="771" width="3.7109375" style="366" bestFit="1" customWidth="1"/>
    <col min="772" max="772" width="17.7109375" style="366" customWidth="1"/>
    <col min="773" max="773" width="26.42578125" style="366" customWidth="1"/>
    <col min="774" max="774" width="13.42578125" style="366" customWidth="1"/>
    <col min="775" max="775" width="8.42578125" style="366" bestFit="1" customWidth="1"/>
    <col min="776" max="776" width="9.140625" style="366" customWidth="1"/>
    <col min="777" max="777" width="5" style="366" bestFit="1" customWidth="1"/>
    <col min="778" max="778" width="7.7109375" style="366" bestFit="1" customWidth="1"/>
    <col min="779" max="779" width="7" style="366" bestFit="1" customWidth="1"/>
    <col min="780" max="780" width="8.42578125" style="366" bestFit="1" customWidth="1"/>
    <col min="781" max="781" width="8" style="366" bestFit="1" customWidth="1"/>
    <col min="782" max="782" width="8" style="366" customWidth="1"/>
    <col min="783" max="783" width="6.28515625" style="366" customWidth="1"/>
    <col min="784" max="784" width="3.42578125" style="366" bestFit="1" customWidth="1"/>
    <col min="785" max="785" width="4.7109375" style="366" bestFit="1" customWidth="1"/>
    <col min="786" max="786" width="4.42578125" style="366" bestFit="1" customWidth="1"/>
    <col min="787" max="787" width="6.42578125" style="366" bestFit="1" customWidth="1"/>
    <col min="788" max="788" width="7.7109375" style="366" customWidth="1"/>
    <col min="789" max="789" width="4.42578125" style="366" bestFit="1" customWidth="1"/>
    <col min="790" max="790" width="2" style="366" bestFit="1" customWidth="1"/>
    <col min="791" max="791" width="1.7109375" style="366" customWidth="1"/>
    <col min="792" max="792" width="2" style="366" bestFit="1" customWidth="1"/>
    <col min="793" max="793" width="5.42578125" style="366" bestFit="1" customWidth="1"/>
    <col min="794" max="794" width="6.140625" style="366" bestFit="1" customWidth="1"/>
    <col min="795" max="796" width="6.28515625" style="366" bestFit="1" customWidth="1"/>
    <col min="797" max="797" width="7" style="366" bestFit="1" customWidth="1"/>
    <col min="798" max="798" width="9.7109375" style="366" bestFit="1" customWidth="1"/>
    <col min="799" max="800" width="5.28515625" style="366" bestFit="1" customWidth="1"/>
    <col min="801" max="802" width="6.140625" style="366" bestFit="1" customWidth="1"/>
    <col min="803" max="803" width="5.42578125" style="366" bestFit="1" customWidth="1"/>
    <col min="804" max="804" width="6.140625" style="366" bestFit="1" customWidth="1"/>
    <col min="805" max="805" width="6.28515625" style="366" bestFit="1" customWidth="1"/>
    <col min="806" max="806" width="6.140625" style="366" customWidth="1"/>
    <col min="807" max="808" width="5.28515625" style="366" bestFit="1" customWidth="1"/>
    <col min="809" max="809" width="9.7109375" style="366" bestFit="1" customWidth="1"/>
    <col min="810" max="810" width="8.7109375" style="366" bestFit="1" customWidth="1"/>
    <col min="811" max="811" width="10.7109375" style="366" bestFit="1" customWidth="1"/>
    <col min="812" max="812" width="12.42578125" style="366" bestFit="1" customWidth="1"/>
    <col min="813" max="813" width="8.42578125" style="366" bestFit="1" customWidth="1"/>
    <col min="814" max="814" width="9.42578125" style="366" customWidth="1"/>
    <col min="815" max="1026" width="9.140625" style="366"/>
    <col min="1027" max="1027" width="3.7109375" style="366" bestFit="1" customWidth="1"/>
    <col min="1028" max="1028" width="17.7109375" style="366" customWidth="1"/>
    <col min="1029" max="1029" width="26.42578125" style="366" customWidth="1"/>
    <col min="1030" max="1030" width="13.42578125" style="366" customWidth="1"/>
    <col min="1031" max="1031" width="8.42578125" style="366" bestFit="1" customWidth="1"/>
    <col min="1032" max="1032" width="9.140625" style="366" customWidth="1"/>
    <col min="1033" max="1033" width="5" style="366" bestFit="1" customWidth="1"/>
    <col min="1034" max="1034" width="7.7109375" style="366" bestFit="1" customWidth="1"/>
    <col min="1035" max="1035" width="7" style="366" bestFit="1" customWidth="1"/>
    <col min="1036" max="1036" width="8.42578125" style="366" bestFit="1" customWidth="1"/>
    <col min="1037" max="1037" width="8" style="366" bestFit="1" customWidth="1"/>
    <col min="1038" max="1038" width="8" style="366" customWidth="1"/>
    <col min="1039" max="1039" width="6.28515625" style="366" customWidth="1"/>
    <col min="1040" max="1040" width="3.42578125" style="366" bestFit="1" customWidth="1"/>
    <col min="1041" max="1041" width="4.7109375" style="366" bestFit="1" customWidth="1"/>
    <col min="1042" max="1042" width="4.42578125" style="366" bestFit="1" customWidth="1"/>
    <col min="1043" max="1043" width="6.42578125" style="366" bestFit="1" customWidth="1"/>
    <col min="1044" max="1044" width="7.7109375" style="366" customWidth="1"/>
    <col min="1045" max="1045" width="4.42578125" style="366" bestFit="1" customWidth="1"/>
    <col min="1046" max="1046" width="2" style="366" bestFit="1" customWidth="1"/>
    <col min="1047" max="1047" width="1.7109375" style="366" customWidth="1"/>
    <col min="1048" max="1048" width="2" style="366" bestFit="1" customWidth="1"/>
    <col min="1049" max="1049" width="5.42578125" style="366" bestFit="1" customWidth="1"/>
    <col min="1050" max="1050" width="6.140625" style="366" bestFit="1" customWidth="1"/>
    <col min="1051" max="1052" width="6.28515625" style="366" bestFit="1" customWidth="1"/>
    <col min="1053" max="1053" width="7" style="366" bestFit="1" customWidth="1"/>
    <col min="1054" max="1054" width="9.7109375" style="366" bestFit="1" customWidth="1"/>
    <col min="1055" max="1056" width="5.28515625" style="366" bestFit="1" customWidth="1"/>
    <col min="1057" max="1058" width="6.140625" style="366" bestFit="1" customWidth="1"/>
    <col min="1059" max="1059" width="5.42578125" style="366" bestFit="1" customWidth="1"/>
    <col min="1060" max="1060" width="6.140625" style="366" bestFit="1" customWidth="1"/>
    <col min="1061" max="1061" width="6.28515625" style="366" bestFit="1" customWidth="1"/>
    <col min="1062" max="1062" width="6.140625" style="366" customWidth="1"/>
    <col min="1063" max="1064" width="5.28515625" style="366" bestFit="1" customWidth="1"/>
    <col min="1065" max="1065" width="9.7109375" style="366" bestFit="1" customWidth="1"/>
    <col min="1066" max="1066" width="8.7109375" style="366" bestFit="1" customWidth="1"/>
    <col min="1067" max="1067" width="10.7109375" style="366" bestFit="1" customWidth="1"/>
    <col min="1068" max="1068" width="12.42578125" style="366" bestFit="1" customWidth="1"/>
    <col min="1069" max="1069" width="8.42578125" style="366" bestFit="1" customWidth="1"/>
    <col min="1070" max="1070" width="9.42578125" style="366" customWidth="1"/>
    <col min="1071" max="1282" width="9.140625" style="366"/>
    <col min="1283" max="1283" width="3.7109375" style="366" bestFit="1" customWidth="1"/>
    <col min="1284" max="1284" width="17.7109375" style="366" customWidth="1"/>
    <col min="1285" max="1285" width="26.42578125" style="366" customWidth="1"/>
    <col min="1286" max="1286" width="13.42578125" style="366" customWidth="1"/>
    <col min="1287" max="1287" width="8.42578125" style="366" bestFit="1" customWidth="1"/>
    <col min="1288" max="1288" width="9.140625" style="366" customWidth="1"/>
    <col min="1289" max="1289" width="5" style="366" bestFit="1" customWidth="1"/>
    <col min="1290" max="1290" width="7.7109375" style="366" bestFit="1" customWidth="1"/>
    <col min="1291" max="1291" width="7" style="366" bestFit="1" customWidth="1"/>
    <col min="1292" max="1292" width="8.42578125" style="366" bestFit="1" customWidth="1"/>
    <col min="1293" max="1293" width="8" style="366" bestFit="1" customWidth="1"/>
    <col min="1294" max="1294" width="8" style="366" customWidth="1"/>
    <col min="1295" max="1295" width="6.28515625" style="366" customWidth="1"/>
    <col min="1296" max="1296" width="3.42578125" style="366" bestFit="1" customWidth="1"/>
    <col min="1297" max="1297" width="4.7109375" style="366" bestFit="1" customWidth="1"/>
    <col min="1298" max="1298" width="4.42578125" style="366" bestFit="1" customWidth="1"/>
    <col min="1299" max="1299" width="6.42578125" style="366" bestFit="1" customWidth="1"/>
    <col min="1300" max="1300" width="7.7109375" style="366" customWidth="1"/>
    <col min="1301" max="1301" width="4.42578125" style="366" bestFit="1" customWidth="1"/>
    <col min="1302" max="1302" width="2" style="366" bestFit="1" customWidth="1"/>
    <col min="1303" max="1303" width="1.7109375" style="366" customWidth="1"/>
    <col min="1304" max="1304" width="2" style="366" bestFit="1" customWidth="1"/>
    <col min="1305" max="1305" width="5.42578125" style="366" bestFit="1" customWidth="1"/>
    <col min="1306" max="1306" width="6.140625" style="366" bestFit="1" customWidth="1"/>
    <col min="1307" max="1308" width="6.28515625" style="366" bestFit="1" customWidth="1"/>
    <col min="1309" max="1309" width="7" style="366" bestFit="1" customWidth="1"/>
    <col min="1310" max="1310" width="9.7109375" style="366" bestFit="1" customWidth="1"/>
    <col min="1311" max="1312" width="5.28515625" style="366" bestFit="1" customWidth="1"/>
    <col min="1313" max="1314" width="6.140625" style="366" bestFit="1" customWidth="1"/>
    <col min="1315" max="1315" width="5.42578125" style="366" bestFit="1" customWidth="1"/>
    <col min="1316" max="1316" width="6.140625" style="366" bestFit="1" customWidth="1"/>
    <col min="1317" max="1317" width="6.28515625" style="366" bestFit="1" customWidth="1"/>
    <col min="1318" max="1318" width="6.140625" style="366" customWidth="1"/>
    <col min="1319" max="1320" width="5.28515625" style="366" bestFit="1" customWidth="1"/>
    <col min="1321" max="1321" width="9.7109375" style="366" bestFit="1" customWidth="1"/>
    <col min="1322" max="1322" width="8.7109375" style="366" bestFit="1" customWidth="1"/>
    <col min="1323" max="1323" width="10.7109375" style="366" bestFit="1" customWidth="1"/>
    <col min="1324" max="1324" width="12.42578125" style="366" bestFit="1" customWidth="1"/>
    <col min="1325" max="1325" width="8.42578125" style="366" bestFit="1" customWidth="1"/>
    <col min="1326" max="1326" width="9.42578125" style="366" customWidth="1"/>
    <col min="1327" max="1538" width="9.140625" style="366"/>
    <col min="1539" max="1539" width="3.7109375" style="366" bestFit="1" customWidth="1"/>
    <col min="1540" max="1540" width="17.7109375" style="366" customWidth="1"/>
    <col min="1541" max="1541" width="26.42578125" style="366" customWidth="1"/>
    <col min="1542" max="1542" width="13.42578125" style="366" customWidth="1"/>
    <col min="1543" max="1543" width="8.42578125" style="366" bestFit="1" customWidth="1"/>
    <col min="1544" max="1544" width="9.140625" style="366" customWidth="1"/>
    <col min="1545" max="1545" width="5" style="366" bestFit="1" customWidth="1"/>
    <col min="1546" max="1546" width="7.7109375" style="366" bestFit="1" customWidth="1"/>
    <col min="1547" max="1547" width="7" style="366" bestFit="1" customWidth="1"/>
    <col min="1548" max="1548" width="8.42578125" style="366" bestFit="1" customWidth="1"/>
    <col min="1549" max="1549" width="8" style="366" bestFit="1" customWidth="1"/>
    <col min="1550" max="1550" width="8" style="366" customWidth="1"/>
    <col min="1551" max="1551" width="6.28515625" style="366" customWidth="1"/>
    <col min="1552" max="1552" width="3.42578125" style="366" bestFit="1" customWidth="1"/>
    <col min="1553" max="1553" width="4.7109375" style="366" bestFit="1" customWidth="1"/>
    <col min="1554" max="1554" width="4.42578125" style="366" bestFit="1" customWidth="1"/>
    <col min="1555" max="1555" width="6.42578125" style="366" bestFit="1" customWidth="1"/>
    <col min="1556" max="1556" width="7.7109375" style="366" customWidth="1"/>
    <col min="1557" max="1557" width="4.42578125" style="366" bestFit="1" customWidth="1"/>
    <col min="1558" max="1558" width="2" style="366" bestFit="1" customWidth="1"/>
    <col min="1559" max="1559" width="1.7109375" style="366" customWidth="1"/>
    <col min="1560" max="1560" width="2" style="366" bestFit="1" customWidth="1"/>
    <col min="1561" max="1561" width="5.42578125" style="366" bestFit="1" customWidth="1"/>
    <col min="1562" max="1562" width="6.140625" style="366" bestFit="1" customWidth="1"/>
    <col min="1563" max="1564" width="6.28515625" style="366" bestFit="1" customWidth="1"/>
    <col min="1565" max="1565" width="7" style="366" bestFit="1" customWidth="1"/>
    <col min="1566" max="1566" width="9.7109375" style="366" bestFit="1" customWidth="1"/>
    <col min="1567" max="1568" width="5.28515625" style="366" bestFit="1" customWidth="1"/>
    <col min="1569" max="1570" width="6.140625" style="366" bestFit="1" customWidth="1"/>
    <col min="1571" max="1571" width="5.42578125" style="366" bestFit="1" customWidth="1"/>
    <col min="1572" max="1572" width="6.140625" style="366" bestFit="1" customWidth="1"/>
    <col min="1573" max="1573" width="6.28515625" style="366" bestFit="1" customWidth="1"/>
    <col min="1574" max="1574" width="6.140625" style="366" customWidth="1"/>
    <col min="1575" max="1576" width="5.28515625" style="366" bestFit="1" customWidth="1"/>
    <col min="1577" max="1577" width="9.7109375" style="366" bestFit="1" customWidth="1"/>
    <col min="1578" max="1578" width="8.7109375" style="366" bestFit="1" customWidth="1"/>
    <col min="1579" max="1579" width="10.7109375" style="366" bestFit="1" customWidth="1"/>
    <col min="1580" max="1580" width="12.42578125" style="366" bestFit="1" customWidth="1"/>
    <col min="1581" max="1581" width="8.42578125" style="366" bestFit="1" customWidth="1"/>
    <col min="1582" max="1582" width="9.42578125" style="366" customWidth="1"/>
    <col min="1583" max="1794" width="9.140625" style="366"/>
    <col min="1795" max="1795" width="3.7109375" style="366" bestFit="1" customWidth="1"/>
    <col min="1796" max="1796" width="17.7109375" style="366" customWidth="1"/>
    <col min="1797" max="1797" width="26.42578125" style="366" customWidth="1"/>
    <col min="1798" max="1798" width="13.42578125" style="366" customWidth="1"/>
    <col min="1799" max="1799" width="8.42578125" style="366" bestFit="1" customWidth="1"/>
    <col min="1800" max="1800" width="9.140625" style="366" customWidth="1"/>
    <col min="1801" max="1801" width="5" style="366" bestFit="1" customWidth="1"/>
    <col min="1802" max="1802" width="7.7109375" style="366" bestFit="1" customWidth="1"/>
    <col min="1803" max="1803" width="7" style="366" bestFit="1" customWidth="1"/>
    <col min="1804" max="1804" width="8.42578125" style="366" bestFit="1" customWidth="1"/>
    <col min="1805" max="1805" width="8" style="366" bestFit="1" customWidth="1"/>
    <col min="1806" max="1806" width="8" style="366" customWidth="1"/>
    <col min="1807" max="1807" width="6.28515625" style="366" customWidth="1"/>
    <col min="1808" max="1808" width="3.42578125" style="366" bestFit="1" customWidth="1"/>
    <col min="1809" max="1809" width="4.7109375" style="366" bestFit="1" customWidth="1"/>
    <col min="1810" max="1810" width="4.42578125" style="366" bestFit="1" customWidth="1"/>
    <col min="1811" max="1811" width="6.42578125" style="366" bestFit="1" customWidth="1"/>
    <col min="1812" max="1812" width="7.7109375" style="366" customWidth="1"/>
    <col min="1813" max="1813" width="4.42578125" style="366" bestFit="1" customWidth="1"/>
    <col min="1814" max="1814" width="2" style="366" bestFit="1" customWidth="1"/>
    <col min="1815" max="1815" width="1.7109375" style="366" customWidth="1"/>
    <col min="1816" max="1816" width="2" style="366" bestFit="1" customWidth="1"/>
    <col min="1817" max="1817" width="5.42578125" style="366" bestFit="1" customWidth="1"/>
    <col min="1818" max="1818" width="6.140625" style="366" bestFit="1" customWidth="1"/>
    <col min="1819" max="1820" width="6.28515625" style="366" bestFit="1" customWidth="1"/>
    <col min="1821" max="1821" width="7" style="366" bestFit="1" customWidth="1"/>
    <col min="1822" max="1822" width="9.7109375" style="366" bestFit="1" customWidth="1"/>
    <col min="1823" max="1824" width="5.28515625" style="366" bestFit="1" customWidth="1"/>
    <col min="1825" max="1826" width="6.140625" style="366" bestFit="1" customWidth="1"/>
    <col min="1827" max="1827" width="5.42578125" style="366" bestFit="1" customWidth="1"/>
    <col min="1828" max="1828" width="6.140625" style="366" bestFit="1" customWidth="1"/>
    <col min="1829" max="1829" width="6.28515625" style="366" bestFit="1" customWidth="1"/>
    <col min="1830" max="1830" width="6.140625" style="366" customWidth="1"/>
    <col min="1831" max="1832" width="5.28515625" style="366" bestFit="1" customWidth="1"/>
    <col min="1833" max="1833" width="9.7109375" style="366" bestFit="1" customWidth="1"/>
    <col min="1834" max="1834" width="8.7109375" style="366" bestFit="1" customWidth="1"/>
    <col min="1835" max="1835" width="10.7109375" style="366" bestFit="1" customWidth="1"/>
    <col min="1836" max="1836" width="12.42578125" style="366" bestFit="1" customWidth="1"/>
    <col min="1837" max="1837" width="8.42578125" style="366" bestFit="1" customWidth="1"/>
    <col min="1838" max="1838" width="9.42578125" style="366" customWidth="1"/>
    <col min="1839" max="2050" width="9.140625" style="366"/>
    <col min="2051" max="2051" width="3.7109375" style="366" bestFit="1" customWidth="1"/>
    <col min="2052" max="2052" width="17.7109375" style="366" customWidth="1"/>
    <col min="2053" max="2053" width="26.42578125" style="366" customWidth="1"/>
    <col min="2054" max="2054" width="13.42578125" style="366" customWidth="1"/>
    <col min="2055" max="2055" width="8.42578125" style="366" bestFit="1" customWidth="1"/>
    <col min="2056" max="2056" width="9.140625" style="366" customWidth="1"/>
    <col min="2057" max="2057" width="5" style="366" bestFit="1" customWidth="1"/>
    <col min="2058" max="2058" width="7.7109375" style="366" bestFit="1" customWidth="1"/>
    <col min="2059" max="2059" width="7" style="366" bestFit="1" customWidth="1"/>
    <col min="2060" max="2060" width="8.42578125" style="366" bestFit="1" customWidth="1"/>
    <col min="2061" max="2061" width="8" style="366" bestFit="1" customWidth="1"/>
    <col min="2062" max="2062" width="8" style="366" customWidth="1"/>
    <col min="2063" max="2063" width="6.28515625" style="366" customWidth="1"/>
    <col min="2064" max="2064" width="3.42578125" style="366" bestFit="1" customWidth="1"/>
    <col min="2065" max="2065" width="4.7109375" style="366" bestFit="1" customWidth="1"/>
    <col min="2066" max="2066" width="4.42578125" style="366" bestFit="1" customWidth="1"/>
    <col min="2067" max="2067" width="6.42578125" style="366" bestFit="1" customWidth="1"/>
    <col min="2068" max="2068" width="7.7109375" style="366" customWidth="1"/>
    <col min="2069" max="2069" width="4.42578125" style="366" bestFit="1" customWidth="1"/>
    <col min="2070" max="2070" width="2" style="366" bestFit="1" customWidth="1"/>
    <col min="2071" max="2071" width="1.7109375" style="366" customWidth="1"/>
    <col min="2072" max="2072" width="2" style="366" bestFit="1" customWidth="1"/>
    <col min="2073" max="2073" width="5.42578125" style="366" bestFit="1" customWidth="1"/>
    <col min="2074" max="2074" width="6.140625" style="366" bestFit="1" customWidth="1"/>
    <col min="2075" max="2076" width="6.28515625" style="366" bestFit="1" customWidth="1"/>
    <col min="2077" max="2077" width="7" style="366" bestFit="1" customWidth="1"/>
    <col min="2078" max="2078" width="9.7109375" style="366" bestFit="1" customWidth="1"/>
    <col min="2079" max="2080" width="5.28515625" style="366" bestFit="1" customWidth="1"/>
    <col min="2081" max="2082" width="6.140625" style="366" bestFit="1" customWidth="1"/>
    <col min="2083" max="2083" width="5.42578125" style="366" bestFit="1" customWidth="1"/>
    <col min="2084" max="2084" width="6.140625" style="366" bestFit="1" customWidth="1"/>
    <col min="2085" max="2085" width="6.28515625" style="366" bestFit="1" customWidth="1"/>
    <col min="2086" max="2086" width="6.140625" style="366" customWidth="1"/>
    <col min="2087" max="2088" width="5.28515625" style="366" bestFit="1" customWidth="1"/>
    <col min="2089" max="2089" width="9.7109375" style="366" bestFit="1" customWidth="1"/>
    <col min="2090" max="2090" width="8.7109375" style="366" bestFit="1" customWidth="1"/>
    <col min="2091" max="2091" width="10.7109375" style="366" bestFit="1" customWidth="1"/>
    <col min="2092" max="2092" width="12.42578125" style="366" bestFit="1" customWidth="1"/>
    <col min="2093" max="2093" width="8.42578125" style="366" bestFit="1" customWidth="1"/>
    <col min="2094" max="2094" width="9.42578125" style="366" customWidth="1"/>
    <col min="2095" max="2306" width="9.140625" style="366"/>
    <col min="2307" max="2307" width="3.7109375" style="366" bestFit="1" customWidth="1"/>
    <col min="2308" max="2308" width="17.7109375" style="366" customWidth="1"/>
    <col min="2309" max="2309" width="26.42578125" style="366" customWidth="1"/>
    <col min="2310" max="2310" width="13.42578125" style="366" customWidth="1"/>
    <col min="2311" max="2311" width="8.42578125" style="366" bestFit="1" customWidth="1"/>
    <col min="2312" max="2312" width="9.140625" style="366" customWidth="1"/>
    <col min="2313" max="2313" width="5" style="366" bestFit="1" customWidth="1"/>
    <col min="2314" max="2314" width="7.7109375" style="366" bestFit="1" customWidth="1"/>
    <col min="2315" max="2315" width="7" style="366" bestFit="1" customWidth="1"/>
    <col min="2316" max="2316" width="8.42578125" style="366" bestFit="1" customWidth="1"/>
    <col min="2317" max="2317" width="8" style="366" bestFit="1" customWidth="1"/>
    <col min="2318" max="2318" width="8" style="366" customWidth="1"/>
    <col min="2319" max="2319" width="6.28515625" style="366" customWidth="1"/>
    <col min="2320" max="2320" width="3.42578125" style="366" bestFit="1" customWidth="1"/>
    <col min="2321" max="2321" width="4.7109375" style="366" bestFit="1" customWidth="1"/>
    <col min="2322" max="2322" width="4.42578125" style="366" bestFit="1" customWidth="1"/>
    <col min="2323" max="2323" width="6.42578125" style="366" bestFit="1" customWidth="1"/>
    <col min="2324" max="2324" width="7.7109375" style="366" customWidth="1"/>
    <col min="2325" max="2325" width="4.42578125" style="366" bestFit="1" customWidth="1"/>
    <col min="2326" max="2326" width="2" style="366" bestFit="1" customWidth="1"/>
    <col min="2327" max="2327" width="1.7109375" style="366" customWidth="1"/>
    <col min="2328" max="2328" width="2" style="366" bestFit="1" customWidth="1"/>
    <col min="2329" max="2329" width="5.42578125" style="366" bestFit="1" customWidth="1"/>
    <col min="2330" max="2330" width="6.140625" style="366" bestFit="1" customWidth="1"/>
    <col min="2331" max="2332" width="6.28515625" style="366" bestFit="1" customWidth="1"/>
    <col min="2333" max="2333" width="7" style="366" bestFit="1" customWidth="1"/>
    <col min="2334" max="2334" width="9.7109375" style="366" bestFit="1" customWidth="1"/>
    <col min="2335" max="2336" width="5.28515625" style="366" bestFit="1" customWidth="1"/>
    <col min="2337" max="2338" width="6.140625" style="366" bestFit="1" customWidth="1"/>
    <col min="2339" max="2339" width="5.42578125" style="366" bestFit="1" customWidth="1"/>
    <col min="2340" max="2340" width="6.140625" style="366" bestFit="1" customWidth="1"/>
    <col min="2341" max="2341" width="6.28515625" style="366" bestFit="1" customWidth="1"/>
    <col min="2342" max="2342" width="6.140625" style="366" customWidth="1"/>
    <col min="2343" max="2344" width="5.28515625" style="366" bestFit="1" customWidth="1"/>
    <col min="2345" max="2345" width="9.7109375" style="366" bestFit="1" customWidth="1"/>
    <col min="2346" max="2346" width="8.7109375" style="366" bestFit="1" customWidth="1"/>
    <col min="2347" max="2347" width="10.7109375" style="366" bestFit="1" customWidth="1"/>
    <col min="2348" max="2348" width="12.42578125" style="366" bestFit="1" customWidth="1"/>
    <col min="2349" max="2349" width="8.42578125" style="366" bestFit="1" customWidth="1"/>
    <col min="2350" max="2350" width="9.42578125" style="366" customWidth="1"/>
    <col min="2351" max="2562" width="9.140625" style="366"/>
    <col min="2563" max="2563" width="3.7109375" style="366" bestFit="1" customWidth="1"/>
    <col min="2564" max="2564" width="17.7109375" style="366" customWidth="1"/>
    <col min="2565" max="2565" width="26.42578125" style="366" customWidth="1"/>
    <col min="2566" max="2566" width="13.42578125" style="366" customWidth="1"/>
    <col min="2567" max="2567" width="8.42578125" style="366" bestFit="1" customWidth="1"/>
    <col min="2568" max="2568" width="9.140625" style="366" customWidth="1"/>
    <col min="2569" max="2569" width="5" style="366" bestFit="1" customWidth="1"/>
    <col min="2570" max="2570" width="7.7109375" style="366" bestFit="1" customWidth="1"/>
    <col min="2571" max="2571" width="7" style="366" bestFit="1" customWidth="1"/>
    <col min="2572" max="2572" width="8.42578125" style="366" bestFit="1" customWidth="1"/>
    <col min="2573" max="2573" width="8" style="366" bestFit="1" customWidth="1"/>
    <col min="2574" max="2574" width="8" style="366" customWidth="1"/>
    <col min="2575" max="2575" width="6.28515625" style="366" customWidth="1"/>
    <col min="2576" max="2576" width="3.42578125" style="366" bestFit="1" customWidth="1"/>
    <col min="2577" max="2577" width="4.7109375" style="366" bestFit="1" customWidth="1"/>
    <col min="2578" max="2578" width="4.42578125" style="366" bestFit="1" customWidth="1"/>
    <col min="2579" max="2579" width="6.42578125" style="366" bestFit="1" customWidth="1"/>
    <col min="2580" max="2580" width="7.7109375" style="366" customWidth="1"/>
    <col min="2581" max="2581" width="4.42578125" style="366" bestFit="1" customWidth="1"/>
    <col min="2582" max="2582" width="2" style="366" bestFit="1" customWidth="1"/>
    <col min="2583" max="2583" width="1.7109375" style="366" customWidth="1"/>
    <col min="2584" max="2584" width="2" style="366" bestFit="1" customWidth="1"/>
    <col min="2585" max="2585" width="5.42578125" style="366" bestFit="1" customWidth="1"/>
    <col min="2586" max="2586" width="6.140625" style="366" bestFit="1" customWidth="1"/>
    <col min="2587" max="2588" width="6.28515625" style="366" bestFit="1" customWidth="1"/>
    <col min="2589" max="2589" width="7" style="366" bestFit="1" customWidth="1"/>
    <col min="2590" max="2590" width="9.7109375" style="366" bestFit="1" customWidth="1"/>
    <col min="2591" max="2592" width="5.28515625" style="366" bestFit="1" customWidth="1"/>
    <col min="2593" max="2594" width="6.140625" style="366" bestFit="1" customWidth="1"/>
    <col min="2595" max="2595" width="5.42578125" style="366" bestFit="1" customWidth="1"/>
    <col min="2596" max="2596" width="6.140625" style="366" bestFit="1" customWidth="1"/>
    <col min="2597" max="2597" width="6.28515625" style="366" bestFit="1" customWidth="1"/>
    <col min="2598" max="2598" width="6.140625" style="366" customWidth="1"/>
    <col min="2599" max="2600" width="5.28515625" style="366" bestFit="1" customWidth="1"/>
    <col min="2601" max="2601" width="9.7109375" style="366" bestFit="1" customWidth="1"/>
    <col min="2602" max="2602" width="8.7109375" style="366" bestFit="1" customWidth="1"/>
    <col min="2603" max="2603" width="10.7109375" style="366" bestFit="1" customWidth="1"/>
    <col min="2604" max="2604" width="12.42578125" style="366" bestFit="1" customWidth="1"/>
    <col min="2605" max="2605" width="8.42578125" style="366" bestFit="1" customWidth="1"/>
    <col min="2606" max="2606" width="9.42578125" style="366" customWidth="1"/>
    <col min="2607" max="2818" width="9.140625" style="366"/>
    <col min="2819" max="2819" width="3.7109375" style="366" bestFit="1" customWidth="1"/>
    <col min="2820" max="2820" width="17.7109375" style="366" customWidth="1"/>
    <col min="2821" max="2821" width="26.42578125" style="366" customWidth="1"/>
    <col min="2822" max="2822" width="13.42578125" style="366" customWidth="1"/>
    <col min="2823" max="2823" width="8.42578125" style="366" bestFit="1" customWidth="1"/>
    <col min="2824" max="2824" width="9.140625" style="366" customWidth="1"/>
    <col min="2825" max="2825" width="5" style="366" bestFit="1" customWidth="1"/>
    <col min="2826" max="2826" width="7.7109375" style="366" bestFit="1" customWidth="1"/>
    <col min="2827" max="2827" width="7" style="366" bestFit="1" customWidth="1"/>
    <col min="2828" max="2828" width="8.42578125" style="366" bestFit="1" customWidth="1"/>
    <col min="2829" max="2829" width="8" style="366" bestFit="1" customWidth="1"/>
    <col min="2830" max="2830" width="8" style="366" customWidth="1"/>
    <col min="2831" max="2831" width="6.28515625" style="366" customWidth="1"/>
    <col min="2832" max="2832" width="3.42578125" style="366" bestFit="1" customWidth="1"/>
    <col min="2833" max="2833" width="4.7109375" style="366" bestFit="1" customWidth="1"/>
    <col min="2834" max="2834" width="4.42578125" style="366" bestFit="1" customWidth="1"/>
    <col min="2835" max="2835" width="6.42578125" style="366" bestFit="1" customWidth="1"/>
    <col min="2836" max="2836" width="7.7109375" style="366" customWidth="1"/>
    <col min="2837" max="2837" width="4.42578125" style="366" bestFit="1" customWidth="1"/>
    <col min="2838" max="2838" width="2" style="366" bestFit="1" customWidth="1"/>
    <col min="2839" max="2839" width="1.7109375" style="366" customWidth="1"/>
    <col min="2840" max="2840" width="2" style="366" bestFit="1" customWidth="1"/>
    <col min="2841" max="2841" width="5.42578125" style="366" bestFit="1" customWidth="1"/>
    <col min="2842" max="2842" width="6.140625" style="366" bestFit="1" customWidth="1"/>
    <col min="2843" max="2844" width="6.28515625" style="366" bestFit="1" customWidth="1"/>
    <col min="2845" max="2845" width="7" style="366" bestFit="1" customWidth="1"/>
    <col min="2846" max="2846" width="9.7109375" style="366" bestFit="1" customWidth="1"/>
    <col min="2847" max="2848" width="5.28515625" style="366" bestFit="1" customWidth="1"/>
    <col min="2849" max="2850" width="6.140625" style="366" bestFit="1" customWidth="1"/>
    <col min="2851" max="2851" width="5.42578125" style="366" bestFit="1" customWidth="1"/>
    <col min="2852" max="2852" width="6.140625" style="366" bestFit="1" customWidth="1"/>
    <col min="2853" max="2853" width="6.28515625" style="366" bestFit="1" customWidth="1"/>
    <col min="2854" max="2854" width="6.140625" style="366" customWidth="1"/>
    <col min="2855" max="2856" width="5.28515625" style="366" bestFit="1" customWidth="1"/>
    <col min="2857" max="2857" width="9.7109375" style="366" bestFit="1" customWidth="1"/>
    <col min="2858" max="2858" width="8.7109375" style="366" bestFit="1" customWidth="1"/>
    <col min="2859" max="2859" width="10.7109375" style="366" bestFit="1" customWidth="1"/>
    <col min="2860" max="2860" width="12.42578125" style="366" bestFit="1" customWidth="1"/>
    <col min="2861" max="2861" width="8.42578125" style="366" bestFit="1" customWidth="1"/>
    <col min="2862" max="2862" width="9.42578125" style="366" customWidth="1"/>
    <col min="2863" max="3074" width="9.140625" style="366"/>
    <col min="3075" max="3075" width="3.7109375" style="366" bestFit="1" customWidth="1"/>
    <col min="3076" max="3076" width="17.7109375" style="366" customWidth="1"/>
    <col min="3077" max="3077" width="26.42578125" style="366" customWidth="1"/>
    <col min="3078" max="3078" width="13.42578125" style="366" customWidth="1"/>
    <col min="3079" max="3079" width="8.42578125" style="366" bestFit="1" customWidth="1"/>
    <col min="3080" max="3080" width="9.140625" style="366" customWidth="1"/>
    <col min="3081" max="3081" width="5" style="366" bestFit="1" customWidth="1"/>
    <col min="3082" max="3082" width="7.7109375" style="366" bestFit="1" customWidth="1"/>
    <col min="3083" max="3083" width="7" style="366" bestFit="1" customWidth="1"/>
    <col min="3084" max="3084" width="8.42578125" style="366" bestFit="1" customWidth="1"/>
    <col min="3085" max="3085" width="8" style="366" bestFit="1" customWidth="1"/>
    <col min="3086" max="3086" width="8" style="366" customWidth="1"/>
    <col min="3087" max="3087" width="6.28515625" style="366" customWidth="1"/>
    <col min="3088" max="3088" width="3.42578125" style="366" bestFit="1" customWidth="1"/>
    <col min="3089" max="3089" width="4.7109375" style="366" bestFit="1" customWidth="1"/>
    <col min="3090" max="3090" width="4.42578125" style="366" bestFit="1" customWidth="1"/>
    <col min="3091" max="3091" width="6.42578125" style="366" bestFit="1" customWidth="1"/>
    <col min="3092" max="3092" width="7.7109375" style="366" customWidth="1"/>
    <col min="3093" max="3093" width="4.42578125" style="366" bestFit="1" customWidth="1"/>
    <col min="3094" max="3094" width="2" style="366" bestFit="1" customWidth="1"/>
    <col min="3095" max="3095" width="1.7109375" style="366" customWidth="1"/>
    <col min="3096" max="3096" width="2" style="366" bestFit="1" customWidth="1"/>
    <col min="3097" max="3097" width="5.42578125" style="366" bestFit="1" customWidth="1"/>
    <col min="3098" max="3098" width="6.140625" style="366" bestFit="1" customWidth="1"/>
    <col min="3099" max="3100" width="6.28515625" style="366" bestFit="1" customWidth="1"/>
    <col min="3101" max="3101" width="7" style="366" bestFit="1" customWidth="1"/>
    <col min="3102" max="3102" width="9.7109375" style="366" bestFit="1" customWidth="1"/>
    <col min="3103" max="3104" width="5.28515625" style="366" bestFit="1" customWidth="1"/>
    <col min="3105" max="3106" width="6.140625" style="366" bestFit="1" customWidth="1"/>
    <col min="3107" max="3107" width="5.42578125" style="366" bestFit="1" customWidth="1"/>
    <col min="3108" max="3108" width="6.140625" style="366" bestFit="1" customWidth="1"/>
    <col min="3109" max="3109" width="6.28515625" style="366" bestFit="1" customWidth="1"/>
    <col min="3110" max="3110" width="6.140625" style="366" customWidth="1"/>
    <col min="3111" max="3112" width="5.28515625" style="366" bestFit="1" customWidth="1"/>
    <col min="3113" max="3113" width="9.7109375" style="366" bestFit="1" customWidth="1"/>
    <col min="3114" max="3114" width="8.7109375" style="366" bestFit="1" customWidth="1"/>
    <col min="3115" max="3115" width="10.7109375" style="366" bestFit="1" customWidth="1"/>
    <col min="3116" max="3116" width="12.42578125" style="366" bestFit="1" customWidth="1"/>
    <col min="3117" max="3117" width="8.42578125" style="366" bestFit="1" customWidth="1"/>
    <col min="3118" max="3118" width="9.42578125" style="366" customWidth="1"/>
    <col min="3119" max="3330" width="9.140625" style="366"/>
    <col min="3331" max="3331" width="3.7109375" style="366" bestFit="1" customWidth="1"/>
    <col min="3332" max="3332" width="17.7109375" style="366" customWidth="1"/>
    <col min="3333" max="3333" width="26.42578125" style="366" customWidth="1"/>
    <col min="3334" max="3334" width="13.42578125" style="366" customWidth="1"/>
    <col min="3335" max="3335" width="8.42578125" style="366" bestFit="1" customWidth="1"/>
    <col min="3336" max="3336" width="9.140625" style="366" customWidth="1"/>
    <col min="3337" max="3337" width="5" style="366" bestFit="1" customWidth="1"/>
    <col min="3338" max="3338" width="7.7109375" style="366" bestFit="1" customWidth="1"/>
    <col min="3339" max="3339" width="7" style="366" bestFit="1" customWidth="1"/>
    <col min="3340" max="3340" width="8.42578125" style="366" bestFit="1" customWidth="1"/>
    <col min="3341" max="3341" width="8" style="366" bestFit="1" customWidth="1"/>
    <col min="3342" max="3342" width="8" style="366" customWidth="1"/>
    <col min="3343" max="3343" width="6.28515625" style="366" customWidth="1"/>
    <col min="3344" max="3344" width="3.42578125" style="366" bestFit="1" customWidth="1"/>
    <col min="3345" max="3345" width="4.7109375" style="366" bestFit="1" customWidth="1"/>
    <col min="3346" max="3346" width="4.42578125" style="366" bestFit="1" customWidth="1"/>
    <col min="3347" max="3347" width="6.42578125" style="366" bestFit="1" customWidth="1"/>
    <col min="3348" max="3348" width="7.7109375" style="366" customWidth="1"/>
    <col min="3349" max="3349" width="4.42578125" style="366" bestFit="1" customWidth="1"/>
    <col min="3350" max="3350" width="2" style="366" bestFit="1" customWidth="1"/>
    <col min="3351" max="3351" width="1.7109375" style="366" customWidth="1"/>
    <col min="3352" max="3352" width="2" style="366" bestFit="1" customWidth="1"/>
    <col min="3353" max="3353" width="5.42578125" style="366" bestFit="1" customWidth="1"/>
    <col min="3354" max="3354" width="6.140625" style="366" bestFit="1" customWidth="1"/>
    <col min="3355" max="3356" width="6.28515625" style="366" bestFit="1" customWidth="1"/>
    <col min="3357" max="3357" width="7" style="366" bestFit="1" customWidth="1"/>
    <col min="3358" max="3358" width="9.7109375" style="366" bestFit="1" customWidth="1"/>
    <col min="3359" max="3360" width="5.28515625" style="366" bestFit="1" customWidth="1"/>
    <col min="3361" max="3362" width="6.140625" style="366" bestFit="1" customWidth="1"/>
    <col min="3363" max="3363" width="5.42578125" style="366" bestFit="1" customWidth="1"/>
    <col min="3364" max="3364" width="6.140625" style="366" bestFit="1" customWidth="1"/>
    <col min="3365" max="3365" width="6.28515625" style="366" bestFit="1" customWidth="1"/>
    <col min="3366" max="3366" width="6.140625" style="366" customWidth="1"/>
    <col min="3367" max="3368" width="5.28515625" style="366" bestFit="1" customWidth="1"/>
    <col min="3369" max="3369" width="9.7109375" style="366" bestFit="1" customWidth="1"/>
    <col min="3370" max="3370" width="8.7109375" style="366" bestFit="1" customWidth="1"/>
    <col min="3371" max="3371" width="10.7109375" style="366" bestFit="1" customWidth="1"/>
    <col min="3372" max="3372" width="12.42578125" style="366" bestFit="1" customWidth="1"/>
    <col min="3373" max="3373" width="8.42578125" style="366" bestFit="1" customWidth="1"/>
    <col min="3374" max="3374" width="9.42578125" style="366" customWidth="1"/>
    <col min="3375" max="3586" width="9.140625" style="366"/>
    <col min="3587" max="3587" width="3.7109375" style="366" bestFit="1" customWidth="1"/>
    <col min="3588" max="3588" width="17.7109375" style="366" customWidth="1"/>
    <col min="3589" max="3589" width="26.42578125" style="366" customWidth="1"/>
    <col min="3590" max="3590" width="13.42578125" style="366" customWidth="1"/>
    <col min="3591" max="3591" width="8.42578125" style="366" bestFit="1" customWidth="1"/>
    <col min="3592" max="3592" width="9.140625" style="366" customWidth="1"/>
    <col min="3593" max="3593" width="5" style="366" bestFit="1" customWidth="1"/>
    <col min="3594" max="3594" width="7.7109375" style="366" bestFit="1" customWidth="1"/>
    <col min="3595" max="3595" width="7" style="366" bestFit="1" customWidth="1"/>
    <col min="3596" max="3596" width="8.42578125" style="366" bestFit="1" customWidth="1"/>
    <col min="3597" max="3597" width="8" style="366" bestFit="1" customWidth="1"/>
    <col min="3598" max="3598" width="8" style="366" customWidth="1"/>
    <col min="3599" max="3599" width="6.28515625" style="366" customWidth="1"/>
    <col min="3600" max="3600" width="3.42578125" style="366" bestFit="1" customWidth="1"/>
    <col min="3601" max="3601" width="4.7109375" style="366" bestFit="1" customWidth="1"/>
    <col min="3602" max="3602" width="4.42578125" style="366" bestFit="1" customWidth="1"/>
    <col min="3603" max="3603" width="6.42578125" style="366" bestFit="1" customWidth="1"/>
    <col min="3604" max="3604" width="7.7109375" style="366" customWidth="1"/>
    <col min="3605" max="3605" width="4.42578125" style="366" bestFit="1" customWidth="1"/>
    <col min="3606" max="3606" width="2" style="366" bestFit="1" customWidth="1"/>
    <col min="3607" max="3607" width="1.7109375" style="366" customWidth="1"/>
    <col min="3608" max="3608" width="2" style="366" bestFit="1" customWidth="1"/>
    <col min="3609" max="3609" width="5.42578125" style="366" bestFit="1" customWidth="1"/>
    <col min="3610" max="3610" width="6.140625" style="366" bestFit="1" customWidth="1"/>
    <col min="3611" max="3612" width="6.28515625" style="366" bestFit="1" customWidth="1"/>
    <col min="3613" max="3613" width="7" style="366" bestFit="1" customWidth="1"/>
    <col min="3614" max="3614" width="9.7109375" style="366" bestFit="1" customWidth="1"/>
    <col min="3615" max="3616" width="5.28515625" style="366" bestFit="1" customWidth="1"/>
    <col min="3617" max="3618" width="6.140625" style="366" bestFit="1" customWidth="1"/>
    <col min="3619" max="3619" width="5.42578125" style="366" bestFit="1" customWidth="1"/>
    <col min="3620" max="3620" width="6.140625" style="366" bestFit="1" customWidth="1"/>
    <col min="3621" max="3621" width="6.28515625" style="366" bestFit="1" customWidth="1"/>
    <col min="3622" max="3622" width="6.140625" style="366" customWidth="1"/>
    <col min="3623" max="3624" width="5.28515625" style="366" bestFit="1" customWidth="1"/>
    <col min="3625" max="3625" width="9.7109375" style="366" bestFit="1" customWidth="1"/>
    <col min="3626" max="3626" width="8.7109375" style="366" bestFit="1" customWidth="1"/>
    <col min="3627" max="3627" width="10.7109375" style="366" bestFit="1" customWidth="1"/>
    <col min="3628" max="3628" width="12.42578125" style="366" bestFit="1" customWidth="1"/>
    <col min="3629" max="3629" width="8.42578125" style="366" bestFit="1" customWidth="1"/>
    <col min="3630" max="3630" width="9.42578125" style="366" customWidth="1"/>
    <col min="3631" max="3842" width="9.140625" style="366"/>
    <col min="3843" max="3843" width="3.7109375" style="366" bestFit="1" customWidth="1"/>
    <col min="3844" max="3844" width="17.7109375" style="366" customWidth="1"/>
    <col min="3845" max="3845" width="26.42578125" style="366" customWidth="1"/>
    <col min="3846" max="3846" width="13.42578125" style="366" customWidth="1"/>
    <col min="3847" max="3847" width="8.42578125" style="366" bestFit="1" customWidth="1"/>
    <col min="3848" max="3848" width="9.140625" style="366" customWidth="1"/>
    <col min="3849" max="3849" width="5" style="366" bestFit="1" customWidth="1"/>
    <col min="3850" max="3850" width="7.7109375" style="366" bestFit="1" customWidth="1"/>
    <col min="3851" max="3851" width="7" style="366" bestFit="1" customWidth="1"/>
    <col min="3852" max="3852" width="8.42578125" style="366" bestFit="1" customWidth="1"/>
    <col min="3853" max="3853" width="8" style="366" bestFit="1" customWidth="1"/>
    <col min="3854" max="3854" width="8" style="366" customWidth="1"/>
    <col min="3855" max="3855" width="6.28515625" style="366" customWidth="1"/>
    <col min="3856" max="3856" width="3.42578125" style="366" bestFit="1" customWidth="1"/>
    <col min="3857" max="3857" width="4.7109375" style="366" bestFit="1" customWidth="1"/>
    <col min="3858" max="3858" width="4.42578125" style="366" bestFit="1" customWidth="1"/>
    <col min="3859" max="3859" width="6.42578125" style="366" bestFit="1" customWidth="1"/>
    <col min="3860" max="3860" width="7.7109375" style="366" customWidth="1"/>
    <col min="3861" max="3861" width="4.42578125" style="366" bestFit="1" customWidth="1"/>
    <col min="3862" max="3862" width="2" style="366" bestFit="1" customWidth="1"/>
    <col min="3863" max="3863" width="1.7109375" style="366" customWidth="1"/>
    <col min="3864" max="3864" width="2" style="366" bestFit="1" customWidth="1"/>
    <col min="3865" max="3865" width="5.42578125" style="366" bestFit="1" customWidth="1"/>
    <col min="3866" max="3866" width="6.140625" style="366" bestFit="1" customWidth="1"/>
    <col min="3867" max="3868" width="6.28515625" style="366" bestFit="1" customWidth="1"/>
    <col min="3869" max="3869" width="7" style="366" bestFit="1" customWidth="1"/>
    <col min="3870" max="3870" width="9.7109375" style="366" bestFit="1" customWidth="1"/>
    <col min="3871" max="3872" width="5.28515625" style="366" bestFit="1" customWidth="1"/>
    <col min="3873" max="3874" width="6.140625" style="366" bestFit="1" customWidth="1"/>
    <col min="3875" max="3875" width="5.42578125" style="366" bestFit="1" customWidth="1"/>
    <col min="3876" max="3876" width="6.140625" style="366" bestFit="1" customWidth="1"/>
    <col min="3877" max="3877" width="6.28515625" style="366" bestFit="1" customWidth="1"/>
    <col min="3878" max="3878" width="6.140625" style="366" customWidth="1"/>
    <col min="3879" max="3880" width="5.28515625" style="366" bestFit="1" customWidth="1"/>
    <col min="3881" max="3881" width="9.7109375" style="366" bestFit="1" customWidth="1"/>
    <col min="3882" max="3882" width="8.7109375" style="366" bestFit="1" customWidth="1"/>
    <col min="3883" max="3883" width="10.7109375" style="366" bestFit="1" customWidth="1"/>
    <col min="3884" max="3884" width="12.42578125" style="366" bestFit="1" customWidth="1"/>
    <col min="3885" max="3885" width="8.42578125" style="366" bestFit="1" customWidth="1"/>
    <col min="3886" max="3886" width="9.42578125" style="366" customWidth="1"/>
    <col min="3887" max="4098" width="9.140625" style="366"/>
    <col min="4099" max="4099" width="3.7109375" style="366" bestFit="1" customWidth="1"/>
    <col min="4100" max="4100" width="17.7109375" style="366" customWidth="1"/>
    <col min="4101" max="4101" width="26.42578125" style="366" customWidth="1"/>
    <col min="4102" max="4102" width="13.42578125" style="366" customWidth="1"/>
    <col min="4103" max="4103" width="8.42578125" style="366" bestFit="1" customWidth="1"/>
    <col min="4104" max="4104" width="9.140625" style="366" customWidth="1"/>
    <col min="4105" max="4105" width="5" style="366" bestFit="1" customWidth="1"/>
    <col min="4106" max="4106" width="7.7109375" style="366" bestFit="1" customWidth="1"/>
    <col min="4107" max="4107" width="7" style="366" bestFit="1" customWidth="1"/>
    <col min="4108" max="4108" width="8.42578125" style="366" bestFit="1" customWidth="1"/>
    <col min="4109" max="4109" width="8" style="366" bestFit="1" customWidth="1"/>
    <col min="4110" max="4110" width="8" style="366" customWidth="1"/>
    <col min="4111" max="4111" width="6.28515625" style="366" customWidth="1"/>
    <col min="4112" max="4112" width="3.42578125" style="366" bestFit="1" customWidth="1"/>
    <col min="4113" max="4113" width="4.7109375" style="366" bestFit="1" customWidth="1"/>
    <col min="4114" max="4114" width="4.42578125" style="366" bestFit="1" customWidth="1"/>
    <col min="4115" max="4115" width="6.42578125" style="366" bestFit="1" customWidth="1"/>
    <col min="4116" max="4116" width="7.7109375" style="366" customWidth="1"/>
    <col min="4117" max="4117" width="4.42578125" style="366" bestFit="1" customWidth="1"/>
    <col min="4118" max="4118" width="2" style="366" bestFit="1" customWidth="1"/>
    <col min="4119" max="4119" width="1.7109375" style="366" customWidth="1"/>
    <col min="4120" max="4120" width="2" style="366" bestFit="1" customWidth="1"/>
    <col min="4121" max="4121" width="5.42578125" style="366" bestFit="1" customWidth="1"/>
    <col min="4122" max="4122" width="6.140625" style="366" bestFit="1" customWidth="1"/>
    <col min="4123" max="4124" width="6.28515625" style="366" bestFit="1" customWidth="1"/>
    <col min="4125" max="4125" width="7" style="366" bestFit="1" customWidth="1"/>
    <col min="4126" max="4126" width="9.7109375" style="366" bestFit="1" customWidth="1"/>
    <col min="4127" max="4128" width="5.28515625" style="366" bestFit="1" customWidth="1"/>
    <col min="4129" max="4130" width="6.140625" style="366" bestFit="1" customWidth="1"/>
    <col min="4131" max="4131" width="5.42578125" style="366" bestFit="1" customWidth="1"/>
    <col min="4132" max="4132" width="6.140625" style="366" bestFit="1" customWidth="1"/>
    <col min="4133" max="4133" width="6.28515625" style="366" bestFit="1" customWidth="1"/>
    <col min="4134" max="4134" width="6.140625" style="366" customWidth="1"/>
    <col min="4135" max="4136" width="5.28515625" style="366" bestFit="1" customWidth="1"/>
    <col min="4137" max="4137" width="9.7109375" style="366" bestFit="1" customWidth="1"/>
    <col min="4138" max="4138" width="8.7109375" style="366" bestFit="1" customWidth="1"/>
    <col min="4139" max="4139" width="10.7109375" style="366" bestFit="1" customWidth="1"/>
    <col min="4140" max="4140" width="12.42578125" style="366" bestFit="1" customWidth="1"/>
    <col min="4141" max="4141" width="8.42578125" style="366" bestFit="1" customWidth="1"/>
    <col min="4142" max="4142" width="9.42578125" style="366" customWidth="1"/>
    <col min="4143" max="4354" width="9.140625" style="366"/>
    <col min="4355" max="4355" width="3.7109375" style="366" bestFit="1" customWidth="1"/>
    <col min="4356" max="4356" width="17.7109375" style="366" customWidth="1"/>
    <col min="4357" max="4357" width="26.42578125" style="366" customWidth="1"/>
    <col min="4358" max="4358" width="13.42578125" style="366" customWidth="1"/>
    <col min="4359" max="4359" width="8.42578125" style="366" bestFit="1" customWidth="1"/>
    <col min="4360" max="4360" width="9.140625" style="366" customWidth="1"/>
    <col min="4361" max="4361" width="5" style="366" bestFit="1" customWidth="1"/>
    <col min="4362" max="4362" width="7.7109375" style="366" bestFit="1" customWidth="1"/>
    <col min="4363" max="4363" width="7" style="366" bestFit="1" customWidth="1"/>
    <col min="4364" max="4364" width="8.42578125" style="366" bestFit="1" customWidth="1"/>
    <col min="4365" max="4365" width="8" style="366" bestFit="1" customWidth="1"/>
    <col min="4366" max="4366" width="8" style="366" customWidth="1"/>
    <col min="4367" max="4367" width="6.28515625" style="366" customWidth="1"/>
    <col min="4368" max="4368" width="3.42578125" style="366" bestFit="1" customWidth="1"/>
    <col min="4369" max="4369" width="4.7109375" style="366" bestFit="1" customWidth="1"/>
    <col min="4370" max="4370" width="4.42578125" style="366" bestFit="1" customWidth="1"/>
    <col min="4371" max="4371" width="6.42578125" style="366" bestFit="1" customWidth="1"/>
    <col min="4372" max="4372" width="7.7109375" style="366" customWidth="1"/>
    <col min="4373" max="4373" width="4.42578125" style="366" bestFit="1" customWidth="1"/>
    <col min="4374" max="4374" width="2" style="366" bestFit="1" customWidth="1"/>
    <col min="4375" max="4375" width="1.7109375" style="366" customWidth="1"/>
    <col min="4376" max="4376" width="2" style="366" bestFit="1" customWidth="1"/>
    <col min="4377" max="4377" width="5.42578125" style="366" bestFit="1" customWidth="1"/>
    <col min="4378" max="4378" width="6.140625" style="366" bestFit="1" customWidth="1"/>
    <col min="4379" max="4380" width="6.28515625" style="366" bestFit="1" customWidth="1"/>
    <col min="4381" max="4381" width="7" style="366" bestFit="1" customWidth="1"/>
    <col min="4382" max="4382" width="9.7109375" style="366" bestFit="1" customWidth="1"/>
    <col min="4383" max="4384" width="5.28515625" style="366" bestFit="1" customWidth="1"/>
    <col min="4385" max="4386" width="6.140625" style="366" bestFit="1" customWidth="1"/>
    <col min="4387" max="4387" width="5.42578125" style="366" bestFit="1" customWidth="1"/>
    <col min="4388" max="4388" width="6.140625" style="366" bestFit="1" customWidth="1"/>
    <col min="4389" max="4389" width="6.28515625" style="366" bestFit="1" customWidth="1"/>
    <col min="4390" max="4390" width="6.140625" style="366" customWidth="1"/>
    <col min="4391" max="4392" width="5.28515625" style="366" bestFit="1" customWidth="1"/>
    <col min="4393" max="4393" width="9.7109375" style="366" bestFit="1" customWidth="1"/>
    <col min="4394" max="4394" width="8.7109375" style="366" bestFit="1" customWidth="1"/>
    <col min="4395" max="4395" width="10.7109375" style="366" bestFit="1" customWidth="1"/>
    <col min="4396" max="4396" width="12.42578125" style="366" bestFit="1" customWidth="1"/>
    <col min="4397" max="4397" width="8.42578125" style="366" bestFit="1" customWidth="1"/>
    <col min="4398" max="4398" width="9.42578125" style="366" customWidth="1"/>
    <col min="4399" max="4610" width="9.140625" style="366"/>
    <col min="4611" max="4611" width="3.7109375" style="366" bestFit="1" customWidth="1"/>
    <col min="4612" max="4612" width="17.7109375" style="366" customWidth="1"/>
    <col min="4613" max="4613" width="26.42578125" style="366" customWidth="1"/>
    <col min="4614" max="4614" width="13.42578125" style="366" customWidth="1"/>
    <col min="4615" max="4615" width="8.42578125" style="366" bestFit="1" customWidth="1"/>
    <col min="4616" max="4616" width="9.140625" style="366" customWidth="1"/>
    <col min="4617" max="4617" width="5" style="366" bestFit="1" customWidth="1"/>
    <col min="4618" max="4618" width="7.7109375" style="366" bestFit="1" customWidth="1"/>
    <col min="4619" max="4619" width="7" style="366" bestFit="1" customWidth="1"/>
    <col min="4620" max="4620" width="8.42578125" style="366" bestFit="1" customWidth="1"/>
    <col min="4621" max="4621" width="8" style="366" bestFit="1" customWidth="1"/>
    <col min="4622" max="4622" width="8" style="366" customWidth="1"/>
    <col min="4623" max="4623" width="6.28515625" style="366" customWidth="1"/>
    <col min="4624" max="4624" width="3.42578125" style="366" bestFit="1" customWidth="1"/>
    <col min="4625" max="4625" width="4.7109375" style="366" bestFit="1" customWidth="1"/>
    <col min="4626" max="4626" width="4.42578125" style="366" bestFit="1" customWidth="1"/>
    <col min="4627" max="4627" width="6.42578125" style="366" bestFit="1" customWidth="1"/>
    <col min="4628" max="4628" width="7.7109375" style="366" customWidth="1"/>
    <col min="4629" max="4629" width="4.42578125" style="366" bestFit="1" customWidth="1"/>
    <col min="4630" max="4630" width="2" style="366" bestFit="1" customWidth="1"/>
    <col min="4631" max="4631" width="1.7109375" style="366" customWidth="1"/>
    <col min="4632" max="4632" width="2" style="366" bestFit="1" customWidth="1"/>
    <col min="4633" max="4633" width="5.42578125" style="366" bestFit="1" customWidth="1"/>
    <col min="4634" max="4634" width="6.140625" style="366" bestFit="1" customWidth="1"/>
    <col min="4635" max="4636" width="6.28515625" style="366" bestFit="1" customWidth="1"/>
    <col min="4637" max="4637" width="7" style="366" bestFit="1" customWidth="1"/>
    <col min="4638" max="4638" width="9.7109375" style="366" bestFit="1" customWidth="1"/>
    <col min="4639" max="4640" width="5.28515625" style="366" bestFit="1" customWidth="1"/>
    <col min="4641" max="4642" width="6.140625" style="366" bestFit="1" customWidth="1"/>
    <col min="4643" max="4643" width="5.42578125" style="366" bestFit="1" customWidth="1"/>
    <col min="4644" max="4644" width="6.140625" style="366" bestFit="1" customWidth="1"/>
    <col min="4645" max="4645" width="6.28515625" style="366" bestFit="1" customWidth="1"/>
    <col min="4646" max="4646" width="6.140625" style="366" customWidth="1"/>
    <col min="4647" max="4648" width="5.28515625" style="366" bestFit="1" customWidth="1"/>
    <col min="4649" max="4649" width="9.7109375" style="366" bestFit="1" customWidth="1"/>
    <col min="4650" max="4650" width="8.7109375" style="366" bestFit="1" customWidth="1"/>
    <col min="4651" max="4651" width="10.7109375" style="366" bestFit="1" customWidth="1"/>
    <col min="4652" max="4652" width="12.42578125" style="366" bestFit="1" customWidth="1"/>
    <col min="4653" max="4653" width="8.42578125" style="366" bestFit="1" customWidth="1"/>
    <col min="4654" max="4654" width="9.42578125" style="366" customWidth="1"/>
    <col min="4655" max="4866" width="9.140625" style="366"/>
    <col min="4867" max="4867" width="3.7109375" style="366" bestFit="1" customWidth="1"/>
    <col min="4868" max="4868" width="17.7109375" style="366" customWidth="1"/>
    <col min="4869" max="4869" width="26.42578125" style="366" customWidth="1"/>
    <col min="4870" max="4870" width="13.42578125" style="366" customWidth="1"/>
    <col min="4871" max="4871" width="8.42578125" style="366" bestFit="1" customWidth="1"/>
    <col min="4872" max="4872" width="9.140625" style="366" customWidth="1"/>
    <col min="4873" max="4873" width="5" style="366" bestFit="1" customWidth="1"/>
    <col min="4874" max="4874" width="7.7109375" style="366" bestFit="1" customWidth="1"/>
    <col min="4875" max="4875" width="7" style="366" bestFit="1" customWidth="1"/>
    <col min="4876" max="4876" width="8.42578125" style="366" bestFit="1" customWidth="1"/>
    <col min="4877" max="4877" width="8" style="366" bestFit="1" customWidth="1"/>
    <col min="4878" max="4878" width="8" style="366" customWidth="1"/>
    <col min="4879" max="4879" width="6.28515625" style="366" customWidth="1"/>
    <col min="4880" max="4880" width="3.42578125" style="366" bestFit="1" customWidth="1"/>
    <col min="4881" max="4881" width="4.7109375" style="366" bestFit="1" customWidth="1"/>
    <col min="4882" max="4882" width="4.42578125" style="366" bestFit="1" customWidth="1"/>
    <col min="4883" max="4883" width="6.42578125" style="366" bestFit="1" customWidth="1"/>
    <col min="4884" max="4884" width="7.7109375" style="366" customWidth="1"/>
    <col min="4885" max="4885" width="4.42578125" style="366" bestFit="1" customWidth="1"/>
    <col min="4886" max="4886" width="2" style="366" bestFit="1" customWidth="1"/>
    <col min="4887" max="4887" width="1.7109375" style="366" customWidth="1"/>
    <col min="4888" max="4888" width="2" style="366" bestFit="1" customWidth="1"/>
    <col min="4889" max="4889" width="5.42578125" style="366" bestFit="1" customWidth="1"/>
    <col min="4890" max="4890" width="6.140625" style="366" bestFit="1" customWidth="1"/>
    <col min="4891" max="4892" width="6.28515625" style="366" bestFit="1" customWidth="1"/>
    <col min="4893" max="4893" width="7" style="366" bestFit="1" customWidth="1"/>
    <col min="4894" max="4894" width="9.7109375" style="366" bestFit="1" customWidth="1"/>
    <col min="4895" max="4896" width="5.28515625" style="366" bestFit="1" customWidth="1"/>
    <col min="4897" max="4898" width="6.140625" style="366" bestFit="1" customWidth="1"/>
    <col min="4899" max="4899" width="5.42578125" style="366" bestFit="1" customWidth="1"/>
    <col min="4900" max="4900" width="6.140625" style="366" bestFit="1" customWidth="1"/>
    <col min="4901" max="4901" width="6.28515625" style="366" bestFit="1" customWidth="1"/>
    <col min="4902" max="4902" width="6.140625" style="366" customWidth="1"/>
    <col min="4903" max="4904" width="5.28515625" style="366" bestFit="1" customWidth="1"/>
    <col min="4905" max="4905" width="9.7109375" style="366" bestFit="1" customWidth="1"/>
    <col min="4906" max="4906" width="8.7109375" style="366" bestFit="1" customWidth="1"/>
    <col min="4907" max="4907" width="10.7109375" style="366" bestFit="1" customWidth="1"/>
    <col min="4908" max="4908" width="12.42578125" style="366" bestFit="1" customWidth="1"/>
    <col min="4909" max="4909" width="8.42578125" style="366" bestFit="1" customWidth="1"/>
    <col min="4910" max="4910" width="9.42578125" style="366" customWidth="1"/>
    <col min="4911" max="5122" width="9.140625" style="366"/>
    <col min="5123" max="5123" width="3.7109375" style="366" bestFit="1" customWidth="1"/>
    <col min="5124" max="5124" width="17.7109375" style="366" customWidth="1"/>
    <col min="5125" max="5125" width="26.42578125" style="366" customWidth="1"/>
    <col min="5126" max="5126" width="13.42578125" style="366" customWidth="1"/>
    <col min="5127" max="5127" width="8.42578125" style="366" bestFit="1" customWidth="1"/>
    <col min="5128" max="5128" width="9.140625" style="366" customWidth="1"/>
    <col min="5129" max="5129" width="5" style="366" bestFit="1" customWidth="1"/>
    <col min="5130" max="5130" width="7.7109375" style="366" bestFit="1" customWidth="1"/>
    <col min="5131" max="5131" width="7" style="366" bestFit="1" customWidth="1"/>
    <col min="5132" max="5132" width="8.42578125" style="366" bestFit="1" customWidth="1"/>
    <col min="5133" max="5133" width="8" style="366" bestFit="1" customWidth="1"/>
    <col min="5134" max="5134" width="8" style="366" customWidth="1"/>
    <col min="5135" max="5135" width="6.28515625" style="366" customWidth="1"/>
    <col min="5136" max="5136" width="3.42578125" style="366" bestFit="1" customWidth="1"/>
    <col min="5137" max="5137" width="4.7109375" style="366" bestFit="1" customWidth="1"/>
    <col min="5138" max="5138" width="4.42578125" style="366" bestFit="1" customWidth="1"/>
    <col min="5139" max="5139" width="6.42578125" style="366" bestFit="1" customWidth="1"/>
    <col min="5140" max="5140" width="7.7109375" style="366" customWidth="1"/>
    <col min="5141" max="5141" width="4.42578125" style="366" bestFit="1" customWidth="1"/>
    <col min="5142" max="5142" width="2" style="366" bestFit="1" customWidth="1"/>
    <col min="5143" max="5143" width="1.7109375" style="366" customWidth="1"/>
    <col min="5144" max="5144" width="2" style="366" bestFit="1" customWidth="1"/>
    <col min="5145" max="5145" width="5.42578125" style="366" bestFit="1" customWidth="1"/>
    <col min="5146" max="5146" width="6.140625" style="366" bestFit="1" customWidth="1"/>
    <col min="5147" max="5148" width="6.28515625" style="366" bestFit="1" customWidth="1"/>
    <col min="5149" max="5149" width="7" style="366" bestFit="1" customWidth="1"/>
    <col min="5150" max="5150" width="9.7109375" style="366" bestFit="1" customWidth="1"/>
    <col min="5151" max="5152" width="5.28515625" style="366" bestFit="1" customWidth="1"/>
    <col min="5153" max="5154" width="6.140625" style="366" bestFit="1" customWidth="1"/>
    <col min="5155" max="5155" width="5.42578125" style="366" bestFit="1" customWidth="1"/>
    <col min="5156" max="5156" width="6.140625" style="366" bestFit="1" customWidth="1"/>
    <col min="5157" max="5157" width="6.28515625" style="366" bestFit="1" customWidth="1"/>
    <col min="5158" max="5158" width="6.140625" style="366" customWidth="1"/>
    <col min="5159" max="5160" width="5.28515625" style="366" bestFit="1" customWidth="1"/>
    <col min="5161" max="5161" width="9.7109375" style="366" bestFit="1" customWidth="1"/>
    <col min="5162" max="5162" width="8.7109375" style="366" bestFit="1" customWidth="1"/>
    <col min="5163" max="5163" width="10.7109375" style="366" bestFit="1" customWidth="1"/>
    <col min="5164" max="5164" width="12.42578125" style="366" bestFit="1" customWidth="1"/>
    <col min="5165" max="5165" width="8.42578125" style="366" bestFit="1" customWidth="1"/>
    <col min="5166" max="5166" width="9.42578125" style="366" customWidth="1"/>
    <col min="5167" max="5378" width="9.140625" style="366"/>
    <col min="5379" max="5379" width="3.7109375" style="366" bestFit="1" customWidth="1"/>
    <col min="5380" max="5380" width="17.7109375" style="366" customWidth="1"/>
    <col min="5381" max="5381" width="26.42578125" style="366" customWidth="1"/>
    <col min="5382" max="5382" width="13.42578125" style="366" customWidth="1"/>
    <col min="5383" max="5383" width="8.42578125" style="366" bestFit="1" customWidth="1"/>
    <col min="5384" max="5384" width="9.140625" style="366" customWidth="1"/>
    <col min="5385" max="5385" width="5" style="366" bestFit="1" customWidth="1"/>
    <col min="5386" max="5386" width="7.7109375" style="366" bestFit="1" customWidth="1"/>
    <col min="5387" max="5387" width="7" style="366" bestFit="1" customWidth="1"/>
    <col min="5388" max="5388" width="8.42578125" style="366" bestFit="1" customWidth="1"/>
    <col min="5389" max="5389" width="8" style="366" bestFit="1" customWidth="1"/>
    <col min="5390" max="5390" width="8" style="366" customWidth="1"/>
    <col min="5391" max="5391" width="6.28515625" style="366" customWidth="1"/>
    <col min="5392" max="5392" width="3.42578125" style="366" bestFit="1" customWidth="1"/>
    <col min="5393" max="5393" width="4.7109375" style="366" bestFit="1" customWidth="1"/>
    <col min="5394" max="5394" width="4.42578125" style="366" bestFit="1" customWidth="1"/>
    <col min="5395" max="5395" width="6.42578125" style="366" bestFit="1" customWidth="1"/>
    <col min="5396" max="5396" width="7.7109375" style="366" customWidth="1"/>
    <col min="5397" max="5397" width="4.42578125" style="366" bestFit="1" customWidth="1"/>
    <col min="5398" max="5398" width="2" style="366" bestFit="1" customWidth="1"/>
    <col min="5399" max="5399" width="1.7109375" style="366" customWidth="1"/>
    <col min="5400" max="5400" width="2" style="366" bestFit="1" customWidth="1"/>
    <col min="5401" max="5401" width="5.42578125" style="366" bestFit="1" customWidth="1"/>
    <col min="5402" max="5402" width="6.140625" style="366" bestFit="1" customWidth="1"/>
    <col min="5403" max="5404" width="6.28515625" style="366" bestFit="1" customWidth="1"/>
    <col min="5405" max="5405" width="7" style="366" bestFit="1" customWidth="1"/>
    <col min="5406" max="5406" width="9.7109375" style="366" bestFit="1" customWidth="1"/>
    <col min="5407" max="5408" width="5.28515625" style="366" bestFit="1" customWidth="1"/>
    <col min="5409" max="5410" width="6.140625" style="366" bestFit="1" customWidth="1"/>
    <col min="5411" max="5411" width="5.42578125" style="366" bestFit="1" customWidth="1"/>
    <col min="5412" max="5412" width="6.140625" style="366" bestFit="1" customWidth="1"/>
    <col min="5413" max="5413" width="6.28515625" style="366" bestFit="1" customWidth="1"/>
    <col min="5414" max="5414" width="6.140625" style="366" customWidth="1"/>
    <col min="5415" max="5416" width="5.28515625" style="366" bestFit="1" customWidth="1"/>
    <col min="5417" max="5417" width="9.7109375" style="366" bestFit="1" customWidth="1"/>
    <col min="5418" max="5418" width="8.7109375" style="366" bestFit="1" customWidth="1"/>
    <col min="5419" max="5419" width="10.7109375" style="366" bestFit="1" customWidth="1"/>
    <col min="5420" max="5420" width="12.42578125" style="366" bestFit="1" customWidth="1"/>
    <col min="5421" max="5421" width="8.42578125" style="366" bestFit="1" customWidth="1"/>
    <col min="5422" max="5422" width="9.42578125" style="366" customWidth="1"/>
    <col min="5423" max="5634" width="9.140625" style="366"/>
    <col min="5635" max="5635" width="3.7109375" style="366" bestFit="1" customWidth="1"/>
    <col min="5636" max="5636" width="17.7109375" style="366" customWidth="1"/>
    <col min="5637" max="5637" width="26.42578125" style="366" customWidth="1"/>
    <col min="5638" max="5638" width="13.42578125" style="366" customWidth="1"/>
    <col min="5639" max="5639" width="8.42578125" style="366" bestFit="1" customWidth="1"/>
    <col min="5640" max="5640" width="9.140625" style="366" customWidth="1"/>
    <col min="5641" max="5641" width="5" style="366" bestFit="1" customWidth="1"/>
    <col min="5642" max="5642" width="7.7109375" style="366" bestFit="1" customWidth="1"/>
    <col min="5643" max="5643" width="7" style="366" bestFit="1" customWidth="1"/>
    <col min="5644" max="5644" width="8.42578125" style="366" bestFit="1" customWidth="1"/>
    <col min="5645" max="5645" width="8" style="366" bestFit="1" customWidth="1"/>
    <col min="5646" max="5646" width="8" style="366" customWidth="1"/>
    <col min="5647" max="5647" width="6.28515625" style="366" customWidth="1"/>
    <col min="5648" max="5648" width="3.42578125" style="366" bestFit="1" customWidth="1"/>
    <col min="5649" max="5649" width="4.7109375" style="366" bestFit="1" customWidth="1"/>
    <col min="5650" max="5650" width="4.42578125" style="366" bestFit="1" customWidth="1"/>
    <col min="5651" max="5651" width="6.42578125" style="366" bestFit="1" customWidth="1"/>
    <col min="5652" max="5652" width="7.7109375" style="366" customWidth="1"/>
    <col min="5653" max="5653" width="4.42578125" style="366" bestFit="1" customWidth="1"/>
    <col min="5654" max="5654" width="2" style="366" bestFit="1" customWidth="1"/>
    <col min="5655" max="5655" width="1.7109375" style="366" customWidth="1"/>
    <col min="5656" max="5656" width="2" style="366" bestFit="1" customWidth="1"/>
    <col min="5657" max="5657" width="5.42578125" style="366" bestFit="1" customWidth="1"/>
    <col min="5658" max="5658" width="6.140625" style="366" bestFit="1" customWidth="1"/>
    <col min="5659" max="5660" width="6.28515625" style="366" bestFit="1" customWidth="1"/>
    <col min="5661" max="5661" width="7" style="366" bestFit="1" customWidth="1"/>
    <col min="5662" max="5662" width="9.7109375" style="366" bestFit="1" customWidth="1"/>
    <col min="5663" max="5664" width="5.28515625" style="366" bestFit="1" customWidth="1"/>
    <col min="5665" max="5666" width="6.140625" style="366" bestFit="1" customWidth="1"/>
    <col min="5667" max="5667" width="5.42578125" style="366" bestFit="1" customWidth="1"/>
    <col min="5668" max="5668" width="6.140625" style="366" bestFit="1" customWidth="1"/>
    <col min="5669" max="5669" width="6.28515625" style="366" bestFit="1" customWidth="1"/>
    <col min="5670" max="5670" width="6.140625" style="366" customWidth="1"/>
    <col min="5671" max="5672" width="5.28515625" style="366" bestFit="1" customWidth="1"/>
    <col min="5673" max="5673" width="9.7109375" style="366" bestFit="1" customWidth="1"/>
    <col min="5674" max="5674" width="8.7109375" style="366" bestFit="1" customWidth="1"/>
    <col min="5675" max="5675" width="10.7109375" style="366" bestFit="1" customWidth="1"/>
    <col min="5676" max="5676" width="12.42578125" style="366" bestFit="1" customWidth="1"/>
    <col min="5677" max="5677" width="8.42578125" style="366" bestFit="1" customWidth="1"/>
    <col min="5678" max="5678" width="9.42578125" style="366" customWidth="1"/>
    <col min="5679" max="5890" width="9.140625" style="366"/>
    <col min="5891" max="5891" width="3.7109375" style="366" bestFit="1" customWidth="1"/>
    <col min="5892" max="5892" width="17.7109375" style="366" customWidth="1"/>
    <col min="5893" max="5893" width="26.42578125" style="366" customWidth="1"/>
    <col min="5894" max="5894" width="13.42578125" style="366" customWidth="1"/>
    <col min="5895" max="5895" width="8.42578125" style="366" bestFit="1" customWidth="1"/>
    <col min="5896" max="5896" width="9.140625" style="366" customWidth="1"/>
    <col min="5897" max="5897" width="5" style="366" bestFit="1" customWidth="1"/>
    <col min="5898" max="5898" width="7.7109375" style="366" bestFit="1" customWidth="1"/>
    <col min="5899" max="5899" width="7" style="366" bestFit="1" customWidth="1"/>
    <col min="5900" max="5900" width="8.42578125" style="366" bestFit="1" customWidth="1"/>
    <col min="5901" max="5901" width="8" style="366" bestFit="1" customWidth="1"/>
    <col min="5902" max="5902" width="8" style="366" customWidth="1"/>
    <col min="5903" max="5903" width="6.28515625" style="366" customWidth="1"/>
    <col min="5904" max="5904" width="3.42578125" style="366" bestFit="1" customWidth="1"/>
    <col min="5905" max="5905" width="4.7109375" style="366" bestFit="1" customWidth="1"/>
    <col min="5906" max="5906" width="4.42578125" style="366" bestFit="1" customWidth="1"/>
    <col min="5907" max="5907" width="6.42578125" style="366" bestFit="1" customWidth="1"/>
    <col min="5908" max="5908" width="7.7109375" style="366" customWidth="1"/>
    <col min="5909" max="5909" width="4.42578125" style="366" bestFit="1" customWidth="1"/>
    <col min="5910" max="5910" width="2" style="366" bestFit="1" customWidth="1"/>
    <col min="5911" max="5911" width="1.7109375" style="366" customWidth="1"/>
    <col min="5912" max="5912" width="2" style="366" bestFit="1" customWidth="1"/>
    <col min="5913" max="5913" width="5.42578125" style="366" bestFit="1" customWidth="1"/>
    <col min="5914" max="5914" width="6.140625" style="366" bestFit="1" customWidth="1"/>
    <col min="5915" max="5916" width="6.28515625" style="366" bestFit="1" customWidth="1"/>
    <col min="5917" max="5917" width="7" style="366" bestFit="1" customWidth="1"/>
    <col min="5918" max="5918" width="9.7109375" style="366" bestFit="1" customWidth="1"/>
    <col min="5919" max="5920" width="5.28515625" style="366" bestFit="1" customWidth="1"/>
    <col min="5921" max="5922" width="6.140625" style="366" bestFit="1" customWidth="1"/>
    <col min="5923" max="5923" width="5.42578125" style="366" bestFit="1" customWidth="1"/>
    <col min="5924" max="5924" width="6.140625" style="366" bestFit="1" customWidth="1"/>
    <col min="5925" max="5925" width="6.28515625" style="366" bestFit="1" customWidth="1"/>
    <col min="5926" max="5926" width="6.140625" style="366" customWidth="1"/>
    <col min="5927" max="5928" width="5.28515625" style="366" bestFit="1" customWidth="1"/>
    <col min="5929" max="5929" width="9.7109375" style="366" bestFit="1" customWidth="1"/>
    <col min="5930" max="5930" width="8.7109375" style="366" bestFit="1" customWidth="1"/>
    <col min="5931" max="5931" width="10.7109375" style="366" bestFit="1" customWidth="1"/>
    <col min="5932" max="5932" width="12.42578125" style="366" bestFit="1" customWidth="1"/>
    <col min="5933" max="5933" width="8.42578125" style="366" bestFit="1" customWidth="1"/>
    <col min="5934" max="5934" width="9.42578125" style="366" customWidth="1"/>
    <col min="5935" max="6146" width="9.140625" style="366"/>
    <col min="6147" max="6147" width="3.7109375" style="366" bestFit="1" customWidth="1"/>
    <col min="6148" max="6148" width="17.7109375" style="366" customWidth="1"/>
    <col min="6149" max="6149" width="26.42578125" style="366" customWidth="1"/>
    <col min="6150" max="6150" width="13.42578125" style="366" customWidth="1"/>
    <col min="6151" max="6151" width="8.42578125" style="366" bestFit="1" customWidth="1"/>
    <col min="6152" max="6152" width="9.140625" style="366" customWidth="1"/>
    <col min="6153" max="6153" width="5" style="366" bestFit="1" customWidth="1"/>
    <col min="6154" max="6154" width="7.7109375" style="366" bestFit="1" customWidth="1"/>
    <col min="6155" max="6155" width="7" style="366" bestFit="1" customWidth="1"/>
    <col min="6156" max="6156" width="8.42578125" style="366" bestFit="1" customWidth="1"/>
    <col min="6157" max="6157" width="8" style="366" bestFit="1" customWidth="1"/>
    <col min="6158" max="6158" width="8" style="366" customWidth="1"/>
    <col min="6159" max="6159" width="6.28515625" style="366" customWidth="1"/>
    <col min="6160" max="6160" width="3.42578125" style="366" bestFit="1" customWidth="1"/>
    <col min="6161" max="6161" width="4.7109375" style="366" bestFit="1" customWidth="1"/>
    <col min="6162" max="6162" width="4.42578125" style="366" bestFit="1" customWidth="1"/>
    <col min="6163" max="6163" width="6.42578125" style="366" bestFit="1" customWidth="1"/>
    <col min="6164" max="6164" width="7.7109375" style="366" customWidth="1"/>
    <col min="6165" max="6165" width="4.42578125" style="366" bestFit="1" customWidth="1"/>
    <col min="6166" max="6166" width="2" style="366" bestFit="1" customWidth="1"/>
    <col min="6167" max="6167" width="1.7109375" style="366" customWidth="1"/>
    <col min="6168" max="6168" width="2" style="366" bestFit="1" customWidth="1"/>
    <col min="6169" max="6169" width="5.42578125" style="366" bestFit="1" customWidth="1"/>
    <col min="6170" max="6170" width="6.140625" style="366" bestFit="1" customWidth="1"/>
    <col min="6171" max="6172" width="6.28515625" style="366" bestFit="1" customWidth="1"/>
    <col min="6173" max="6173" width="7" style="366" bestFit="1" customWidth="1"/>
    <col min="6174" max="6174" width="9.7109375" style="366" bestFit="1" customWidth="1"/>
    <col min="6175" max="6176" width="5.28515625" style="366" bestFit="1" customWidth="1"/>
    <col min="6177" max="6178" width="6.140625" style="366" bestFit="1" customWidth="1"/>
    <col min="6179" max="6179" width="5.42578125" style="366" bestFit="1" customWidth="1"/>
    <col min="6180" max="6180" width="6.140625" style="366" bestFit="1" customWidth="1"/>
    <col min="6181" max="6181" width="6.28515625" style="366" bestFit="1" customWidth="1"/>
    <col min="6182" max="6182" width="6.140625" style="366" customWidth="1"/>
    <col min="6183" max="6184" width="5.28515625" style="366" bestFit="1" customWidth="1"/>
    <col min="6185" max="6185" width="9.7109375" style="366" bestFit="1" customWidth="1"/>
    <col min="6186" max="6186" width="8.7109375" style="366" bestFit="1" customWidth="1"/>
    <col min="6187" max="6187" width="10.7109375" style="366" bestFit="1" customWidth="1"/>
    <col min="6188" max="6188" width="12.42578125" style="366" bestFit="1" customWidth="1"/>
    <col min="6189" max="6189" width="8.42578125" style="366" bestFit="1" customWidth="1"/>
    <col min="6190" max="6190" width="9.42578125" style="366" customWidth="1"/>
    <col min="6191" max="6402" width="9.140625" style="366"/>
    <col min="6403" max="6403" width="3.7109375" style="366" bestFit="1" customWidth="1"/>
    <col min="6404" max="6404" width="17.7109375" style="366" customWidth="1"/>
    <col min="6405" max="6405" width="26.42578125" style="366" customWidth="1"/>
    <col min="6406" max="6406" width="13.42578125" style="366" customWidth="1"/>
    <col min="6407" max="6407" width="8.42578125" style="366" bestFit="1" customWidth="1"/>
    <col min="6408" max="6408" width="9.140625" style="366" customWidth="1"/>
    <col min="6409" max="6409" width="5" style="366" bestFit="1" customWidth="1"/>
    <col min="6410" max="6410" width="7.7109375" style="366" bestFit="1" customWidth="1"/>
    <col min="6411" max="6411" width="7" style="366" bestFit="1" customWidth="1"/>
    <col min="6412" max="6412" width="8.42578125" style="366" bestFit="1" customWidth="1"/>
    <col min="6413" max="6413" width="8" style="366" bestFit="1" customWidth="1"/>
    <col min="6414" max="6414" width="8" style="366" customWidth="1"/>
    <col min="6415" max="6415" width="6.28515625" style="366" customWidth="1"/>
    <col min="6416" max="6416" width="3.42578125" style="366" bestFit="1" customWidth="1"/>
    <col min="6417" max="6417" width="4.7109375" style="366" bestFit="1" customWidth="1"/>
    <col min="6418" max="6418" width="4.42578125" style="366" bestFit="1" customWidth="1"/>
    <col min="6419" max="6419" width="6.42578125" style="366" bestFit="1" customWidth="1"/>
    <col min="6420" max="6420" width="7.7109375" style="366" customWidth="1"/>
    <col min="6421" max="6421" width="4.42578125" style="366" bestFit="1" customWidth="1"/>
    <col min="6422" max="6422" width="2" style="366" bestFit="1" customWidth="1"/>
    <col min="6423" max="6423" width="1.7109375" style="366" customWidth="1"/>
    <col min="6424" max="6424" width="2" style="366" bestFit="1" customWidth="1"/>
    <col min="6425" max="6425" width="5.42578125" style="366" bestFit="1" customWidth="1"/>
    <col min="6426" max="6426" width="6.140625" style="366" bestFit="1" customWidth="1"/>
    <col min="6427" max="6428" width="6.28515625" style="366" bestFit="1" customWidth="1"/>
    <col min="6429" max="6429" width="7" style="366" bestFit="1" customWidth="1"/>
    <col min="6430" max="6430" width="9.7109375" style="366" bestFit="1" customWidth="1"/>
    <col min="6431" max="6432" width="5.28515625" style="366" bestFit="1" customWidth="1"/>
    <col min="6433" max="6434" width="6.140625" style="366" bestFit="1" customWidth="1"/>
    <col min="6435" max="6435" width="5.42578125" style="366" bestFit="1" customWidth="1"/>
    <col min="6436" max="6436" width="6.140625" style="366" bestFit="1" customWidth="1"/>
    <col min="6437" max="6437" width="6.28515625" style="366" bestFit="1" customWidth="1"/>
    <col min="6438" max="6438" width="6.140625" style="366" customWidth="1"/>
    <col min="6439" max="6440" width="5.28515625" style="366" bestFit="1" customWidth="1"/>
    <col min="6441" max="6441" width="9.7109375" style="366" bestFit="1" customWidth="1"/>
    <col min="6442" max="6442" width="8.7109375" style="366" bestFit="1" customWidth="1"/>
    <col min="6443" max="6443" width="10.7109375" style="366" bestFit="1" customWidth="1"/>
    <col min="6444" max="6444" width="12.42578125" style="366" bestFit="1" customWidth="1"/>
    <col min="6445" max="6445" width="8.42578125" style="366" bestFit="1" customWidth="1"/>
    <col min="6446" max="6446" width="9.42578125" style="366" customWidth="1"/>
    <col min="6447" max="6658" width="9.140625" style="366"/>
    <col min="6659" max="6659" width="3.7109375" style="366" bestFit="1" customWidth="1"/>
    <col min="6660" max="6660" width="17.7109375" style="366" customWidth="1"/>
    <col min="6661" max="6661" width="26.42578125" style="366" customWidth="1"/>
    <col min="6662" max="6662" width="13.42578125" style="366" customWidth="1"/>
    <col min="6663" max="6663" width="8.42578125" style="366" bestFit="1" customWidth="1"/>
    <col min="6664" max="6664" width="9.140625" style="366" customWidth="1"/>
    <col min="6665" max="6665" width="5" style="366" bestFit="1" customWidth="1"/>
    <col min="6666" max="6666" width="7.7109375" style="366" bestFit="1" customWidth="1"/>
    <col min="6667" max="6667" width="7" style="366" bestFit="1" customWidth="1"/>
    <col min="6668" max="6668" width="8.42578125" style="366" bestFit="1" customWidth="1"/>
    <col min="6669" max="6669" width="8" style="366" bestFit="1" customWidth="1"/>
    <col min="6670" max="6670" width="8" style="366" customWidth="1"/>
    <col min="6671" max="6671" width="6.28515625" style="366" customWidth="1"/>
    <col min="6672" max="6672" width="3.42578125" style="366" bestFit="1" customWidth="1"/>
    <col min="6673" max="6673" width="4.7109375" style="366" bestFit="1" customWidth="1"/>
    <col min="6674" max="6674" width="4.42578125" style="366" bestFit="1" customWidth="1"/>
    <col min="6675" max="6675" width="6.42578125" style="366" bestFit="1" customWidth="1"/>
    <col min="6676" max="6676" width="7.7109375" style="366" customWidth="1"/>
    <col min="6677" max="6677" width="4.42578125" style="366" bestFit="1" customWidth="1"/>
    <col min="6678" max="6678" width="2" style="366" bestFit="1" customWidth="1"/>
    <col min="6679" max="6679" width="1.7109375" style="366" customWidth="1"/>
    <col min="6680" max="6680" width="2" style="366" bestFit="1" customWidth="1"/>
    <col min="6681" max="6681" width="5.42578125" style="366" bestFit="1" customWidth="1"/>
    <col min="6682" max="6682" width="6.140625" style="366" bestFit="1" customWidth="1"/>
    <col min="6683" max="6684" width="6.28515625" style="366" bestFit="1" customWidth="1"/>
    <col min="6685" max="6685" width="7" style="366" bestFit="1" customWidth="1"/>
    <col min="6686" max="6686" width="9.7109375" style="366" bestFit="1" customWidth="1"/>
    <col min="6687" max="6688" width="5.28515625" style="366" bestFit="1" customWidth="1"/>
    <col min="6689" max="6690" width="6.140625" style="366" bestFit="1" customWidth="1"/>
    <col min="6691" max="6691" width="5.42578125" style="366" bestFit="1" customWidth="1"/>
    <col min="6692" max="6692" width="6.140625" style="366" bestFit="1" customWidth="1"/>
    <col min="6693" max="6693" width="6.28515625" style="366" bestFit="1" customWidth="1"/>
    <col min="6694" max="6694" width="6.140625" style="366" customWidth="1"/>
    <col min="6695" max="6696" width="5.28515625" style="366" bestFit="1" customWidth="1"/>
    <col min="6697" max="6697" width="9.7109375" style="366" bestFit="1" customWidth="1"/>
    <col min="6698" max="6698" width="8.7109375" style="366" bestFit="1" customWidth="1"/>
    <col min="6699" max="6699" width="10.7109375" style="366" bestFit="1" customWidth="1"/>
    <col min="6700" max="6700" width="12.42578125" style="366" bestFit="1" customWidth="1"/>
    <col min="6701" max="6701" width="8.42578125" style="366" bestFit="1" customWidth="1"/>
    <col min="6702" max="6702" width="9.42578125" style="366" customWidth="1"/>
    <col min="6703" max="6914" width="9.140625" style="366"/>
    <col min="6915" max="6915" width="3.7109375" style="366" bestFit="1" customWidth="1"/>
    <col min="6916" max="6916" width="17.7109375" style="366" customWidth="1"/>
    <col min="6917" max="6917" width="26.42578125" style="366" customWidth="1"/>
    <col min="6918" max="6918" width="13.42578125" style="366" customWidth="1"/>
    <col min="6919" max="6919" width="8.42578125" style="366" bestFit="1" customWidth="1"/>
    <col min="6920" max="6920" width="9.140625" style="366" customWidth="1"/>
    <col min="6921" max="6921" width="5" style="366" bestFit="1" customWidth="1"/>
    <col min="6922" max="6922" width="7.7109375" style="366" bestFit="1" customWidth="1"/>
    <col min="6923" max="6923" width="7" style="366" bestFit="1" customWidth="1"/>
    <col min="6924" max="6924" width="8.42578125" style="366" bestFit="1" customWidth="1"/>
    <col min="6925" max="6925" width="8" style="366" bestFit="1" customWidth="1"/>
    <col min="6926" max="6926" width="8" style="366" customWidth="1"/>
    <col min="6927" max="6927" width="6.28515625" style="366" customWidth="1"/>
    <col min="6928" max="6928" width="3.42578125" style="366" bestFit="1" customWidth="1"/>
    <col min="6929" max="6929" width="4.7109375" style="366" bestFit="1" customWidth="1"/>
    <col min="6930" max="6930" width="4.42578125" style="366" bestFit="1" customWidth="1"/>
    <col min="6931" max="6931" width="6.42578125" style="366" bestFit="1" customWidth="1"/>
    <col min="6932" max="6932" width="7.7109375" style="366" customWidth="1"/>
    <col min="6933" max="6933" width="4.42578125" style="366" bestFit="1" customWidth="1"/>
    <col min="6934" max="6934" width="2" style="366" bestFit="1" customWidth="1"/>
    <col min="6935" max="6935" width="1.7109375" style="366" customWidth="1"/>
    <col min="6936" max="6936" width="2" style="366" bestFit="1" customWidth="1"/>
    <col min="6937" max="6937" width="5.42578125" style="366" bestFit="1" customWidth="1"/>
    <col min="6938" max="6938" width="6.140625" style="366" bestFit="1" customWidth="1"/>
    <col min="6939" max="6940" width="6.28515625" style="366" bestFit="1" customWidth="1"/>
    <col min="6941" max="6941" width="7" style="366" bestFit="1" customWidth="1"/>
    <col min="6942" max="6942" width="9.7109375" style="366" bestFit="1" customWidth="1"/>
    <col min="6943" max="6944" width="5.28515625" style="366" bestFit="1" customWidth="1"/>
    <col min="6945" max="6946" width="6.140625" style="366" bestFit="1" customWidth="1"/>
    <col min="6947" max="6947" width="5.42578125" style="366" bestFit="1" customWidth="1"/>
    <col min="6948" max="6948" width="6.140625" style="366" bestFit="1" customWidth="1"/>
    <col min="6949" max="6949" width="6.28515625" style="366" bestFit="1" customWidth="1"/>
    <col min="6950" max="6950" width="6.140625" style="366" customWidth="1"/>
    <col min="6951" max="6952" width="5.28515625" style="366" bestFit="1" customWidth="1"/>
    <col min="6953" max="6953" width="9.7109375" style="366" bestFit="1" customWidth="1"/>
    <col min="6954" max="6954" width="8.7109375" style="366" bestFit="1" customWidth="1"/>
    <col min="6955" max="6955" width="10.7109375" style="366" bestFit="1" customWidth="1"/>
    <col min="6956" max="6956" width="12.42578125" style="366" bestFit="1" customWidth="1"/>
    <col min="6957" max="6957" width="8.42578125" style="366" bestFit="1" customWidth="1"/>
    <col min="6958" max="6958" width="9.42578125" style="366" customWidth="1"/>
    <col min="6959" max="7170" width="9.140625" style="366"/>
    <col min="7171" max="7171" width="3.7109375" style="366" bestFit="1" customWidth="1"/>
    <col min="7172" max="7172" width="17.7109375" style="366" customWidth="1"/>
    <col min="7173" max="7173" width="26.42578125" style="366" customWidth="1"/>
    <col min="7174" max="7174" width="13.42578125" style="366" customWidth="1"/>
    <col min="7175" max="7175" width="8.42578125" style="366" bestFit="1" customWidth="1"/>
    <col min="7176" max="7176" width="9.140625" style="366" customWidth="1"/>
    <col min="7177" max="7177" width="5" style="366" bestFit="1" customWidth="1"/>
    <col min="7178" max="7178" width="7.7109375" style="366" bestFit="1" customWidth="1"/>
    <col min="7179" max="7179" width="7" style="366" bestFit="1" customWidth="1"/>
    <col min="7180" max="7180" width="8.42578125" style="366" bestFit="1" customWidth="1"/>
    <col min="7181" max="7181" width="8" style="366" bestFit="1" customWidth="1"/>
    <col min="7182" max="7182" width="8" style="366" customWidth="1"/>
    <col min="7183" max="7183" width="6.28515625" style="366" customWidth="1"/>
    <col min="7184" max="7184" width="3.42578125" style="366" bestFit="1" customWidth="1"/>
    <col min="7185" max="7185" width="4.7109375" style="366" bestFit="1" customWidth="1"/>
    <col min="7186" max="7186" width="4.42578125" style="366" bestFit="1" customWidth="1"/>
    <col min="7187" max="7187" width="6.42578125" style="366" bestFit="1" customWidth="1"/>
    <col min="7188" max="7188" width="7.7109375" style="366" customWidth="1"/>
    <col min="7189" max="7189" width="4.42578125" style="366" bestFit="1" customWidth="1"/>
    <col min="7190" max="7190" width="2" style="366" bestFit="1" customWidth="1"/>
    <col min="7191" max="7191" width="1.7109375" style="366" customWidth="1"/>
    <col min="7192" max="7192" width="2" style="366" bestFit="1" customWidth="1"/>
    <col min="7193" max="7193" width="5.42578125" style="366" bestFit="1" customWidth="1"/>
    <col min="7194" max="7194" width="6.140625" style="366" bestFit="1" customWidth="1"/>
    <col min="7195" max="7196" width="6.28515625" style="366" bestFit="1" customWidth="1"/>
    <col min="7197" max="7197" width="7" style="366" bestFit="1" customWidth="1"/>
    <col min="7198" max="7198" width="9.7109375" style="366" bestFit="1" customWidth="1"/>
    <col min="7199" max="7200" width="5.28515625" style="366" bestFit="1" customWidth="1"/>
    <col min="7201" max="7202" width="6.140625" style="366" bestFit="1" customWidth="1"/>
    <col min="7203" max="7203" width="5.42578125" style="366" bestFit="1" customWidth="1"/>
    <col min="7204" max="7204" width="6.140625" style="366" bestFit="1" customWidth="1"/>
    <col min="7205" max="7205" width="6.28515625" style="366" bestFit="1" customWidth="1"/>
    <col min="7206" max="7206" width="6.140625" style="366" customWidth="1"/>
    <col min="7207" max="7208" width="5.28515625" style="366" bestFit="1" customWidth="1"/>
    <col min="7209" max="7209" width="9.7109375" style="366" bestFit="1" customWidth="1"/>
    <col min="7210" max="7210" width="8.7109375" style="366" bestFit="1" customWidth="1"/>
    <col min="7211" max="7211" width="10.7109375" style="366" bestFit="1" customWidth="1"/>
    <col min="7212" max="7212" width="12.42578125" style="366" bestFit="1" customWidth="1"/>
    <col min="7213" max="7213" width="8.42578125" style="366" bestFit="1" customWidth="1"/>
    <col min="7214" max="7214" width="9.42578125" style="366" customWidth="1"/>
    <col min="7215" max="7426" width="9.140625" style="366"/>
    <col min="7427" max="7427" width="3.7109375" style="366" bestFit="1" customWidth="1"/>
    <col min="7428" max="7428" width="17.7109375" style="366" customWidth="1"/>
    <col min="7429" max="7429" width="26.42578125" style="366" customWidth="1"/>
    <col min="7430" max="7430" width="13.42578125" style="366" customWidth="1"/>
    <col min="7431" max="7431" width="8.42578125" style="366" bestFit="1" customWidth="1"/>
    <col min="7432" max="7432" width="9.140625" style="366" customWidth="1"/>
    <col min="7433" max="7433" width="5" style="366" bestFit="1" customWidth="1"/>
    <col min="7434" max="7434" width="7.7109375" style="366" bestFit="1" customWidth="1"/>
    <col min="7435" max="7435" width="7" style="366" bestFit="1" customWidth="1"/>
    <col min="7436" max="7436" width="8.42578125" style="366" bestFit="1" customWidth="1"/>
    <col min="7437" max="7437" width="8" style="366" bestFit="1" customWidth="1"/>
    <col min="7438" max="7438" width="8" style="366" customWidth="1"/>
    <col min="7439" max="7439" width="6.28515625" style="366" customWidth="1"/>
    <col min="7440" max="7440" width="3.42578125" style="366" bestFit="1" customWidth="1"/>
    <col min="7441" max="7441" width="4.7109375" style="366" bestFit="1" customWidth="1"/>
    <col min="7442" max="7442" width="4.42578125" style="366" bestFit="1" customWidth="1"/>
    <col min="7443" max="7443" width="6.42578125" style="366" bestFit="1" customWidth="1"/>
    <col min="7444" max="7444" width="7.7109375" style="366" customWidth="1"/>
    <col min="7445" max="7445" width="4.42578125" style="366" bestFit="1" customWidth="1"/>
    <col min="7446" max="7446" width="2" style="366" bestFit="1" customWidth="1"/>
    <col min="7447" max="7447" width="1.7109375" style="366" customWidth="1"/>
    <col min="7448" max="7448" width="2" style="366" bestFit="1" customWidth="1"/>
    <col min="7449" max="7449" width="5.42578125" style="366" bestFit="1" customWidth="1"/>
    <col min="7450" max="7450" width="6.140625" style="366" bestFit="1" customWidth="1"/>
    <col min="7451" max="7452" width="6.28515625" style="366" bestFit="1" customWidth="1"/>
    <col min="7453" max="7453" width="7" style="366" bestFit="1" customWidth="1"/>
    <col min="7454" max="7454" width="9.7109375" style="366" bestFit="1" customWidth="1"/>
    <col min="7455" max="7456" width="5.28515625" style="366" bestFit="1" customWidth="1"/>
    <col min="7457" max="7458" width="6.140625" style="366" bestFit="1" customWidth="1"/>
    <col min="7459" max="7459" width="5.42578125" style="366" bestFit="1" customWidth="1"/>
    <col min="7460" max="7460" width="6.140625" style="366" bestFit="1" customWidth="1"/>
    <col min="7461" max="7461" width="6.28515625" style="366" bestFit="1" customWidth="1"/>
    <col min="7462" max="7462" width="6.140625" style="366" customWidth="1"/>
    <col min="7463" max="7464" width="5.28515625" style="366" bestFit="1" customWidth="1"/>
    <col min="7465" max="7465" width="9.7109375" style="366" bestFit="1" customWidth="1"/>
    <col min="7466" max="7466" width="8.7109375" style="366" bestFit="1" customWidth="1"/>
    <col min="7467" max="7467" width="10.7109375" style="366" bestFit="1" customWidth="1"/>
    <col min="7468" max="7468" width="12.42578125" style="366" bestFit="1" customWidth="1"/>
    <col min="7469" max="7469" width="8.42578125" style="366" bestFit="1" customWidth="1"/>
    <col min="7470" max="7470" width="9.42578125" style="366" customWidth="1"/>
    <col min="7471" max="7682" width="9.140625" style="366"/>
    <col min="7683" max="7683" width="3.7109375" style="366" bestFit="1" customWidth="1"/>
    <col min="7684" max="7684" width="17.7109375" style="366" customWidth="1"/>
    <col min="7685" max="7685" width="26.42578125" style="366" customWidth="1"/>
    <col min="7686" max="7686" width="13.42578125" style="366" customWidth="1"/>
    <col min="7687" max="7687" width="8.42578125" style="366" bestFit="1" customWidth="1"/>
    <col min="7688" max="7688" width="9.140625" style="366" customWidth="1"/>
    <col min="7689" max="7689" width="5" style="366" bestFit="1" customWidth="1"/>
    <col min="7690" max="7690" width="7.7109375" style="366" bestFit="1" customWidth="1"/>
    <col min="7691" max="7691" width="7" style="366" bestFit="1" customWidth="1"/>
    <col min="7692" max="7692" width="8.42578125" style="366" bestFit="1" customWidth="1"/>
    <col min="7693" max="7693" width="8" style="366" bestFit="1" customWidth="1"/>
    <col min="7694" max="7694" width="8" style="366" customWidth="1"/>
    <col min="7695" max="7695" width="6.28515625" style="366" customWidth="1"/>
    <col min="7696" max="7696" width="3.42578125" style="366" bestFit="1" customWidth="1"/>
    <col min="7697" max="7697" width="4.7109375" style="366" bestFit="1" customWidth="1"/>
    <col min="7698" max="7698" width="4.42578125" style="366" bestFit="1" customWidth="1"/>
    <col min="7699" max="7699" width="6.42578125" style="366" bestFit="1" customWidth="1"/>
    <col min="7700" max="7700" width="7.7109375" style="366" customWidth="1"/>
    <col min="7701" max="7701" width="4.42578125" style="366" bestFit="1" customWidth="1"/>
    <col min="7702" max="7702" width="2" style="366" bestFit="1" customWidth="1"/>
    <col min="7703" max="7703" width="1.7109375" style="366" customWidth="1"/>
    <col min="7704" max="7704" width="2" style="366" bestFit="1" customWidth="1"/>
    <col min="7705" max="7705" width="5.42578125" style="366" bestFit="1" customWidth="1"/>
    <col min="7706" max="7706" width="6.140625" style="366" bestFit="1" customWidth="1"/>
    <col min="7707" max="7708" width="6.28515625" style="366" bestFit="1" customWidth="1"/>
    <col min="7709" max="7709" width="7" style="366" bestFit="1" customWidth="1"/>
    <col min="7710" max="7710" width="9.7109375" style="366" bestFit="1" customWidth="1"/>
    <col min="7711" max="7712" width="5.28515625" style="366" bestFit="1" customWidth="1"/>
    <col min="7713" max="7714" width="6.140625" style="366" bestFit="1" customWidth="1"/>
    <col min="7715" max="7715" width="5.42578125" style="366" bestFit="1" customWidth="1"/>
    <col min="7716" max="7716" width="6.140625" style="366" bestFit="1" customWidth="1"/>
    <col min="7717" max="7717" width="6.28515625" style="366" bestFit="1" customWidth="1"/>
    <col min="7718" max="7718" width="6.140625" style="366" customWidth="1"/>
    <col min="7719" max="7720" width="5.28515625" style="366" bestFit="1" customWidth="1"/>
    <col min="7721" max="7721" width="9.7109375" style="366" bestFit="1" customWidth="1"/>
    <col min="7722" max="7722" width="8.7109375" style="366" bestFit="1" customWidth="1"/>
    <col min="7723" max="7723" width="10.7109375" style="366" bestFit="1" customWidth="1"/>
    <col min="7724" max="7724" width="12.42578125" style="366" bestFit="1" customWidth="1"/>
    <col min="7725" max="7725" width="8.42578125" style="366" bestFit="1" customWidth="1"/>
    <col min="7726" max="7726" width="9.42578125" style="366" customWidth="1"/>
    <col min="7727" max="7938" width="9.140625" style="366"/>
    <col min="7939" max="7939" width="3.7109375" style="366" bestFit="1" customWidth="1"/>
    <col min="7940" max="7940" width="17.7109375" style="366" customWidth="1"/>
    <col min="7941" max="7941" width="26.42578125" style="366" customWidth="1"/>
    <col min="7942" max="7942" width="13.42578125" style="366" customWidth="1"/>
    <col min="7943" max="7943" width="8.42578125" style="366" bestFit="1" customWidth="1"/>
    <col min="7944" max="7944" width="9.140625" style="366" customWidth="1"/>
    <col min="7945" max="7945" width="5" style="366" bestFit="1" customWidth="1"/>
    <col min="7946" max="7946" width="7.7109375" style="366" bestFit="1" customWidth="1"/>
    <col min="7947" max="7947" width="7" style="366" bestFit="1" customWidth="1"/>
    <col min="7948" max="7948" width="8.42578125" style="366" bestFit="1" customWidth="1"/>
    <col min="7949" max="7949" width="8" style="366" bestFit="1" customWidth="1"/>
    <col min="7950" max="7950" width="8" style="366" customWidth="1"/>
    <col min="7951" max="7951" width="6.28515625" style="366" customWidth="1"/>
    <col min="7952" max="7952" width="3.42578125" style="366" bestFit="1" customWidth="1"/>
    <col min="7953" max="7953" width="4.7109375" style="366" bestFit="1" customWidth="1"/>
    <col min="7954" max="7954" width="4.42578125" style="366" bestFit="1" customWidth="1"/>
    <col min="7955" max="7955" width="6.42578125" style="366" bestFit="1" customWidth="1"/>
    <col min="7956" max="7956" width="7.7109375" style="366" customWidth="1"/>
    <col min="7957" max="7957" width="4.42578125" style="366" bestFit="1" customWidth="1"/>
    <col min="7958" max="7958" width="2" style="366" bestFit="1" customWidth="1"/>
    <col min="7959" max="7959" width="1.7109375" style="366" customWidth="1"/>
    <col min="7960" max="7960" width="2" style="366" bestFit="1" customWidth="1"/>
    <col min="7961" max="7961" width="5.42578125" style="366" bestFit="1" customWidth="1"/>
    <col min="7962" max="7962" width="6.140625" style="366" bestFit="1" customWidth="1"/>
    <col min="7963" max="7964" width="6.28515625" style="366" bestFit="1" customWidth="1"/>
    <col min="7965" max="7965" width="7" style="366" bestFit="1" customWidth="1"/>
    <col min="7966" max="7966" width="9.7109375" style="366" bestFit="1" customWidth="1"/>
    <col min="7967" max="7968" width="5.28515625" style="366" bestFit="1" customWidth="1"/>
    <col min="7969" max="7970" width="6.140625" style="366" bestFit="1" customWidth="1"/>
    <col min="7971" max="7971" width="5.42578125" style="366" bestFit="1" customWidth="1"/>
    <col min="7972" max="7972" width="6.140625" style="366" bestFit="1" customWidth="1"/>
    <col min="7973" max="7973" width="6.28515625" style="366" bestFit="1" customWidth="1"/>
    <col min="7974" max="7974" width="6.140625" style="366" customWidth="1"/>
    <col min="7975" max="7976" width="5.28515625" style="366" bestFit="1" customWidth="1"/>
    <col min="7977" max="7977" width="9.7109375" style="366" bestFit="1" customWidth="1"/>
    <col min="7978" max="7978" width="8.7109375" style="366" bestFit="1" customWidth="1"/>
    <col min="7979" max="7979" width="10.7109375" style="366" bestFit="1" customWidth="1"/>
    <col min="7980" max="7980" width="12.42578125" style="366" bestFit="1" customWidth="1"/>
    <col min="7981" max="7981" width="8.42578125" style="366" bestFit="1" customWidth="1"/>
    <col min="7982" max="7982" width="9.42578125" style="366" customWidth="1"/>
    <col min="7983" max="8194" width="9.140625" style="366"/>
    <col min="8195" max="8195" width="3.7109375" style="366" bestFit="1" customWidth="1"/>
    <col min="8196" max="8196" width="17.7109375" style="366" customWidth="1"/>
    <col min="8197" max="8197" width="26.42578125" style="366" customWidth="1"/>
    <col min="8198" max="8198" width="13.42578125" style="366" customWidth="1"/>
    <col min="8199" max="8199" width="8.42578125" style="366" bestFit="1" customWidth="1"/>
    <col min="8200" max="8200" width="9.140625" style="366" customWidth="1"/>
    <col min="8201" max="8201" width="5" style="366" bestFit="1" customWidth="1"/>
    <col min="8202" max="8202" width="7.7109375" style="366" bestFit="1" customWidth="1"/>
    <col min="8203" max="8203" width="7" style="366" bestFit="1" customWidth="1"/>
    <col min="8204" max="8204" width="8.42578125" style="366" bestFit="1" customWidth="1"/>
    <col min="8205" max="8205" width="8" style="366" bestFit="1" customWidth="1"/>
    <col min="8206" max="8206" width="8" style="366" customWidth="1"/>
    <col min="8207" max="8207" width="6.28515625" style="366" customWidth="1"/>
    <col min="8208" max="8208" width="3.42578125" style="366" bestFit="1" customWidth="1"/>
    <col min="8209" max="8209" width="4.7109375" style="366" bestFit="1" customWidth="1"/>
    <col min="8210" max="8210" width="4.42578125" style="366" bestFit="1" customWidth="1"/>
    <col min="8211" max="8211" width="6.42578125" style="366" bestFit="1" customWidth="1"/>
    <col min="8212" max="8212" width="7.7109375" style="366" customWidth="1"/>
    <col min="8213" max="8213" width="4.42578125" style="366" bestFit="1" customWidth="1"/>
    <col min="8214" max="8214" width="2" style="366" bestFit="1" customWidth="1"/>
    <col min="8215" max="8215" width="1.7109375" style="366" customWidth="1"/>
    <col min="8216" max="8216" width="2" style="366" bestFit="1" customWidth="1"/>
    <col min="8217" max="8217" width="5.42578125" style="366" bestFit="1" customWidth="1"/>
    <col min="8218" max="8218" width="6.140625" style="366" bestFit="1" customWidth="1"/>
    <col min="8219" max="8220" width="6.28515625" style="366" bestFit="1" customWidth="1"/>
    <col min="8221" max="8221" width="7" style="366" bestFit="1" customWidth="1"/>
    <col min="8222" max="8222" width="9.7109375" style="366" bestFit="1" customWidth="1"/>
    <col min="8223" max="8224" width="5.28515625" style="366" bestFit="1" customWidth="1"/>
    <col min="8225" max="8226" width="6.140625" style="366" bestFit="1" customWidth="1"/>
    <col min="8227" max="8227" width="5.42578125" style="366" bestFit="1" customWidth="1"/>
    <col min="8228" max="8228" width="6.140625" style="366" bestFit="1" customWidth="1"/>
    <col min="8229" max="8229" width="6.28515625" style="366" bestFit="1" customWidth="1"/>
    <col min="8230" max="8230" width="6.140625" style="366" customWidth="1"/>
    <col min="8231" max="8232" width="5.28515625" style="366" bestFit="1" customWidth="1"/>
    <col min="8233" max="8233" width="9.7109375" style="366" bestFit="1" customWidth="1"/>
    <col min="8234" max="8234" width="8.7109375" style="366" bestFit="1" customWidth="1"/>
    <col min="8235" max="8235" width="10.7109375" style="366" bestFit="1" customWidth="1"/>
    <col min="8236" max="8236" width="12.42578125" style="366" bestFit="1" customWidth="1"/>
    <col min="8237" max="8237" width="8.42578125" style="366" bestFit="1" customWidth="1"/>
    <col min="8238" max="8238" width="9.42578125" style="366" customWidth="1"/>
    <col min="8239" max="8450" width="9.140625" style="366"/>
    <col min="8451" max="8451" width="3.7109375" style="366" bestFit="1" customWidth="1"/>
    <col min="8452" max="8452" width="17.7109375" style="366" customWidth="1"/>
    <col min="8453" max="8453" width="26.42578125" style="366" customWidth="1"/>
    <col min="8454" max="8454" width="13.42578125" style="366" customWidth="1"/>
    <col min="8455" max="8455" width="8.42578125" style="366" bestFit="1" customWidth="1"/>
    <col min="8456" max="8456" width="9.140625" style="366" customWidth="1"/>
    <col min="8457" max="8457" width="5" style="366" bestFit="1" customWidth="1"/>
    <col min="8458" max="8458" width="7.7109375" style="366" bestFit="1" customWidth="1"/>
    <col min="8459" max="8459" width="7" style="366" bestFit="1" customWidth="1"/>
    <col min="8460" max="8460" width="8.42578125" style="366" bestFit="1" customWidth="1"/>
    <col min="8461" max="8461" width="8" style="366" bestFit="1" customWidth="1"/>
    <col min="8462" max="8462" width="8" style="366" customWidth="1"/>
    <col min="8463" max="8463" width="6.28515625" style="366" customWidth="1"/>
    <col min="8464" max="8464" width="3.42578125" style="366" bestFit="1" customWidth="1"/>
    <col min="8465" max="8465" width="4.7109375" style="366" bestFit="1" customWidth="1"/>
    <col min="8466" max="8466" width="4.42578125" style="366" bestFit="1" customWidth="1"/>
    <col min="8467" max="8467" width="6.42578125" style="366" bestFit="1" customWidth="1"/>
    <col min="8468" max="8468" width="7.7109375" style="366" customWidth="1"/>
    <col min="8469" max="8469" width="4.42578125" style="366" bestFit="1" customWidth="1"/>
    <col min="8470" max="8470" width="2" style="366" bestFit="1" customWidth="1"/>
    <col min="8471" max="8471" width="1.7109375" style="366" customWidth="1"/>
    <col min="8472" max="8472" width="2" style="366" bestFit="1" customWidth="1"/>
    <col min="8473" max="8473" width="5.42578125" style="366" bestFit="1" customWidth="1"/>
    <col min="8474" max="8474" width="6.140625" style="366" bestFit="1" customWidth="1"/>
    <col min="8475" max="8476" width="6.28515625" style="366" bestFit="1" customWidth="1"/>
    <col min="8477" max="8477" width="7" style="366" bestFit="1" customWidth="1"/>
    <col min="8478" max="8478" width="9.7109375" style="366" bestFit="1" customWidth="1"/>
    <col min="8479" max="8480" width="5.28515625" style="366" bestFit="1" customWidth="1"/>
    <col min="8481" max="8482" width="6.140625" style="366" bestFit="1" customWidth="1"/>
    <col min="8483" max="8483" width="5.42578125" style="366" bestFit="1" customWidth="1"/>
    <col min="8484" max="8484" width="6.140625" style="366" bestFit="1" customWidth="1"/>
    <col min="8485" max="8485" width="6.28515625" style="366" bestFit="1" customWidth="1"/>
    <col min="8486" max="8486" width="6.140625" style="366" customWidth="1"/>
    <col min="8487" max="8488" width="5.28515625" style="366" bestFit="1" customWidth="1"/>
    <col min="8489" max="8489" width="9.7109375" style="366" bestFit="1" customWidth="1"/>
    <col min="8490" max="8490" width="8.7109375" style="366" bestFit="1" customWidth="1"/>
    <col min="8491" max="8491" width="10.7109375" style="366" bestFit="1" customWidth="1"/>
    <col min="8492" max="8492" width="12.42578125" style="366" bestFit="1" customWidth="1"/>
    <col min="8493" max="8493" width="8.42578125" style="366" bestFit="1" customWidth="1"/>
    <col min="8494" max="8494" width="9.42578125" style="366" customWidth="1"/>
    <col min="8495" max="8706" width="9.140625" style="366"/>
    <col min="8707" max="8707" width="3.7109375" style="366" bestFit="1" customWidth="1"/>
    <col min="8708" max="8708" width="17.7109375" style="366" customWidth="1"/>
    <col min="8709" max="8709" width="26.42578125" style="366" customWidth="1"/>
    <col min="8710" max="8710" width="13.42578125" style="366" customWidth="1"/>
    <col min="8711" max="8711" width="8.42578125" style="366" bestFit="1" customWidth="1"/>
    <col min="8712" max="8712" width="9.140625" style="366" customWidth="1"/>
    <col min="8713" max="8713" width="5" style="366" bestFit="1" customWidth="1"/>
    <col min="8714" max="8714" width="7.7109375" style="366" bestFit="1" customWidth="1"/>
    <col min="8715" max="8715" width="7" style="366" bestFit="1" customWidth="1"/>
    <col min="8716" max="8716" width="8.42578125" style="366" bestFit="1" customWidth="1"/>
    <col min="8717" max="8717" width="8" style="366" bestFit="1" customWidth="1"/>
    <col min="8718" max="8718" width="8" style="366" customWidth="1"/>
    <col min="8719" max="8719" width="6.28515625" style="366" customWidth="1"/>
    <col min="8720" max="8720" width="3.42578125" style="366" bestFit="1" customWidth="1"/>
    <col min="8721" max="8721" width="4.7109375" style="366" bestFit="1" customWidth="1"/>
    <col min="8722" max="8722" width="4.42578125" style="366" bestFit="1" customWidth="1"/>
    <col min="8723" max="8723" width="6.42578125" style="366" bestFit="1" customWidth="1"/>
    <col min="8724" max="8724" width="7.7109375" style="366" customWidth="1"/>
    <col min="8725" max="8725" width="4.42578125" style="366" bestFit="1" customWidth="1"/>
    <col min="8726" max="8726" width="2" style="366" bestFit="1" customWidth="1"/>
    <col min="8727" max="8727" width="1.7109375" style="366" customWidth="1"/>
    <col min="8728" max="8728" width="2" style="366" bestFit="1" customWidth="1"/>
    <col min="8729" max="8729" width="5.42578125" style="366" bestFit="1" customWidth="1"/>
    <col min="8730" max="8730" width="6.140625" style="366" bestFit="1" customWidth="1"/>
    <col min="8731" max="8732" width="6.28515625" style="366" bestFit="1" customWidth="1"/>
    <col min="8733" max="8733" width="7" style="366" bestFit="1" customWidth="1"/>
    <col min="8734" max="8734" width="9.7109375" style="366" bestFit="1" customWidth="1"/>
    <col min="8735" max="8736" width="5.28515625" style="366" bestFit="1" customWidth="1"/>
    <col min="8737" max="8738" width="6.140625" style="366" bestFit="1" customWidth="1"/>
    <col min="8739" max="8739" width="5.42578125" style="366" bestFit="1" customWidth="1"/>
    <col min="8740" max="8740" width="6.140625" style="366" bestFit="1" customWidth="1"/>
    <col min="8741" max="8741" width="6.28515625" style="366" bestFit="1" customWidth="1"/>
    <col min="8742" max="8742" width="6.140625" style="366" customWidth="1"/>
    <col min="8743" max="8744" width="5.28515625" style="366" bestFit="1" customWidth="1"/>
    <col min="8745" max="8745" width="9.7109375" style="366" bestFit="1" customWidth="1"/>
    <col min="8746" max="8746" width="8.7109375" style="366" bestFit="1" customWidth="1"/>
    <col min="8747" max="8747" width="10.7109375" style="366" bestFit="1" customWidth="1"/>
    <col min="8748" max="8748" width="12.42578125" style="366" bestFit="1" customWidth="1"/>
    <col min="8749" max="8749" width="8.42578125" style="366" bestFit="1" customWidth="1"/>
    <col min="8750" max="8750" width="9.42578125" style="366" customWidth="1"/>
    <col min="8751" max="8962" width="9.140625" style="366"/>
    <col min="8963" max="8963" width="3.7109375" style="366" bestFit="1" customWidth="1"/>
    <col min="8964" max="8964" width="17.7109375" style="366" customWidth="1"/>
    <col min="8965" max="8965" width="26.42578125" style="366" customWidth="1"/>
    <col min="8966" max="8966" width="13.42578125" style="366" customWidth="1"/>
    <col min="8967" max="8967" width="8.42578125" style="366" bestFit="1" customWidth="1"/>
    <col min="8968" max="8968" width="9.140625" style="366" customWidth="1"/>
    <col min="8969" max="8969" width="5" style="366" bestFit="1" customWidth="1"/>
    <col min="8970" max="8970" width="7.7109375" style="366" bestFit="1" customWidth="1"/>
    <col min="8971" max="8971" width="7" style="366" bestFit="1" customWidth="1"/>
    <col min="8972" max="8972" width="8.42578125" style="366" bestFit="1" customWidth="1"/>
    <col min="8973" max="8973" width="8" style="366" bestFit="1" customWidth="1"/>
    <col min="8974" max="8974" width="8" style="366" customWidth="1"/>
    <col min="8975" max="8975" width="6.28515625" style="366" customWidth="1"/>
    <col min="8976" max="8976" width="3.42578125" style="366" bestFit="1" customWidth="1"/>
    <col min="8977" max="8977" width="4.7109375" style="366" bestFit="1" customWidth="1"/>
    <col min="8978" max="8978" width="4.42578125" style="366" bestFit="1" customWidth="1"/>
    <col min="8979" max="8979" width="6.42578125" style="366" bestFit="1" customWidth="1"/>
    <col min="8980" max="8980" width="7.7109375" style="366" customWidth="1"/>
    <col min="8981" max="8981" width="4.42578125" style="366" bestFit="1" customWidth="1"/>
    <col min="8982" max="8982" width="2" style="366" bestFit="1" customWidth="1"/>
    <col min="8983" max="8983" width="1.7109375" style="366" customWidth="1"/>
    <col min="8984" max="8984" width="2" style="366" bestFit="1" customWidth="1"/>
    <col min="8985" max="8985" width="5.42578125" style="366" bestFit="1" customWidth="1"/>
    <col min="8986" max="8986" width="6.140625" style="366" bestFit="1" customWidth="1"/>
    <col min="8987" max="8988" width="6.28515625" style="366" bestFit="1" customWidth="1"/>
    <col min="8989" max="8989" width="7" style="366" bestFit="1" customWidth="1"/>
    <col min="8990" max="8990" width="9.7109375" style="366" bestFit="1" customWidth="1"/>
    <col min="8991" max="8992" width="5.28515625" style="366" bestFit="1" customWidth="1"/>
    <col min="8993" max="8994" width="6.140625" style="366" bestFit="1" customWidth="1"/>
    <col min="8995" max="8995" width="5.42578125" style="366" bestFit="1" customWidth="1"/>
    <col min="8996" max="8996" width="6.140625" style="366" bestFit="1" customWidth="1"/>
    <col min="8997" max="8997" width="6.28515625" style="366" bestFit="1" customWidth="1"/>
    <col min="8998" max="8998" width="6.140625" style="366" customWidth="1"/>
    <col min="8999" max="9000" width="5.28515625" style="366" bestFit="1" customWidth="1"/>
    <col min="9001" max="9001" width="9.7109375" style="366" bestFit="1" customWidth="1"/>
    <col min="9002" max="9002" width="8.7109375" style="366" bestFit="1" customWidth="1"/>
    <col min="9003" max="9003" width="10.7109375" style="366" bestFit="1" customWidth="1"/>
    <col min="9004" max="9004" width="12.42578125" style="366" bestFit="1" customWidth="1"/>
    <col min="9005" max="9005" width="8.42578125" style="366" bestFit="1" customWidth="1"/>
    <col min="9006" max="9006" width="9.42578125" style="366" customWidth="1"/>
    <col min="9007" max="9218" width="9.140625" style="366"/>
    <col min="9219" max="9219" width="3.7109375" style="366" bestFit="1" customWidth="1"/>
    <col min="9220" max="9220" width="17.7109375" style="366" customWidth="1"/>
    <col min="9221" max="9221" width="26.42578125" style="366" customWidth="1"/>
    <col min="9222" max="9222" width="13.42578125" style="366" customWidth="1"/>
    <col min="9223" max="9223" width="8.42578125" style="366" bestFit="1" customWidth="1"/>
    <col min="9224" max="9224" width="9.140625" style="366" customWidth="1"/>
    <col min="9225" max="9225" width="5" style="366" bestFit="1" customWidth="1"/>
    <col min="9226" max="9226" width="7.7109375" style="366" bestFit="1" customWidth="1"/>
    <col min="9227" max="9227" width="7" style="366" bestFit="1" customWidth="1"/>
    <col min="9228" max="9228" width="8.42578125" style="366" bestFit="1" customWidth="1"/>
    <col min="9229" max="9229" width="8" style="366" bestFit="1" customWidth="1"/>
    <col min="9230" max="9230" width="8" style="366" customWidth="1"/>
    <col min="9231" max="9231" width="6.28515625" style="366" customWidth="1"/>
    <col min="9232" max="9232" width="3.42578125" style="366" bestFit="1" customWidth="1"/>
    <col min="9233" max="9233" width="4.7109375" style="366" bestFit="1" customWidth="1"/>
    <col min="9234" max="9234" width="4.42578125" style="366" bestFit="1" customWidth="1"/>
    <col min="9235" max="9235" width="6.42578125" style="366" bestFit="1" customWidth="1"/>
    <col min="9236" max="9236" width="7.7109375" style="366" customWidth="1"/>
    <col min="9237" max="9237" width="4.42578125" style="366" bestFit="1" customWidth="1"/>
    <col min="9238" max="9238" width="2" style="366" bestFit="1" customWidth="1"/>
    <col min="9239" max="9239" width="1.7109375" style="366" customWidth="1"/>
    <col min="9240" max="9240" width="2" style="366" bestFit="1" customWidth="1"/>
    <col min="9241" max="9241" width="5.42578125" style="366" bestFit="1" customWidth="1"/>
    <col min="9242" max="9242" width="6.140625" style="366" bestFit="1" customWidth="1"/>
    <col min="9243" max="9244" width="6.28515625" style="366" bestFit="1" customWidth="1"/>
    <col min="9245" max="9245" width="7" style="366" bestFit="1" customWidth="1"/>
    <col min="9246" max="9246" width="9.7109375" style="366" bestFit="1" customWidth="1"/>
    <col min="9247" max="9248" width="5.28515625" style="366" bestFit="1" customWidth="1"/>
    <col min="9249" max="9250" width="6.140625" style="366" bestFit="1" customWidth="1"/>
    <col min="9251" max="9251" width="5.42578125" style="366" bestFit="1" customWidth="1"/>
    <col min="9252" max="9252" width="6.140625" style="366" bestFit="1" customWidth="1"/>
    <col min="9253" max="9253" width="6.28515625" style="366" bestFit="1" customWidth="1"/>
    <col min="9254" max="9254" width="6.140625" style="366" customWidth="1"/>
    <col min="9255" max="9256" width="5.28515625" style="366" bestFit="1" customWidth="1"/>
    <col min="9257" max="9257" width="9.7109375" style="366" bestFit="1" customWidth="1"/>
    <col min="9258" max="9258" width="8.7109375" style="366" bestFit="1" customWidth="1"/>
    <col min="9259" max="9259" width="10.7109375" style="366" bestFit="1" customWidth="1"/>
    <col min="9260" max="9260" width="12.42578125" style="366" bestFit="1" customWidth="1"/>
    <col min="9261" max="9261" width="8.42578125" style="366" bestFit="1" customWidth="1"/>
    <col min="9262" max="9262" width="9.42578125" style="366" customWidth="1"/>
    <col min="9263" max="9474" width="9.140625" style="366"/>
    <col min="9475" max="9475" width="3.7109375" style="366" bestFit="1" customWidth="1"/>
    <col min="9476" max="9476" width="17.7109375" style="366" customWidth="1"/>
    <col min="9477" max="9477" width="26.42578125" style="366" customWidth="1"/>
    <col min="9478" max="9478" width="13.42578125" style="366" customWidth="1"/>
    <col min="9479" max="9479" width="8.42578125" style="366" bestFit="1" customWidth="1"/>
    <col min="9480" max="9480" width="9.140625" style="366" customWidth="1"/>
    <col min="9481" max="9481" width="5" style="366" bestFit="1" customWidth="1"/>
    <col min="9482" max="9482" width="7.7109375" style="366" bestFit="1" customWidth="1"/>
    <col min="9483" max="9483" width="7" style="366" bestFit="1" customWidth="1"/>
    <col min="9484" max="9484" width="8.42578125" style="366" bestFit="1" customWidth="1"/>
    <col min="9485" max="9485" width="8" style="366" bestFit="1" customWidth="1"/>
    <col min="9486" max="9486" width="8" style="366" customWidth="1"/>
    <col min="9487" max="9487" width="6.28515625" style="366" customWidth="1"/>
    <col min="9488" max="9488" width="3.42578125" style="366" bestFit="1" customWidth="1"/>
    <col min="9489" max="9489" width="4.7109375" style="366" bestFit="1" customWidth="1"/>
    <col min="9490" max="9490" width="4.42578125" style="366" bestFit="1" customWidth="1"/>
    <col min="9491" max="9491" width="6.42578125" style="366" bestFit="1" customWidth="1"/>
    <col min="9492" max="9492" width="7.7109375" style="366" customWidth="1"/>
    <col min="9493" max="9493" width="4.42578125" style="366" bestFit="1" customWidth="1"/>
    <col min="9494" max="9494" width="2" style="366" bestFit="1" customWidth="1"/>
    <col min="9495" max="9495" width="1.7109375" style="366" customWidth="1"/>
    <col min="9496" max="9496" width="2" style="366" bestFit="1" customWidth="1"/>
    <col min="9497" max="9497" width="5.42578125" style="366" bestFit="1" customWidth="1"/>
    <col min="9498" max="9498" width="6.140625" style="366" bestFit="1" customWidth="1"/>
    <col min="9499" max="9500" width="6.28515625" style="366" bestFit="1" customWidth="1"/>
    <col min="9501" max="9501" width="7" style="366" bestFit="1" customWidth="1"/>
    <col min="9502" max="9502" width="9.7109375" style="366" bestFit="1" customWidth="1"/>
    <col min="9503" max="9504" width="5.28515625" style="366" bestFit="1" customWidth="1"/>
    <col min="9505" max="9506" width="6.140625" style="366" bestFit="1" customWidth="1"/>
    <col min="9507" max="9507" width="5.42578125" style="366" bestFit="1" customWidth="1"/>
    <col min="9508" max="9508" width="6.140625" style="366" bestFit="1" customWidth="1"/>
    <col min="9509" max="9509" width="6.28515625" style="366" bestFit="1" customWidth="1"/>
    <col min="9510" max="9510" width="6.140625" style="366" customWidth="1"/>
    <col min="9511" max="9512" width="5.28515625" style="366" bestFit="1" customWidth="1"/>
    <col min="9513" max="9513" width="9.7109375" style="366" bestFit="1" customWidth="1"/>
    <col min="9514" max="9514" width="8.7109375" style="366" bestFit="1" customWidth="1"/>
    <col min="9515" max="9515" width="10.7109375" style="366" bestFit="1" customWidth="1"/>
    <col min="9516" max="9516" width="12.42578125" style="366" bestFit="1" customWidth="1"/>
    <col min="9517" max="9517" width="8.42578125" style="366" bestFit="1" customWidth="1"/>
    <col min="9518" max="9518" width="9.42578125" style="366" customWidth="1"/>
    <col min="9519" max="9730" width="9.140625" style="366"/>
    <col min="9731" max="9731" width="3.7109375" style="366" bestFit="1" customWidth="1"/>
    <col min="9732" max="9732" width="17.7109375" style="366" customWidth="1"/>
    <col min="9733" max="9733" width="26.42578125" style="366" customWidth="1"/>
    <col min="9734" max="9734" width="13.42578125" style="366" customWidth="1"/>
    <col min="9735" max="9735" width="8.42578125" style="366" bestFit="1" customWidth="1"/>
    <col min="9736" max="9736" width="9.140625" style="366" customWidth="1"/>
    <col min="9737" max="9737" width="5" style="366" bestFit="1" customWidth="1"/>
    <col min="9738" max="9738" width="7.7109375" style="366" bestFit="1" customWidth="1"/>
    <col min="9739" max="9739" width="7" style="366" bestFit="1" customWidth="1"/>
    <col min="9740" max="9740" width="8.42578125" style="366" bestFit="1" customWidth="1"/>
    <col min="9741" max="9741" width="8" style="366" bestFit="1" customWidth="1"/>
    <col min="9742" max="9742" width="8" style="366" customWidth="1"/>
    <col min="9743" max="9743" width="6.28515625" style="366" customWidth="1"/>
    <col min="9744" max="9744" width="3.42578125" style="366" bestFit="1" customWidth="1"/>
    <col min="9745" max="9745" width="4.7109375" style="366" bestFit="1" customWidth="1"/>
    <col min="9746" max="9746" width="4.42578125" style="366" bestFit="1" customWidth="1"/>
    <col min="9747" max="9747" width="6.42578125" style="366" bestFit="1" customWidth="1"/>
    <col min="9748" max="9748" width="7.7109375" style="366" customWidth="1"/>
    <col min="9749" max="9749" width="4.42578125" style="366" bestFit="1" customWidth="1"/>
    <col min="9750" max="9750" width="2" style="366" bestFit="1" customWidth="1"/>
    <col min="9751" max="9751" width="1.7109375" style="366" customWidth="1"/>
    <col min="9752" max="9752" width="2" style="366" bestFit="1" customWidth="1"/>
    <col min="9753" max="9753" width="5.42578125" style="366" bestFit="1" customWidth="1"/>
    <col min="9754" max="9754" width="6.140625" style="366" bestFit="1" customWidth="1"/>
    <col min="9755" max="9756" width="6.28515625" style="366" bestFit="1" customWidth="1"/>
    <col min="9757" max="9757" width="7" style="366" bestFit="1" customWidth="1"/>
    <col min="9758" max="9758" width="9.7109375" style="366" bestFit="1" customWidth="1"/>
    <col min="9759" max="9760" width="5.28515625" style="366" bestFit="1" customWidth="1"/>
    <col min="9761" max="9762" width="6.140625" style="366" bestFit="1" customWidth="1"/>
    <col min="9763" max="9763" width="5.42578125" style="366" bestFit="1" customWidth="1"/>
    <col min="9764" max="9764" width="6.140625" style="366" bestFit="1" customWidth="1"/>
    <col min="9765" max="9765" width="6.28515625" style="366" bestFit="1" customWidth="1"/>
    <col min="9766" max="9766" width="6.140625" style="366" customWidth="1"/>
    <col min="9767" max="9768" width="5.28515625" style="366" bestFit="1" customWidth="1"/>
    <col min="9769" max="9769" width="9.7109375" style="366" bestFit="1" customWidth="1"/>
    <col min="9770" max="9770" width="8.7109375" style="366" bestFit="1" customWidth="1"/>
    <col min="9771" max="9771" width="10.7109375" style="366" bestFit="1" customWidth="1"/>
    <col min="9772" max="9772" width="12.42578125" style="366" bestFit="1" customWidth="1"/>
    <col min="9773" max="9773" width="8.42578125" style="366" bestFit="1" customWidth="1"/>
    <col min="9774" max="9774" width="9.42578125" style="366" customWidth="1"/>
    <col min="9775" max="9986" width="9.140625" style="366"/>
    <col min="9987" max="9987" width="3.7109375" style="366" bestFit="1" customWidth="1"/>
    <col min="9988" max="9988" width="17.7109375" style="366" customWidth="1"/>
    <col min="9989" max="9989" width="26.42578125" style="366" customWidth="1"/>
    <col min="9990" max="9990" width="13.42578125" style="366" customWidth="1"/>
    <col min="9991" max="9991" width="8.42578125" style="366" bestFit="1" customWidth="1"/>
    <col min="9992" max="9992" width="9.140625" style="366" customWidth="1"/>
    <col min="9993" max="9993" width="5" style="366" bestFit="1" customWidth="1"/>
    <col min="9994" max="9994" width="7.7109375" style="366" bestFit="1" customWidth="1"/>
    <col min="9995" max="9995" width="7" style="366" bestFit="1" customWidth="1"/>
    <col min="9996" max="9996" width="8.42578125" style="366" bestFit="1" customWidth="1"/>
    <col min="9997" max="9997" width="8" style="366" bestFit="1" customWidth="1"/>
    <col min="9998" max="9998" width="8" style="366" customWidth="1"/>
    <col min="9999" max="9999" width="6.28515625" style="366" customWidth="1"/>
    <col min="10000" max="10000" width="3.42578125" style="366" bestFit="1" customWidth="1"/>
    <col min="10001" max="10001" width="4.7109375" style="366" bestFit="1" customWidth="1"/>
    <col min="10002" max="10002" width="4.42578125" style="366" bestFit="1" customWidth="1"/>
    <col min="10003" max="10003" width="6.42578125" style="366" bestFit="1" customWidth="1"/>
    <col min="10004" max="10004" width="7.7109375" style="366" customWidth="1"/>
    <col min="10005" max="10005" width="4.42578125" style="366" bestFit="1" customWidth="1"/>
    <col min="10006" max="10006" width="2" style="366" bestFit="1" customWidth="1"/>
    <col min="10007" max="10007" width="1.7109375" style="366" customWidth="1"/>
    <col min="10008" max="10008" width="2" style="366" bestFit="1" customWidth="1"/>
    <col min="10009" max="10009" width="5.42578125" style="366" bestFit="1" customWidth="1"/>
    <col min="10010" max="10010" width="6.140625" style="366" bestFit="1" customWidth="1"/>
    <col min="10011" max="10012" width="6.28515625" style="366" bestFit="1" customWidth="1"/>
    <col min="10013" max="10013" width="7" style="366" bestFit="1" customWidth="1"/>
    <col min="10014" max="10014" width="9.7109375" style="366" bestFit="1" customWidth="1"/>
    <col min="10015" max="10016" width="5.28515625" style="366" bestFit="1" customWidth="1"/>
    <col min="10017" max="10018" width="6.140625" style="366" bestFit="1" customWidth="1"/>
    <col min="10019" max="10019" width="5.42578125" style="366" bestFit="1" customWidth="1"/>
    <col min="10020" max="10020" width="6.140625" style="366" bestFit="1" customWidth="1"/>
    <col min="10021" max="10021" width="6.28515625" style="366" bestFit="1" customWidth="1"/>
    <col min="10022" max="10022" width="6.140625" style="366" customWidth="1"/>
    <col min="10023" max="10024" width="5.28515625" style="366" bestFit="1" customWidth="1"/>
    <col min="10025" max="10025" width="9.7109375" style="366" bestFit="1" customWidth="1"/>
    <col min="10026" max="10026" width="8.7109375" style="366" bestFit="1" customWidth="1"/>
    <col min="10027" max="10027" width="10.7109375" style="366" bestFit="1" customWidth="1"/>
    <col min="10028" max="10028" width="12.42578125" style="366" bestFit="1" customWidth="1"/>
    <col min="10029" max="10029" width="8.42578125" style="366" bestFit="1" customWidth="1"/>
    <col min="10030" max="10030" width="9.42578125" style="366" customWidth="1"/>
    <col min="10031" max="10242" width="9.140625" style="366"/>
    <col min="10243" max="10243" width="3.7109375" style="366" bestFit="1" customWidth="1"/>
    <col min="10244" max="10244" width="17.7109375" style="366" customWidth="1"/>
    <col min="10245" max="10245" width="26.42578125" style="366" customWidth="1"/>
    <col min="10246" max="10246" width="13.42578125" style="366" customWidth="1"/>
    <col min="10247" max="10247" width="8.42578125" style="366" bestFit="1" customWidth="1"/>
    <col min="10248" max="10248" width="9.140625" style="366" customWidth="1"/>
    <col min="10249" max="10249" width="5" style="366" bestFit="1" customWidth="1"/>
    <col min="10250" max="10250" width="7.7109375" style="366" bestFit="1" customWidth="1"/>
    <col min="10251" max="10251" width="7" style="366" bestFit="1" customWidth="1"/>
    <col min="10252" max="10252" width="8.42578125" style="366" bestFit="1" customWidth="1"/>
    <col min="10253" max="10253" width="8" style="366" bestFit="1" customWidth="1"/>
    <col min="10254" max="10254" width="8" style="366" customWidth="1"/>
    <col min="10255" max="10255" width="6.28515625" style="366" customWidth="1"/>
    <col min="10256" max="10256" width="3.42578125" style="366" bestFit="1" customWidth="1"/>
    <col min="10257" max="10257" width="4.7109375" style="366" bestFit="1" customWidth="1"/>
    <col min="10258" max="10258" width="4.42578125" style="366" bestFit="1" customWidth="1"/>
    <col min="10259" max="10259" width="6.42578125" style="366" bestFit="1" customWidth="1"/>
    <col min="10260" max="10260" width="7.7109375" style="366" customWidth="1"/>
    <col min="10261" max="10261" width="4.42578125" style="366" bestFit="1" customWidth="1"/>
    <col min="10262" max="10262" width="2" style="366" bestFit="1" customWidth="1"/>
    <col min="10263" max="10263" width="1.7109375" style="366" customWidth="1"/>
    <col min="10264" max="10264" width="2" style="366" bestFit="1" customWidth="1"/>
    <col min="10265" max="10265" width="5.42578125" style="366" bestFit="1" customWidth="1"/>
    <col min="10266" max="10266" width="6.140625" style="366" bestFit="1" customWidth="1"/>
    <col min="10267" max="10268" width="6.28515625" style="366" bestFit="1" customWidth="1"/>
    <col min="10269" max="10269" width="7" style="366" bestFit="1" customWidth="1"/>
    <col min="10270" max="10270" width="9.7109375" style="366" bestFit="1" customWidth="1"/>
    <col min="10271" max="10272" width="5.28515625" style="366" bestFit="1" customWidth="1"/>
    <col min="10273" max="10274" width="6.140625" style="366" bestFit="1" customWidth="1"/>
    <col min="10275" max="10275" width="5.42578125" style="366" bestFit="1" customWidth="1"/>
    <col min="10276" max="10276" width="6.140625" style="366" bestFit="1" customWidth="1"/>
    <col min="10277" max="10277" width="6.28515625" style="366" bestFit="1" customWidth="1"/>
    <col min="10278" max="10278" width="6.140625" style="366" customWidth="1"/>
    <col min="10279" max="10280" width="5.28515625" style="366" bestFit="1" customWidth="1"/>
    <col min="10281" max="10281" width="9.7109375" style="366" bestFit="1" customWidth="1"/>
    <col min="10282" max="10282" width="8.7109375" style="366" bestFit="1" customWidth="1"/>
    <col min="10283" max="10283" width="10.7109375" style="366" bestFit="1" customWidth="1"/>
    <col min="10284" max="10284" width="12.42578125" style="366" bestFit="1" customWidth="1"/>
    <col min="10285" max="10285" width="8.42578125" style="366" bestFit="1" customWidth="1"/>
    <col min="10286" max="10286" width="9.42578125" style="366" customWidth="1"/>
    <col min="10287" max="10498" width="9.140625" style="366"/>
    <col min="10499" max="10499" width="3.7109375" style="366" bestFit="1" customWidth="1"/>
    <col min="10500" max="10500" width="17.7109375" style="366" customWidth="1"/>
    <col min="10501" max="10501" width="26.42578125" style="366" customWidth="1"/>
    <col min="10502" max="10502" width="13.42578125" style="366" customWidth="1"/>
    <col min="10503" max="10503" width="8.42578125" style="366" bestFit="1" customWidth="1"/>
    <col min="10504" max="10504" width="9.140625" style="366" customWidth="1"/>
    <col min="10505" max="10505" width="5" style="366" bestFit="1" customWidth="1"/>
    <col min="10506" max="10506" width="7.7109375" style="366" bestFit="1" customWidth="1"/>
    <col min="10507" max="10507" width="7" style="366" bestFit="1" customWidth="1"/>
    <col min="10508" max="10508" width="8.42578125" style="366" bestFit="1" customWidth="1"/>
    <col min="10509" max="10509" width="8" style="366" bestFit="1" customWidth="1"/>
    <col min="10510" max="10510" width="8" style="366" customWidth="1"/>
    <col min="10511" max="10511" width="6.28515625" style="366" customWidth="1"/>
    <col min="10512" max="10512" width="3.42578125" style="366" bestFit="1" customWidth="1"/>
    <col min="10513" max="10513" width="4.7109375" style="366" bestFit="1" customWidth="1"/>
    <col min="10514" max="10514" width="4.42578125" style="366" bestFit="1" customWidth="1"/>
    <col min="10515" max="10515" width="6.42578125" style="366" bestFit="1" customWidth="1"/>
    <col min="10516" max="10516" width="7.7109375" style="366" customWidth="1"/>
    <col min="10517" max="10517" width="4.42578125" style="366" bestFit="1" customWidth="1"/>
    <col min="10518" max="10518" width="2" style="366" bestFit="1" customWidth="1"/>
    <col min="10519" max="10519" width="1.7109375" style="366" customWidth="1"/>
    <col min="10520" max="10520" width="2" style="366" bestFit="1" customWidth="1"/>
    <col min="10521" max="10521" width="5.42578125" style="366" bestFit="1" customWidth="1"/>
    <col min="10522" max="10522" width="6.140625" style="366" bestFit="1" customWidth="1"/>
    <col min="10523" max="10524" width="6.28515625" style="366" bestFit="1" customWidth="1"/>
    <col min="10525" max="10525" width="7" style="366" bestFit="1" customWidth="1"/>
    <col min="10526" max="10526" width="9.7109375" style="366" bestFit="1" customWidth="1"/>
    <col min="10527" max="10528" width="5.28515625" style="366" bestFit="1" customWidth="1"/>
    <col min="10529" max="10530" width="6.140625" style="366" bestFit="1" customWidth="1"/>
    <col min="10531" max="10531" width="5.42578125" style="366" bestFit="1" customWidth="1"/>
    <col min="10532" max="10532" width="6.140625" style="366" bestFit="1" customWidth="1"/>
    <col min="10533" max="10533" width="6.28515625" style="366" bestFit="1" customWidth="1"/>
    <col min="10534" max="10534" width="6.140625" style="366" customWidth="1"/>
    <col min="10535" max="10536" width="5.28515625" style="366" bestFit="1" customWidth="1"/>
    <col min="10537" max="10537" width="9.7109375" style="366" bestFit="1" customWidth="1"/>
    <col min="10538" max="10538" width="8.7109375" style="366" bestFit="1" customWidth="1"/>
    <col min="10539" max="10539" width="10.7109375" style="366" bestFit="1" customWidth="1"/>
    <col min="10540" max="10540" width="12.42578125" style="366" bestFit="1" customWidth="1"/>
    <col min="10541" max="10541" width="8.42578125" style="366" bestFit="1" customWidth="1"/>
    <col min="10542" max="10542" width="9.42578125" style="366" customWidth="1"/>
    <col min="10543" max="10754" width="9.140625" style="366"/>
    <col min="10755" max="10755" width="3.7109375" style="366" bestFit="1" customWidth="1"/>
    <col min="10756" max="10756" width="17.7109375" style="366" customWidth="1"/>
    <col min="10757" max="10757" width="26.42578125" style="366" customWidth="1"/>
    <col min="10758" max="10758" width="13.42578125" style="366" customWidth="1"/>
    <col min="10759" max="10759" width="8.42578125" style="366" bestFit="1" customWidth="1"/>
    <col min="10760" max="10760" width="9.140625" style="366" customWidth="1"/>
    <col min="10761" max="10761" width="5" style="366" bestFit="1" customWidth="1"/>
    <col min="10762" max="10762" width="7.7109375" style="366" bestFit="1" customWidth="1"/>
    <col min="10763" max="10763" width="7" style="366" bestFit="1" customWidth="1"/>
    <col min="10764" max="10764" width="8.42578125" style="366" bestFit="1" customWidth="1"/>
    <col min="10765" max="10765" width="8" style="366" bestFit="1" customWidth="1"/>
    <col min="10766" max="10766" width="8" style="366" customWidth="1"/>
    <col min="10767" max="10767" width="6.28515625" style="366" customWidth="1"/>
    <col min="10768" max="10768" width="3.42578125" style="366" bestFit="1" customWidth="1"/>
    <col min="10769" max="10769" width="4.7109375" style="366" bestFit="1" customWidth="1"/>
    <col min="10770" max="10770" width="4.42578125" style="366" bestFit="1" customWidth="1"/>
    <col min="10771" max="10771" width="6.42578125" style="366" bestFit="1" customWidth="1"/>
    <col min="10772" max="10772" width="7.7109375" style="366" customWidth="1"/>
    <col min="10773" max="10773" width="4.42578125" style="366" bestFit="1" customWidth="1"/>
    <col min="10774" max="10774" width="2" style="366" bestFit="1" customWidth="1"/>
    <col min="10775" max="10775" width="1.7109375" style="366" customWidth="1"/>
    <col min="10776" max="10776" width="2" style="366" bestFit="1" customWidth="1"/>
    <col min="10777" max="10777" width="5.42578125" style="366" bestFit="1" customWidth="1"/>
    <col min="10778" max="10778" width="6.140625" style="366" bestFit="1" customWidth="1"/>
    <col min="10779" max="10780" width="6.28515625" style="366" bestFit="1" customWidth="1"/>
    <col min="10781" max="10781" width="7" style="366" bestFit="1" customWidth="1"/>
    <col min="10782" max="10782" width="9.7109375" style="366" bestFit="1" customWidth="1"/>
    <col min="10783" max="10784" width="5.28515625" style="366" bestFit="1" customWidth="1"/>
    <col min="10785" max="10786" width="6.140625" style="366" bestFit="1" customWidth="1"/>
    <col min="10787" max="10787" width="5.42578125" style="366" bestFit="1" customWidth="1"/>
    <col min="10788" max="10788" width="6.140625" style="366" bestFit="1" customWidth="1"/>
    <col min="10789" max="10789" width="6.28515625" style="366" bestFit="1" customWidth="1"/>
    <col min="10790" max="10790" width="6.140625" style="366" customWidth="1"/>
    <col min="10791" max="10792" width="5.28515625" style="366" bestFit="1" customWidth="1"/>
    <col min="10793" max="10793" width="9.7109375" style="366" bestFit="1" customWidth="1"/>
    <col min="10794" max="10794" width="8.7109375" style="366" bestFit="1" customWidth="1"/>
    <col min="10795" max="10795" width="10.7109375" style="366" bestFit="1" customWidth="1"/>
    <col min="10796" max="10796" width="12.42578125" style="366" bestFit="1" customWidth="1"/>
    <col min="10797" max="10797" width="8.42578125" style="366" bestFit="1" customWidth="1"/>
    <col min="10798" max="10798" width="9.42578125" style="366" customWidth="1"/>
    <col min="10799" max="11010" width="9.140625" style="366"/>
    <col min="11011" max="11011" width="3.7109375" style="366" bestFit="1" customWidth="1"/>
    <col min="11012" max="11012" width="17.7109375" style="366" customWidth="1"/>
    <col min="11013" max="11013" width="26.42578125" style="366" customWidth="1"/>
    <col min="11014" max="11014" width="13.42578125" style="366" customWidth="1"/>
    <col min="11015" max="11015" width="8.42578125" style="366" bestFit="1" customWidth="1"/>
    <col min="11016" max="11016" width="9.140625" style="366" customWidth="1"/>
    <col min="11017" max="11017" width="5" style="366" bestFit="1" customWidth="1"/>
    <col min="11018" max="11018" width="7.7109375" style="366" bestFit="1" customWidth="1"/>
    <col min="11019" max="11019" width="7" style="366" bestFit="1" customWidth="1"/>
    <col min="11020" max="11020" width="8.42578125" style="366" bestFit="1" customWidth="1"/>
    <col min="11021" max="11021" width="8" style="366" bestFit="1" customWidth="1"/>
    <col min="11022" max="11022" width="8" style="366" customWidth="1"/>
    <col min="11023" max="11023" width="6.28515625" style="366" customWidth="1"/>
    <col min="11024" max="11024" width="3.42578125" style="366" bestFit="1" customWidth="1"/>
    <col min="11025" max="11025" width="4.7109375" style="366" bestFit="1" customWidth="1"/>
    <col min="11026" max="11026" width="4.42578125" style="366" bestFit="1" customWidth="1"/>
    <col min="11027" max="11027" width="6.42578125" style="366" bestFit="1" customWidth="1"/>
    <col min="11028" max="11028" width="7.7109375" style="366" customWidth="1"/>
    <col min="11029" max="11029" width="4.42578125" style="366" bestFit="1" customWidth="1"/>
    <col min="11030" max="11030" width="2" style="366" bestFit="1" customWidth="1"/>
    <col min="11031" max="11031" width="1.7109375" style="366" customWidth="1"/>
    <col min="11032" max="11032" width="2" style="366" bestFit="1" customWidth="1"/>
    <col min="11033" max="11033" width="5.42578125" style="366" bestFit="1" customWidth="1"/>
    <col min="11034" max="11034" width="6.140625" style="366" bestFit="1" customWidth="1"/>
    <col min="11035" max="11036" width="6.28515625" style="366" bestFit="1" customWidth="1"/>
    <col min="11037" max="11037" width="7" style="366" bestFit="1" customWidth="1"/>
    <col min="11038" max="11038" width="9.7109375" style="366" bestFit="1" customWidth="1"/>
    <col min="11039" max="11040" width="5.28515625" style="366" bestFit="1" customWidth="1"/>
    <col min="11041" max="11042" width="6.140625" style="366" bestFit="1" customWidth="1"/>
    <col min="11043" max="11043" width="5.42578125" style="366" bestFit="1" customWidth="1"/>
    <col min="11044" max="11044" width="6.140625" style="366" bestFit="1" customWidth="1"/>
    <col min="11045" max="11045" width="6.28515625" style="366" bestFit="1" customWidth="1"/>
    <col min="11046" max="11046" width="6.140625" style="366" customWidth="1"/>
    <col min="11047" max="11048" width="5.28515625" style="366" bestFit="1" customWidth="1"/>
    <col min="11049" max="11049" width="9.7109375" style="366" bestFit="1" customWidth="1"/>
    <col min="11050" max="11050" width="8.7109375" style="366" bestFit="1" customWidth="1"/>
    <col min="11051" max="11051" width="10.7109375" style="366" bestFit="1" customWidth="1"/>
    <col min="11052" max="11052" width="12.42578125" style="366" bestFit="1" customWidth="1"/>
    <col min="11053" max="11053" width="8.42578125" style="366" bestFit="1" customWidth="1"/>
    <col min="11054" max="11054" width="9.42578125" style="366" customWidth="1"/>
    <col min="11055" max="11266" width="9.140625" style="366"/>
    <col min="11267" max="11267" width="3.7109375" style="366" bestFit="1" customWidth="1"/>
    <col min="11268" max="11268" width="17.7109375" style="366" customWidth="1"/>
    <col min="11269" max="11269" width="26.42578125" style="366" customWidth="1"/>
    <col min="11270" max="11270" width="13.42578125" style="366" customWidth="1"/>
    <col min="11271" max="11271" width="8.42578125" style="366" bestFit="1" customWidth="1"/>
    <col min="11272" max="11272" width="9.140625" style="366" customWidth="1"/>
    <col min="11273" max="11273" width="5" style="366" bestFit="1" customWidth="1"/>
    <col min="11274" max="11274" width="7.7109375" style="366" bestFit="1" customWidth="1"/>
    <col min="11275" max="11275" width="7" style="366" bestFit="1" customWidth="1"/>
    <col min="11276" max="11276" width="8.42578125" style="366" bestFit="1" customWidth="1"/>
    <col min="11277" max="11277" width="8" style="366" bestFit="1" customWidth="1"/>
    <col min="11278" max="11278" width="8" style="366" customWidth="1"/>
    <col min="11279" max="11279" width="6.28515625" style="366" customWidth="1"/>
    <col min="11280" max="11280" width="3.42578125" style="366" bestFit="1" customWidth="1"/>
    <col min="11281" max="11281" width="4.7109375" style="366" bestFit="1" customWidth="1"/>
    <col min="11282" max="11282" width="4.42578125" style="366" bestFit="1" customWidth="1"/>
    <col min="11283" max="11283" width="6.42578125" style="366" bestFit="1" customWidth="1"/>
    <col min="11284" max="11284" width="7.7109375" style="366" customWidth="1"/>
    <col min="11285" max="11285" width="4.42578125" style="366" bestFit="1" customWidth="1"/>
    <col min="11286" max="11286" width="2" style="366" bestFit="1" customWidth="1"/>
    <col min="11287" max="11287" width="1.7109375" style="366" customWidth="1"/>
    <col min="11288" max="11288" width="2" style="366" bestFit="1" customWidth="1"/>
    <col min="11289" max="11289" width="5.42578125" style="366" bestFit="1" customWidth="1"/>
    <col min="11290" max="11290" width="6.140625" style="366" bestFit="1" customWidth="1"/>
    <col min="11291" max="11292" width="6.28515625" style="366" bestFit="1" customWidth="1"/>
    <col min="11293" max="11293" width="7" style="366" bestFit="1" customWidth="1"/>
    <col min="11294" max="11294" width="9.7109375" style="366" bestFit="1" customWidth="1"/>
    <col min="11295" max="11296" width="5.28515625" style="366" bestFit="1" customWidth="1"/>
    <col min="11297" max="11298" width="6.140625" style="366" bestFit="1" customWidth="1"/>
    <col min="11299" max="11299" width="5.42578125" style="366" bestFit="1" customWidth="1"/>
    <col min="11300" max="11300" width="6.140625" style="366" bestFit="1" customWidth="1"/>
    <col min="11301" max="11301" width="6.28515625" style="366" bestFit="1" customWidth="1"/>
    <col min="11302" max="11302" width="6.140625" style="366" customWidth="1"/>
    <col min="11303" max="11304" width="5.28515625" style="366" bestFit="1" customWidth="1"/>
    <col min="11305" max="11305" width="9.7109375" style="366" bestFit="1" customWidth="1"/>
    <col min="11306" max="11306" width="8.7109375" style="366" bestFit="1" customWidth="1"/>
    <col min="11307" max="11307" width="10.7109375" style="366" bestFit="1" customWidth="1"/>
    <col min="11308" max="11308" width="12.42578125" style="366" bestFit="1" customWidth="1"/>
    <col min="11309" max="11309" width="8.42578125" style="366" bestFit="1" customWidth="1"/>
    <col min="11310" max="11310" width="9.42578125" style="366" customWidth="1"/>
    <col min="11311" max="11522" width="9.140625" style="366"/>
    <col min="11523" max="11523" width="3.7109375" style="366" bestFit="1" customWidth="1"/>
    <col min="11524" max="11524" width="17.7109375" style="366" customWidth="1"/>
    <col min="11525" max="11525" width="26.42578125" style="366" customWidth="1"/>
    <col min="11526" max="11526" width="13.42578125" style="366" customWidth="1"/>
    <col min="11527" max="11527" width="8.42578125" style="366" bestFit="1" customWidth="1"/>
    <col min="11528" max="11528" width="9.140625" style="366" customWidth="1"/>
    <col min="11529" max="11529" width="5" style="366" bestFit="1" customWidth="1"/>
    <col min="11530" max="11530" width="7.7109375" style="366" bestFit="1" customWidth="1"/>
    <col min="11531" max="11531" width="7" style="366" bestFit="1" customWidth="1"/>
    <col min="11532" max="11532" width="8.42578125" style="366" bestFit="1" customWidth="1"/>
    <col min="11533" max="11533" width="8" style="366" bestFit="1" customWidth="1"/>
    <col min="11534" max="11534" width="8" style="366" customWidth="1"/>
    <col min="11535" max="11535" width="6.28515625" style="366" customWidth="1"/>
    <col min="11536" max="11536" width="3.42578125" style="366" bestFit="1" customWidth="1"/>
    <col min="11537" max="11537" width="4.7109375" style="366" bestFit="1" customWidth="1"/>
    <col min="11538" max="11538" width="4.42578125" style="366" bestFit="1" customWidth="1"/>
    <col min="11539" max="11539" width="6.42578125" style="366" bestFit="1" customWidth="1"/>
    <col min="11540" max="11540" width="7.7109375" style="366" customWidth="1"/>
    <col min="11541" max="11541" width="4.42578125" style="366" bestFit="1" customWidth="1"/>
    <col min="11542" max="11542" width="2" style="366" bestFit="1" customWidth="1"/>
    <col min="11543" max="11543" width="1.7109375" style="366" customWidth="1"/>
    <col min="11544" max="11544" width="2" style="366" bestFit="1" customWidth="1"/>
    <col min="11545" max="11545" width="5.42578125" style="366" bestFit="1" customWidth="1"/>
    <col min="11546" max="11546" width="6.140625" style="366" bestFit="1" customWidth="1"/>
    <col min="11547" max="11548" width="6.28515625" style="366" bestFit="1" customWidth="1"/>
    <col min="11549" max="11549" width="7" style="366" bestFit="1" customWidth="1"/>
    <col min="11550" max="11550" width="9.7109375" style="366" bestFit="1" customWidth="1"/>
    <col min="11551" max="11552" width="5.28515625" style="366" bestFit="1" customWidth="1"/>
    <col min="11553" max="11554" width="6.140625" style="366" bestFit="1" customWidth="1"/>
    <col min="11555" max="11555" width="5.42578125" style="366" bestFit="1" customWidth="1"/>
    <col min="11556" max="11556" width="6.140625" style="366" bestFit="1" customWidth="1"/>
    <col min="11557" max="11557" width="6.28515625" style="366" bestFit="1" customWidth="1"/>
    <col min="11558" max="11558" width="6.140625" style="366" customWidth="1"/>
    <col min="11559" max="11560" width="5.28515625" style="366" bestFit="1" customWidth="1"/>
    <col min="11561" max="11561" width="9.7109375" style="366" bestFit="1" customWidth="1"/>
    <col min="11562" max="11562" width="8.7109375" style="366" bestFit="1" customWidth="1"/>
    <col min="11563" max="11563" width="10.7109375" style="366" bestFit="1" customWidth="1"/>
    <col min="11564" max="11564" width="12.42578125" style="366" bestFit="1" customWidth="1"/>
    <col min="11565" max="11565" width="8.42578125" style="366" bestFit="1" customWidth="1"/>
    <col min="11566" max="11566" width="9.42578125" style="366" customWidth="1"/>
    <col min="11567" max="11778" width="9.140625" style="366"/>
    <col min="11779" max="11779" width="3.7109375" style="366" bestFit="1" customWidth="1"/>
    <col min="11780" max="11780" width="17.7109375" style="366" customWidth="1"/>
    <col min="11781" max="11781" width="26.42578125" style="366" customWidth="1"/>
    <col min="11782" max="11782" width="13.42578125" style="366" customWidth="1"/>
    <col min="11783" max="11783" width="8.42578125" style="366" bestFit="1" customWidth="1"/>
    <col min="11784" max="11784" width="9.140625" style="366" customWidth="1"/>
    <col min="11785" max="11785" width="5" style="366" bestFit="1" customWidth="1"/>
    <col min="11786" max="11786" width="7.7109375" style="366" bestFit="1" customWidth="1"/>
    <col min="11787" max="11787" width="7" style="366" bestFit="1" customWidth="1"/>
    <col min="11788" max="11788" width="8.42578125" style="366" bestFit="1" customWidth="1"/>
    <col min="11789" max="11789" width="8" style="366" bestFit="1" customWidth="1"/>
    <col min="11790" max="11790" width="8" style="366" customWidth="1"/>
    <col min="11791" max="11791" width="6.28515625" style="366" customWidth="1"/>
    <col min="11792" max="11792" width="3.42578125" style="366" bestFit="1" customWidth="1"/>
    <col min="11793" max="11793" width="4.7109375" style="366" bestFit="1" customWidth="1"/>
    <col min="11794" max="11794" width="4.42578125" style="366" bestFit="1" customWidth="1"/>
    <col min="11795" max="11795" width="6.42578125" style="366" bestFit="1" customWidth="1"/>
    <col min="11796" max="11796" width="7.7109375" style="366" customWidth="1"/>
    <col min="11797" max="11797" width="4.42578125" style="366" bestFit="1" customWidth="1"/>
    <col min="11798" max="11798" width="2" style="366" bestFit="1" customWidth="1"/>
    <col min="11799" max="11799" width="1.7109375" style="366" customWidth="1"/>
    <col min="11800" max="11800" width="2" style="366" bestFit="1" customWidth="1"/>
    <col min="11801" max="11801" width="5.42578125" style="366" bestFit="1" customWidth="1"/>
    <col min="11802" max="11802" width="6.140625" style="366" bestFit="1" customWidth="1"/>
    <col min="11803" max="11804" width="6.28515625" style="366" bestFit="1" customWidth="1"/>
    <col min="11805" max="11805" width="7" style="366" bestFit="1" customWidth="1"/>
    <col min="11806" max="11806" width="9.7109375" style="366" bestFit="1" customWidth="1"/>
    <col min="11807" max="11808" width="5.28515625" style="366" bestFit="1" customWidth="1"/>
    <col min="11809" max="11810" width="6.140625" style="366" bestFit="1" customWidth="1"/>
    <col min="11811" max="11811" width="5.42578125" style="366" bestFit="1" customWidth="1"/>
    <col min="11812" max="11812" width="6.140625" style="366" bestFit="1" customWidth="1"/>
    <col min="11813" max="11813" width="6.28515625" style="366" bestFit="1" customWidth="1"/>
    <col min="11814" max="11814" width="6.140625" style="366" customWidth="1"/>
    <col min="11815" max="11816" width="5.28515625" style="366" bestFit="1" customWidth="1"/>
    <col min="11817" max="11817" width="9.7109375" style="366" bestFit="1" customWidth="1"/>
    <col min="11818" max="11818" width="8.7109375" style="366" bestFit="1" customWidth="1"/>
    <col min="11819" max="11819" width="10.7109375" style="366" bestFit="1" customWidth="1"/>
    <col min="11820" max="11820" width="12.42578125" style="366" bestFit="1" customWidth="1"/>
    <col min="11821" max="11821" width="8.42578125" style="366" bestFit="1" customWidth="1"/>
    <col min="11822" max="11822" width="9.42578125" style="366" customWidth="1"/>
    <col min="11823" max="12034" width="9.140625" style="366"/>
    <col min="12035" max="12035" width="3.7109375" style="366" bestFit="1" customWidth="1"/>
    <col min="12036" max="12036" width="17.7109375" style="366" customWidth="1"/>
    <col min="12037" max="12037" width="26.42578125" style="366" customWidth="1"/>
    <col min="12038" max="12038" width="13.42578125" style="366" customWidth="1"/>
    <col min="12039" max="12039" width="8.42578125" style="366" bestFit="1" customWidth="1"/>
    <col min="12040" max="12040" width="9.140625" style="366" customWidth="1"/>
    <col min="12041" max="12041" width="5" style="366" bestFit="1" customWidth="1"/>
    <col min="12042" max="12042" width="7.7109375" style="366" bestFit="1" customWidth="1"/>
    <col min="12043" max="12043" width="7" style="366" bestFit="1" customWidth="1"/>
    <col min="12044" max="12044" width="8.42578125" style="366" bestFit="1" customWidth="1"/>
    <col min="12045" max="12045" width="8" style="366" bestFit="1" customWidth="1"/>
    <col min="12046" max="12046" width="8" style="366" customWidth="1"/>
    <col min="12047" max="12047" width="6.28515625" style="366" customWidth="1"/>
    <col min="12048" max="12048" width="3.42578125" style="366" bestFit="1" customWidth="1"/>
    <col min="12049" max="12049" width="4.7109375" style="366" bestFit="1" customWidth="1"/>
    <col min="12050" max="12050" width="4.42578125" style="366" bestFit="1" customWidth="1"/>
    <col min="12051" max="12051" width="6.42578125" style="366" bestFit="1" customWidth="1"/>
    <col min="12052" max="12052" width="7.7109375" style="366" customWidth="1"/>
    <col min="12053" max="12053" width="4.42578125" style="366" bestFit="1" customWidth="1"/>
    <col min="12054" max="12054" width="2" style="366" bestFit="1" customWidth="1"/>
    <col min="12055" max="12055" width="1.7109375" style="366" customWidth="1"/>
    <col min="12056" max="12056" width="2" style="366" bestFit="1" customWidth="1"/>
    <col min="12057" max="12057" width="5.42578125" style="366" bestFit="1" customWidth="1"/>
    <col min="12058" max="12058" width="6.140625" style="366" bestFit="1" customWidth="1"/>
    <col min="12059" max="12060" width="6.28515625" style="366" bestFit="1" customWidth="1"/>
    <col min="12061" max="12061" width="7" style="366" bestFit="1" customWidth="1"/>
    <col min="12062" max="12062" width="9.7109375" style="366" bestFit="1" customWidth="1"/>
    <col min="12063" max="12064" width="5.28515625" style="366" bestFit="1" customWidth="1"/>
    <col min="12065" max="12066" width="6.140625" style="366" bestFit="1" customWidth="1"/>
    <col min="12067" max="12067" width="5.42578125" style="366" bestFit="1" customWidth="1"/>
    <col min="12068" max="12068" width="6.140625" style="366" bestFit="1" customWidth="1"/>
    <col min="12069" max="12069" width="6.28515625" style="366" bestFit="1" customWidth="1"/>
    <col min="12070" max="12070" width="6.140625" style="366" customWidth="1"/>
    <col min="12071" max="12072" width="5.28515625" style="366" bestFit="1" customWidth="1"/>
    <col min="12073" max="12073" width="9.7109375" style="366" bestFit="1" customWidth="1"/>
    <col min="12074" max="12074" width="8.7109375" style="366" bestFit="1" customWidth="1"/>
    <col min="12075" max="12075" width="10.7109375" style="366" bestFit="1" customWidth="1"/>
    <col min="12076" max="12076" width="12.42578125" style="366" bestFit="1" customWidth="1"/>
    <col min="12077" max="12077" width="8.42578125" style="366" bestFit="1" customWidth="1"/>
    <col min="12078" max="12078" width="9.42578125" style="366" customWidth="1"/>
    <col min="12079" max="12290" width="9.140625" style="366"/>
    <col min="12291" max="12291" width="3.7109375" style="366" bestFit="1" customWidth="1"/>
    <col min="12292" max="12292" width="17.7109375" style="366" customWidth="1"/>
    <col min="12293" max="12293" width="26.42578125" style="366" customWidth="1"/>
    <col min="12294" max="12294" width="13.42578125" style="366" customWidth="1"/>
    <col min="12295" max="12295" width="8.42578125" style="366" bestFit="1" customWidth="1"/>
    <col min="12296" max="12296" width="9.140625" style="366" customWidth="1"/>
    <col min="12297" max="12297" width="5" style="366" bestFit="1" customWidth="1"/>
    <col min="12298" max="12298" width="7.7109375" style="366" bestFit="1" customWidth="1"/>
    <col min="12299" max="12299" width="7" style="366" bestFit="1" customWidth="1"/>
    <col min="12300" max="12300" width="8.42578125" style="366" bestFit="1" customWidth="1"/>
    <col min="12301" max="12301" width="8" style="366" bestFit="1" customWidth="1"/>
    <col min="12302" max="12302" width="8" style="366" customWidth="1"/>
    <col min="12303" max="12303" width="6.28515625" style="366" customWidth="1"/>
    <col min="12304" max="12304" width="3.42578125" style="366" bestFit="1" customWidth="1"/>
    <col min="12305" max="12305" width="4.7109375" style="366" bestFit="1" customWidth="1"/>
    <col min="12306" max="12306" width="4.42578125" style="366" bestFit="1" customWidth="1"/>
    <col min="12307" max="12307" width="6.42578125" style="366" bestFit="1" customWidth="1"/>
    <col min="12308" max="12308" width="7.7109375" style="366" customWidth="1"/>
    <col min="12309" max="12309" width="4.42578125" style="366" bestFit="1" customWidth="1"/>
    <col min="12310" max="12310" width="2" style="366" bestFit="1" customWidth="1"/>
    <col min="12311" max="12311" width="1.7109375" style="366" customWidth="1"/>
    <col min="12312" max="12312" width="2" style="366" bestFit="1" customWidth="1"/>
    <col min="12313" max="12313" width="5.42578125" style="366" bestFit="1" customWidth="1"/>
    <col min="12314" max="12314" width="6.140625" style="366" bestFit="1" customWidth="1"/>
    <col min="12315" max="12316" width="6.28515625" style="366" bestFit="1" customWidth="1"/>
    <col min="12317" max="12317" width="7" style="366" bestFit="1" customWidth="1"/>
    <col min="12318" max="12318" width="9.7109375" style="366" bestFit="1" customWidth="1"/>
    <col min="12319" max="12320" width="5.28515625" style="366" bestFit="1" customWidth="1"/>
    <col min="12321" max="12322" width="6.140625" style="366" bestFit="1" customWidth="1"/>
    <col min="12323" max="12323" width="5.42578125" style="366" bestFit="1" customWidth="1"/>
    <col min="12324" max="12324" width="6.140625" style="366" bestFit="1" customWidth="1"/>
    <col min="12325" max="12325" width="6.28515625" style="366" bestFit="1" customWidth="1"/>
    <col min="12326" max="12326" width="6.140625" style="366" customWidth="1"/>
    <col min="12327" max="12328" width="5.28515625" style="366" bestFit="1" customWidth="1"/>
    <col min="12329" max="12329" width="9.7109375" style="366" bestFit="1" customWidth="1"/>
    <col min="12330" max="12330" width="8.7109375" style="366" bestFit="1" customWidth="1"/>
    <col min="12331" max="12331" width="10.7109375" style="366" bestFit="1" customWidth="1"/>
    <col min="12332" max="12332" width="12.42578125" style="366" bestFit="1" customWidth="1"/>
    <col min="12333" max="12333" width="8.42578125" style="366" bestFit="1" customWidth="1"/>
    <col min="12334" max="12334" width="9.42578125" style="366" customWidth="1"/>
    <col min="12335" max="12546" width="9.140625" style="366"/>
    <col min="12547" max="12547" width="3.7109375" style="366" bestFit="1" customWidth="1"/>
    <col min="12548" max="12548" width="17.7109375" style="366" customWidth="1"/>
    <col min="12549" max="12549" width="26.42578125" style="366" customWidth="1"/>
    <col min="12550" max="12550" width="13.42578125" style="366" customWidth="1"/>
    <col min="12551" max="12551" width="8.42578125" style="366" bestFit="1" customWidth="1"/>
    <col min="12552" max="12552" width="9.140625" style="366" customWidth="1"/>
    <col min="12553" max="12553" width="5" style="366" bestFit="1" customWidth="1"/>
    <col min="12554" max="12554" width="7.7109375" style="366" bestFit="1" customWidth="1"/>
    <col min="12555" max="12555" width="7" style="366" bestFit="1" customWidth="1"/>
    <col min="12556" max="12556" width="8.42578125" style="366" bestFit="1" customWidth="1"/>
    <col min="12557" max="12557" width="8" style="366" bestFit="1" customWidth="1"/>
    <col min="12558" max="12558" width="8" style="366" customWidth="1"/>
    <col min="12559" max="12559" width="6.28515625" style="366" customWidth="1"/>
    <col min="12560" max="12560" width="3.42578125" style="366" bestFit="1" customWidth="1"/>
    <col min="12561" max="12561" width="4.7109375" style="366" bestFit="1" customWidth="1"/>
    <col min="12562" max="12562" width="4.42578125" style="366" bestFit="1" customWidth="1"/>
    <col min="12563" max="12563" width="6.42578125" style="366" bestFit="1" customWidth="1"/>
    <col min="12564" max="12564" width="7.7109375" style="366" customWidth="1"/>
    <col min="12565" max="12565" width="4.42578125" style="366" bestFit="1" customWidth="1"/>
    <col min="12566" max="12566" width="2" style="366" bestFit="1" customWidth="1"/>
    <col min="12567" max="12567" width="1.7109375" style="366" customWidth="1"/>
    <col min="12568" max="12568" width="2" style="366" bestFit="1" customWidth="1"/>
    <col min="12569" max="12569" width="5.42578125" style="366" bestFit="1" customWidth="1"/>
    <col min="12570" max="12570" width="6.140625" style="366" bestFit="1" customWidth="1"/>
    <col min="12571" max="12572" width="6.28515625" style="366" bestFit="1" customWidth="1"/>
    <col min="12573" max="12573" width="7" style="366" bestFit="1" customWidth="1"/>
    <col min="12574" max="12574" width="9.7109375" style="366" bestFit="1" customWidth="1"/>
    <col min="12575" max="12576" width="5.28515625" style="366" bestFit="1" customWidth="1"/>
    <col min="12577" max="12578" width="6.140625" style="366" bestFit="1" customWidth="1"/>
    <col min="12579" max="12579" width="5.42578125" style="366" bestFit="1" customWidth="1"/>
    <col min="12580" max="12580" width="6.140625" style="366" bestFit="1" customWidth="1"/>
    <col min="12581" max="12581" width="6.28515625" style="366" bestFit="1" customWidth="1"/>
    <col min="12582" max="12582" width="6.140625" style="366" customWidth="1"/>
    <col min="12583" max="12584" width="5.28515625" style="366" bestFit="1" customWidth="1"/>
    <col min="12585" max="12585" width="9.7109375" style="366" bestFit="1" customWidth="1"/>
    <col min="12586" max="12586" width="8.7109375" style="366" bestFit="1" customWidth="1"/>
    <col min="12587" max="12587" width="10.7109375" style="366" bestFit="1" customWidth="1"/>
    <col min="12588" max="12588" width="12.42578125" style="366" bestFit="1" customWidth="1"/>
    <col min="12589" max="12589" width="8.42578125" style="366" bestFit="1" customWidth="1"/>
    <col min="12590" max="12590" width="9.42578125" style="366" customWidth="1"/>
    <col min="12591" max="12802" width="9.140625" style="366"/>
    <col min="12803" max="12803" width="3.7109375" style="366" bestFit="1" customWidth="1"/>
    <col min="12804" max="12804" width="17.7109375" style="366" customWidth="1"/>
    <col min="12805" max="12805" width="26.42578125" style="366" customWidth="1"/>
    <col min="12806" max="12806" width="13.42578125" style="366" customWidth="1"/>
    <col min="12807" max="12807" width="8.42578125" style="366" bestFit="1" customWidth="1"/>
    <col min="12808" max="12808" width="9.140625" style="366" customWidth="1"/>
    <col min="12809" max="12809" width="5" style="366" bestFit="1" customWidth="1"/>
    <col min="12810" max="12810" width="7.7109375" style="366" bestFit="1" customWidth="1"/>
    <col min="12811" max="12811" width="7" style="366" bestFit="1" customWidth="1"/>
    <col min="12812" max="12812" width="8.42578125" style="366" bestFit="1" customWidth="1"/>
    <col min="12813" max="12813" width="8" style="366" bestFit="1" customWidth="1"/>
    <col min="12814" max="12814" width="8" style="366" customWidth="1"/>
    <col min="12815" max="12815" width="6.28515625" style="366" customWidth="1"/>
    <col min="12816" max="12816" width="3.42578125" style="366" bestFit="1" customWidth="1"/>
    <col min="12817" max="12817" width="4.7109375" style="366" bestFit="1" customWidth="1"/>
    <col min="12818" max="12818" width="4.42578125" style="366" bestFit="1" customWidth="1"/>
    <col min="12819" max="12819" width="6.42578125" style="366" bestFit="1" customWidth="1"/>
    <col min="12820" max="12820" width="7.7109375" style="366" customWidth="1"/>
    <col min="12821" max="12821" width="4.42578125" style="366" bestFit="1" customWidth="1"/>
    <col min="12822" max="12822" width="2" style="366" bestFit="1" customWidth="1"/>
    <col min="12823" max="12823" width="1.7109375" style="366" customWidth="1"/>
    <col min="12824" max="12824" width="2" style="366" bestFit="1" customWidth="1"/>
    <col min="12825" max="12825" width="5.42578125" style="366" bestFit="1" customWidth="1"/>
    <col min="12826" max="12826" width="6.140625" style="366" bestFit="1" customWidth="1"/>
    <col min="12827" max="12828" width="6.28515625" style="366" bestFit="1" customWidth="1"/>
    <col min="12829" max="12829" width="7" style="366" bestFit="1" customWidth="1"/>
    <col min="12830" max="12830" width="9.7109375" style="366" bestFit="1" customWidth="1"/>
    <col min="12831" max="12832" width="5.28515625" style="366" bestFit="1" customWidth="1"/>
    <col min="12833" max="12834" width="6.140625" style="366" bestFit="1" customWidth="1"/>
    <col min="12835" max="12835" width="5.42578125" style="366" bestFit="1" customWidth="1"/>
    <col min="12836" max="12836" width="6.140625" style="366" bestFit="1" customWidth="1"/>
    <col min="12837" max="12837" width="6.28515625" style="366" bestFit="1" customWidth="1"/>
    <col min="12838" max="12838" width="6.140625" style="366" customWidth="1"/>
    <col min="12839" max="12840" width="5.28515625" style="366" bestFit="1" customWidth="1"/>
    <col min="12841" max="12841" width="9.7109375" style="366" bestFit="1" customWidth="1"/>
    <col min="12842" max="12842" width="8.7109375" style="366" bestFit="1" customWidth="1"/>
    <col min="12843" max="12843" width="10.7109375" style="366" bestFit="1" customWidth="1"/>
    <col min="12844" max="12844" width="12.42578125" style="366" bestFit="1" customWidth="1"/>
    <col min="12845" max="12845" width="8.42578125" style="366" bestFit="1" customWidth="1"/>
    <col min="12846" max="12846" width="9.42578125" style="366" customWidth="1"/>
    <col min="12847" max="13058" width="9.140625" style="366"/>
    <col min="13059" max="13059" width="3.7109375" style="366" bestFit="1" customWidth="1"/>
    <col min="13060" max="13060" width="17.7109375" style="366" customWidth="1"/>
    <col min="13061" max="13061" width="26.42578125" style="366" customWidth="1"/>
    <col min="13062" max="13062" width="13.42578125" style="366" customWidth="1"/>
    <col min="13063" max="13063" width="8.42578125" style="366" bestFit="1" customWidth="1"/>
    <col min="13064" max="13064" width="9.140625" style="366" customWidth="1"/>
    <col min="13065" max="13065" width="5" style="366" bestFit="1" customWidth="1"/>
    <col min="13066" max="13066" width="7.7109375" style="366" bestFit="1" customWidth="1"/>
    <col min="13067" max="13067" width="7" style="366" bestFit="1" customWidth="1"/>
    <col min="13068" max="13068" width="8.42578125" style="366" bestFit="1" customWidth="1"/>
    <col min="13069" max="13069" width="8" style="366" bestFit="1" customWidth="1"/>
    <col min="13070" max="13070" width="8" style="366" customWidth="1"/>
    <col min="13071" max="13071" width="6.28515625" style="366" customWidth="1"/>
    <col min="13072" max="13072" width="3.42578125" style="366" bestFit="1" customWidth="1"/>
    <col min="13073" max="13073" width="4.7109375" style="366" bestFit="1" customWidth="1"/>
    <col min="13074" max="13074" width="4.42578125" style="366" bestFit="1" customWidth="1"/>
    <col min="13075" max="13075" width="6.42578125" style="366" bestFit="1" customWidth="1"/>
    <col min="13076" max="13076" width="7.7109375" style="366" customWidth="1"/>
    <col min="13077" max="13077" width="4.42578125" style="366" bestFit="1" customWidth="1"/>
    <col min="13078" max="13078" width="2" style="366" bestFit="1" customWidth="1"/>
    <col min="13079" max="13079" width="1.7109375" style="366" customWidth="1"/>
    <col min="13080" max="13080" width="2" style="366" bestFit="1" customWidth="1"/>
    <col min="13081" max="13081" width="5.42578125" style="366" bestFit="1" customWidth="1"/>
    <col min="13082" max="13082" width="6.140625" style="366" bestFit="1" customWidth="1"/>
    <col min="13083" max="13084" width="6.28515625" style="366" bestFit="1" customWidth="1"/>
    <col min="13085" max="13085" width="7" style="366" bestFit="1" customWidth="1"/>
    <col min="13086" max="13086" width="9.7109375" style="366" bestFit="1" customWidth="1"/>
    <col min="13087" max="13088" width="5.28515625" style="366" bestFit="1" customWidth="1"/>
    <col min="13089" max="13090" width="6.140625" style="366" bestFit="1" customWidth="1"/>
    <col min="13091" max="13091" width="5.42578125" style="366" bestFit="1" customWidth="1"/>
    <col min="13092" max="13092" width="6.140625" style="366" bestFit="1" customWidth="1"/>
    <col min="13093" max="13093" width="6.28515625" style="366" bestFit="1" customWidth="1"/>
    <col min="13094" max="13094" width="6.140625" style="366" customWidth="1"/>
    <col min="13095" max="13096" width="5.28515625" style="366" bestFit="1" customWidth="1"/>
    <col min="13097" max="13097" width="9.7109375" style="366" bestFit="1" customWidth="1"/>
    <col min="13098" max="13098" width="8.7109375" style="366" bestFit="1" customWidth="1"/>
    <col min="13099" max="13099" width="10.7109375" style="366" bestFit="1" customWidth="1"/>
    <col min="13100" max="13100" width="12.42578125" style="366" bestFit="1" customWidth="1"/>
    <col min="13101" max="13101" width="8.42578125" style="366" bestFit="1" customWidth="1"/>
    <col min="13102" max="13102" width="9.42578125" style="366" customWidth="1"/>
    <col min="13103" max="13314" width="9.140625" style="366"/>
    <col min="13315" max="13315" width="3.7109375" style="366" bestFit="1" customWidth="1"/>
    <col min="13316" max="13316" width="17.7109375" style="366" customWidth="1"/>
    <col min="13317" max="13317" width="26.42578125" style="366" customWidth="1"/>
    <col min="13318" max="13318" width="13.42578125" style="366" customWidth="1"/>
    <col min="13319" max="13319" width="8.42578125" style="366" bestFit="1" customWidth="1"/>
    <col min="13320" max="13320" width="9.140625" style="366" customWidth="1"/>
    <col min="13321" max="13321" width="5" style="366" bestFit="1" customWidth="1"/>
    <col min="13322" max="13322" width="7.7109375" style="366" bestFit="1" customWidth="1"/>
    <col min="13323" max="13323" width="7" style="366" bestFit="1" customWidth="1"/>
    <col min="13324" max="13324" width="8.42578125" style="366" bestFit="1" customWidth="1"/>
    <col min="13325" max="13325" width="8" style="366" bestFit="1" customWidth="1"/>
    <col min="13326" max="13326" width="8" style="366" customWidth="1"/>
    <col min="13327" max="13327" width="6.28515625" style="366" customWidth="1"/>
    <col min="13328" max="13328" width="3.42578125" style="366" bestFit="1" customWidth="1"/>
    <col min="13329" max="13329" width="4.7109375" style="366" bestFit="1" customWidth="1"/>
    <col min="13330" max="13330" width="4.42578125" style="366" bestFit="1" customWidth="1"/>
    <col min="13331" max="13331" width="6.42578125" style="366" bestFit="1" customWidth="1"/>
    <col min="13332" max="13332" width="7.7109375" style="366" customWidth="1"/>
    <col min="13333" max="13333" width="4.42578125" style="366" bestFit="1" customWidth="1"/>
    <col min="13334" max="13334" width="2" style="366" bestFit="1" customWidth="1"/>
    <col min="13335" max="13335" width="1.7109375" style="366" customWidth="1"/>
    <col min="13336" max="13336" width="2" style="366" bestFit="1" customWidth="1"/>
    <col min="13337" max="13337" width="5.42578125" style="366" bestFit="1" customWidth="1"/>
    <col min="13338" max="13338" width="6.140625" style="366" bestFit="1" customWidth="1"/>
    <col min="13339" max="13340" width="6.28515625" style="366" bestFit="1" customWidth="1"/>
    <col min="13341" max="13341" width="7" style="366" bestFit="1" customWidth="1"/>
    <col min="13342" max="13342" width="9.7109375" style="366" bestFit="1" customWidth="1"/>
    <col min="13343" max="13344" width="5.28515625" style="366" bestFit="1" customWidth="1"/>
    <col min="13345" max="13346" width="6.140625" style="366" bestFit="1" customWidth="1"/>
    <col min="13347" max="13347" width="5.42578125" style="366" bestFit="1" customWidth="1"/>
    <col min="13348" max="13348" width="6.140625" style="366" bestFit="1" customWidth="1"/>
    <col min="13349" max="13349" width="6.28515625" style="366" bestFit="1" customWidth="1"/>
    <col min="13350" max="13350" width="6.140625" style="366" customWidth="1"/>
    <col min="13351" max="13352" width="5.28515625" style="366" bestFit="1" customWidth="1"/>
    <col min="13353" max="13353" width="9.7109375" style="366" bestFit="1" customWidth="1"/>
    <col min="13354" max="13354" width="8.7109375" style="366" bestFit="1" customWidth="1"/>
    <col min="13355" max="13355" width="10.7109375" style="366" bestFit="1" customWidth="1"/>
    <col min="13356" max="13356" width="12.42578125" style="366" bestFit="1" customWidth="1"/>
    <col min="13357" max="13357" width="8.42578125" style="366" bestFit="1" customWidth="1"/>
    <col min="13358" max="13358" width="9.42578125" style="366" customWidth="1"/>
    <col min="13359" max="13570" width="9.140625" style="366"/>
    <col min="13571" max="13571" width="3.7109375" style="366" bestFit="1" customWidth="1"/>
    <col min="13572" max="13572" width="17.7109375" style="366" customWidth="1"/>
    <col min="13573" max="13573" width="26.42578125" style="366" customWidth="1"/>
    <col min="13574" max="13574" width="13.42578125" style="366" customWidth="1"/>
    <col min="13575" max="13575" width="8.42578125" style="366" bestFit="1" customWidth="1"/>
    <col min="13576" max="13576" width="9.140625" style="366" customWidth="1"/>
    <col min="13577" max="13577" width="5" style="366" bestFit="1" customWidth="1"/>
    <col min="13578" max="13578" width="7.7109375" style="366" bestFit="1" customWidth="1"/>
    <col min="13579" max="13579" width="7" style="366" bestFit="1" customWidth="1"/>
    <col min="13580" max="13580" width="8.42578125" style="366" bestFit="1" customWidth="1"/>
    <col min="13581" max="13581" width="8" style="366" bestFit="1" customWidth="1"/>
    <col min="13582" max="13582" width="8" style="366" customWidth="1"/>
    <col min="13583" max="13583" width="6.28515625" style="366" customWidth="1"/>
    <col min="13584" max="13584" width="3.42578125" style="366" bestFit="1" customWidth="1"/>
    <col min="13585" max="13585" width="4.7109375" style="366" bestFit="1" customWidth="1"/>
    <col min="13586" max="13586" width="4.42578125" style="366" bestFit="1" customWidth="1"/>
    <col min="13587" max="13587" width="6.42578125" style="366" bestFit="1" customWidth="1"/>
    <col min="13588" max="13588" width="7.7109375" style="366" customWidth="1"/>
    <col min="13589" max="13589" width="4.42578125" style="366" bestFit="1" customWidth="1"/>
    <col min="13590" max="13590" width="2" style="366" bestFit="1" customWidth="1"/>
    <col min="13591" max="13591" width="1.7109375" style="366" customWidth="1"/>
    <col min="13592" max="13592" width="2" style="366" bestFit="1" customWidth="1"/>
    <col min="13593" max="13593" width="5.42578125" style="366" bestFit="1" customWidth="1"/>
    <col min="13594" max="13594" width="6.140625" style="366" bestFit="1" customWidth="1"/>
    <col min="13595" max="13596" width="6.28515625" style="366" bestFit="1" customWidth="1"/>
    <col min="13597" max="13597" width="7" style="366" bestFit="1" customWidth="1"/>
    <col min="13598" max="13598" width="9.7109375" style="366" bestFit="1" customWidth="1"/>
    <col min="13599" max="13600" width="5.28515625" style="366" bestFit="1" customWidth="1"/>
    <col min="13601" max="13602" width="6.140625" style="366" bestFit="1" customWidth="1"/>
    <col min="13603" max="13603" width="5.42578125" style="366" bestFit="1" customWidth="1"/>
    <col min="13604" max="13604" width="6.140625" style="366" bestFit="1" customWidth="1"/>
    <col min="13605" max="13605" width="6.28515625" style="366" bestFit="1" customWidth="1"/>
    <col min="13606" max="13606" width="6.140625" style="366" customWidth="1"/>
    <col min="13607" max="13608" width="5.28515625" style="366" bestFit="1" customWidth="1"/>
    <col min="13609" max="13609" width="9.7109375" style="366" bestFit="1" customWidth="1"/>
    <col min="13610" max="13610" width="8.7109375" style="366" bestFit="1" customWidth="1"/>
    <col min="13611" max="13611" width="10.7109375" style="366" bestFit="1" customWidth="1"/>
    <col min="13612" max="13612" width="12.42578125" style="366" bestFit="1" customWidth="1"/>
    <col min="13613" max="13613" width="8.42578125" style="366" bestFit="1" customWidth="1"/>
    <col min="13614" max="13614" width="9.42578125" style="366" customWidth="1"/>
    <col min="13615" max="13826" width="9.140625" style="366"/>
    <col min="13827" max="13827" width="3.7109375" style="366" bestFit="1" customWidth="1"/>
    <col min="13828" max="13828" width="17.7109375" style="366" customWidth="1"/>
    <col min="13829" max="13829" width="26.42578125" style="366" customWidth="1"/>
    <col min="13830" max="13830" width="13.42578125" style="366" customWidth="1"/>
    <col min="13831" max="13831" width="8.42578125" style="366" bestFit="1" customWidth="1"/>
    <col min="13832" max="13832" width="9.140625" style="366" customWidth="1"/>
    <col min="13833" max="13833" width="5" style="366" bestFit="1" customWidth="1"/>
    <col min="13834" max="13834" width="7.7109375" style="366" bestFit="1" customWidth="1"/>
    <col min="13835" max="13835" width="7" style="366" bestFit="1" customWidth="1"/>
    <col min="13836" max="13836" width="8.42578125" style="366" bestFit="1" customWidth="1"/>
    <col min="13837" max="13837" width="8" style="366" bestFit="1" customWidth="1"/>
    <col min="13838" max="13838" width="8" style="366" customWidth="1"/>
    <col min="13839" max="13839" width="6.28515625" style="366" customWidth="1"/>
    <col min="13840" max="13840" width="3.42578125" style="366" bestFit="1" customWidth="1"/>
    <col min="13841" max="13841" width="4.7109375" style="366" bestFit="1" customWidth="1"/>
    <col min="13842" max="13842" width="4.42578125" style="366" bestFit="1" customWidth="1"/>
    <col min="13843" max="13843" width="6.42578125" style="366" bestFit="1" customWidth="1"/>
    <col min="13844" max="13844" width="7.7109375" style="366" customWidth="1"/>
    <col min="13845" max="13845" width="4.42578125" style="366" bestFit="1" customWidth="1"/>
    <col min="13846" max="13846" width="2" style="366" bestFit="1" customWidth="1"/>
    <col min="13847" max="13847" width="1.7109375" style="366" customWidth="1"/>
    <col min="13848" max="13848" width="2" style="366" bestFit="1" customWidth="1"/>
    <col min="13849" max="13849" width="5.42578125" style="366" bestFit="1" customWidth="1"/>
    <col min="13850" max="13850" width="6.140625" style="366" bestFit="1" customWidth="1"/>
    <col min="13851" max="13852" width="6.28515625" style="366" bestFit="1" customWidth="1"/>
    <col min="13853" max="13853" width="7" style="366" bestFit="1" customWidth="1"/>
    <col min="13854" max="13854" width="9.7109375" style="366" bestFit="1" customWidth="1"/>
    <col min="13855" max="13856" width="5.28515625" style="366" bestFit="1" customWidth="1"/>
    <col min="13857" max="13858" width="6.140625" style="366" bestFit="1" customWidth="1"/>
    <col min="13859" max="13859" width="5.42578125" style="366" bestFit="1" customWidth="1"/>
    <col min="13860" max="13860" width="6.140625" style="366" bestFit="1" customWidth="1"/>
    <col min="13861" max="13861" width="6.28515625" style="366" bestFit="1" customWidth="1"/>
    <col min="13862" max="13862" width="6.140625" style="366" customWidth="1"/>
    <col min="13863" max="13864" width="5.28515625" style="366" bestFit="1" customWidth="1"/>
    <col min="13865" max="13865" width="9.7109375" style="366" bestFit="1" customWidth="1"/>
    <col min="13866" max="13866" width="8.7109375" style="366" bestFit="1" customWidth="1"/>
    <col min="13867" max="13867" width="10.7109375" style="366" bestFit="1" customWidth="1"/>
    <col min="13868" max="13868" width="12.42578125" style="366" bestFit="1" customWidth="1"/>
    <col min="13869" max="13869" width="8.42578125" style="366" bestFit="1" customWidth="1"/>
    <col min="13870" max="13870" width="9.42578125" style="366" customWidth="1"/>
    <col min="13871" max="14082" width="9.140625" style="366"/>
    <col min="14083" max="14083" width="3.7109375" style="366" bestFit="1" customWidth="1"/>
    <col min="14084" max="14084" width="17.7109375" style="366" customWidth="1"/>
    <col min="14085" max="14085" width="26.42578125" style="366" customWidth="1"/>
    <col min="14086" max="14086" width="13.42578125" style="366" customWidth="1"/>
    <col min="14087" max="14087" width="8.42578125" style="366" bestFit="1" customWidth="1"/>
    <col min="14088" max="14088" width="9.140625" style="366" customWidth="1"/>
    <col min="14089" max="14089" width="5" style="366" bestFit="1" customWidth="1"/>
    <col min="14090" max="14090" width="7.7109375" style="366" bestFit="1" customWidth="1"/>
    <col min="14091" max="14091" width="7" style="366" bestFit="1" customWidth="1"/>
    <col min="14092" max="14092" width="8.42578125" style="366" bestFit="1" customWidth="1"/>
    <col min="14093" max="14093" width="8" style="366" bestFit="1" customWidth="1"/>
    <col min="14094" max="14094" width="8" style="366" customWidth="1"/>
    <col min="14095" max="14095" width="6.28515625" style="366" customWidth="1"/>
    <col min="14096" max="14096" width="3.42578125" style="366" bestFit="1" customWidth="1"/>
    <col min="14097" max="14097" width="4.7109375" style="366" bestFit="1" customWidth="1"/>
    <col min="14098" max="14098" width="4.42578125" style="366" bestFit="1" customWidth="1"/>
    <col min="14099" max="14099" width="6.42578125" style="366" bestFit="1" customWidth="1"/>
    <col min="14100" max="14100" width="7.7109375" style="366" customWidth="1"/>
    <col min="14101" max="14101" width="4.42578125" style="366" bestFit="1" customWidth="1"/>
    <col min="14102" max="14102" width="2" style="366" bestFit="1" customWidth="1"/>
    <col min="14103" max="14103" width="1.7109375" style="366" customWidth="1"/>
    <col min="14104" max="14104" width="2" style="366" bestFit="1" customWidth="1"/>
    <col min="14105" max="14105" width="5.42578125" style="366" bestFit="1" customWidth="1"/>
    <col min="14106" max="14106" width="6.140625" style="366" bestFit="1" customWidth="1"/>
    <col min="14107" max="14108" width="6.28515625" style="366" bestFit="1" customWidth="1"/>
    <col min="14109" max="14109" width="7" style="366" bestFit="1" customWidth="1"/>
    <col min="14110" max="14110" width="9.7109375" style="366" bestFit="1" customWidth="1"/>
    <col min="14111" max="14112" width="5.28515625" style="366" bestFit="1" customWidth="1"/>
    <col min="14113" max="14114" width="6.140625" style="366" bestFit="1" customWidth="1"/>
    <col min="14115" max="14115" width="5.42578125" style="366" bestFit="1" customWidth="1"/>
    <col min="14116" max="14116" width="6.140625" style="366" bestFit="1" customWidth="1"/>
    <col min="14117" max="14117" width="6.28515625" style="366" bestFit="1" customWidth="1"/>
    <col min="14118" max="14118" width="6.140625" style="366" customWidth="1"/>
    <col min="14119" max="14120" width="5.28515625" style="366" bestFit="1" customWidth="1"/>
    <col min="14121" max="14121" width="9.7109375" style="366" bestFit="1" customWidth="1"/>
    <col min="14122" max="14122" width="8.7109375" style="366" bestFit="1" customWidth="1"/>
    <col min="14123" max="14123" width="10.7109375" style="366" bestFit="1" customWidth="1"/>
    <col min="14124" max="14124" width="12.42578125" style="366" bestFit="1" customWidth="1"/>
    <col min="14125" max="14125" width="8.42578125" style="366" bestFit="1" customWidth="1"/>
    <col min="14126" max="14126" width="9.42578125" style="366" customWidth="1"/>
    <col min="14127" max="14338" width="9.140625" style="366"/>
    <col min="14339" max="14339" width="3.7109375" style="366" bestFit="1" customWidth="1"/>
    <col min="14340" max="14340" width="17.7109375" style="366" customWidth="1"/>
    <col min="14341" max="14341" width="26.42578125" style="366" customWidth="1"/>
    <col min="14342" max="14342" width="13.42578125" style="366" customWidth="1"/>
    <col min="14343" max="14343" width="8.42578125" style="366" bestFit="1" customWidth="1"/>
    <col min="14344" max="14344" width="9.140625" style="366" customWidth="1"/>
    <col min="14345" max="14345" width="5" style="366" bestFit="1" customWidth="1"/>
    <col min="14346" max="14346" width="7.7109375" style="366" bestFit="1" customWidth="1"/>
    <col min="14347" max="14347" width="7" style="366" bestFit="1" customWidth="1"/>
    <col min="14348" max="14348" width="8.42578125" style="366" bestFit="1" customWidth="1"/>
    <col min="14349" max="14349" width="8" style="366" bestFit="1" customWidth="1"/>
    <col min="14350" max="14350" width="8" style="366" customWidth="1"/>
    <col min="14351" max="14351" width="6.28515625" style="366" customWidth="1"/>
    <col min="14352" max="14352" width="3.42578125" style="366" bestFit="1" customWidth="1"/>
    <col min="14353" max="14353" width="4.7109375" style="366" bestFit="1" customWidth="1"/>
    <col min="14354" max="14354" width="4.42578125" style="366" bestFit="1" customWidth="1"/>
    <col min="14355" max="14355" width="6.42578125" style="366" bestFit="1" customWidth="1"/>
    <col min="14356" max="14356" width="7.7109375" style="366" customWidth="1"/>
    <col min="14357" max="14357" width="4.42578125" style="366" bestFit="1" customWidth="1"/>
    <col min="14358" max="14358" width="2" style="366" bestFit="1" customWidth="1"/>
    <col min="14359" max="14359" width="1.7109375" style="366" customWidth="1"/>
    <col min="14360" max="14360" width="2" style="366" bestFit="1" customWidth="1"/>
    <col min="14361" max="14361" width="5.42578125" style="366" bestFit="1" customWidth="1"/>
    <col min="14362" max="14362" width="6.140625" style="366" bestFit="1" customWidth="1"/>
    <col min="14363" max="14364" width="6.28515625" style="366" bestFit="1" customWidth="1"/>
    <col min="14365" max="14365" width="7" style="366" bestFit="1" customWidth="1"/>
    <col min="14366" max="14366" width="9.7109375" style="366" bestFit="1" customWidth="1"/>
    <col min="14367" max="14368" width="5.28515625" style="366" bestFit="1" customWidth="1"/>
    <col min="14369" max="14370" width="6.140625" style="366" bestFit="1" customWidth="1"/>
    <col min="14371" max="14371" width="5.42578125" style="366" bestFit="1" customWidth="1"/>
    <col min="14372" max="14372" width="6.140625" style="366" bestFit="1" customWidth="1"/>
    <col min="14373" max="14373" width="6.28515625" style="366" bestFit="1" customWidth="1"/>
    <col min="14374" max="14374" width="6.140625" style="366" customWidth="1"/>
    <col min="14375" max="14376" width="5.28515625" style="366" bestFit="1" customWidth="1"/>
    <col min="14377" max="14377" width="9.7109375" style="366" bestFit="1" customWidth="1"/>
    <col min="14378" max="14378" width="8.7109375" style="366" bestFit="1" customWidth="1"/>
    <col min="14379" max="14379" width="10.7109375" style="366" bestFit="1" customWidth="1"/>
    <col min="14380" max="14380" width="12.42578125" style="366" bestFit="1" customWidth="1"/>
    <col min="14381" max="14381" width="8.42578125" style="366" bestFit="1" customWidth="1"/>
    <col min="14382" max="14382" width="9.42578125" style="366" customWidth="1"/>
    <col min="14383" max="14594" width="9.140625" style="366"/>
    <col min="14595" max="14595" width="3.7109375" style="366" bestFit="1" customWidth="1"/>
    <col min="14596" max="14596" width="17.7109375" style="366" customWidth="1"/>
    <col min="14597" max="14597" width="26.42578125" style="366" customWidth="1"/>
    <col min="14598" max="14598" width="13.42578125" style="366" customWidth="1"/>
    <col min="14599" max="14599" width="8.42578125" style="366" bestFit="1" customWidth="1"/>
    <col min="14600" max="14600" width="9.140625" style="366" customWidth="1"/>
    <col min="14601" max="14601" width="5" style="366" bestFit="1" customWidth="1"/>
    <col min="14602" max="14602" width="7.7109375" style="366" bestFit="1" customWidth="1"/>
    <col min="14603" max="14603" width="7" style="366" bestFit="1" customWidth="1"/>
    <col min="14604" max="14604" width="8.42578125" style="366" bestFit="1" customWidth="1"/>
    <col min="14605" max="14605" width="8" style="366" bestFit="1" customWidth="1"/>
    <col min="14606" max="14606" width="8" style="366" customWidth="1"/>
    <col min="14607" max="14607" width="6.28515625" style="366" customWidth="1"/>
    <col min="14608" max="14608" width="3.42578125" style="366" bestFit="1" customWidth="1"/>
    <col min="14609" max="14609" width="4.7109375" style="366" bestFit="1" customWidth="1"/>
    <col min="14610" max="14610" width="4.42578125" style="366" bestFit="1" customWidth="1"/>
    <col min="14611" max="14611" width="6.42578125" style="366" bestFit="1" customWidth="1"/>
    <col min="14612" max="14612" width="7.7109375" style="366" customWidth="1"/>
    <col min="14613" max="14613" width="4.42578125" style="366" bestFit="1" customWidth="1"/>
    <col min="14614" max="14614" width="2" style="366" bestFit="1" customWidth="1"/>
    <col min="14615" max="14615" width="1.7109375" style="366" customWidth="1"/>
    <col min="14616" max="14616" width="2" style="366" bestFit="1" customWidth="1"/>
    <col min="14617" max="14617" width="5.42578125" style="366" bestFit="1" customWidth="1"/>
    <col min="14618" max="14618" width="6.140625" style="366" bestFit="1" customWidth="1"/>
    <col min="14619" max="14620" width="6.28515625" style="366" bestFit="1" customWidth="1"/>
    <col min="14621" max="14621" width="7" style="366" bestFit="1" customWidth="1"/>
    <col min="14622" max="14622" width="9.7109375" style="366" bestFit="1" customWidth="1"/>
    <col min="14623" max="14624" width="5.28515625" style="366" bestFit="1" customWidth="1"/>
    <col min="14625" max="14626" width="6.140625" style="366" bestFit="1" customWidth="1"/>
    <col min="14627" max="14627" width="5.42578125" style="366" bestFit="1" customWidth="1"/>
    <col min="14628" max="14628" width="6.140625" style="366" bestFit="1" customWidth="1"/>
    <col min="14629" max="14629" width="6.28515625" style="366" bestFit="1" customWidth="1"/>
    <col min="14630" max="14630" width="6.140625" style="366" customWidth="1"/>
    <col min="14631" max="14632" width="5.28515625" style="366" bestFit="1" customWidth="1"/>
    <col min="14633" max="14633" width="9.7109375" style="366" bestFit="1" customWidth="1"/>
    <col min="14634" max="14634" width="8.7109375" style="366" bestFit="1" customWidth="1"/>
    <col min="14635" max="14635" width="10.7109375" style="366" bestFit="1" customWidth="1"/>
    <col min="14636" max="14636" width="12.42578125" style="366" bestFit="1" customWidth="1"/>
    <col min="14637" max="14637" width="8.42578125" style="366" bestFit="1" customWidth="1"/>
    <col min="14638" max="14638" width="9.42578125" style="366" customWidth="1"/>
    <col min="14639" max="14850" width="9.140625" style="366"/>
    <col min="14851" max="14851" width="3.7109375" style="366" bestFit="1" customWidth="1"/>
    <col min="14852" max="14852" width="17.7109375" style="366" customWidth="1"/>
    <col min="14853" max="14853" width="26.42578125" style="366" customWidth="1"/>
    <col min="14854" max="14854" width="13.42578125" style="366" customWidth="1"/>
    <col min="14855" max="14855" width="8.42578125" style="366" bestFit="1" customWidth="1"/>
    <col min="14856" max="14856" width="9.140625" style="366" customWidth="1"/>
    <col min="14857" max="14857" width="5" style="366" bestFit="1" customWidth="1"/>
    <col min="14858" max="14858" width="7.7109375" style="366" bestFit="1" customWidth="1"/>
    <col min="14859" max="14859" width="7" style="366" bestFit="1" customWidth="1"/>
    <col min="14860" max="14860" width="8.42578125" style="366" bestFit="1" customWidth="1"/>
    <col min="14861" max="14861" width="8" style="366" bestFit="1" customWidth="1"/>
    <col min="14862" max="14862" width="8" style="366" customWidth="1"/>
    <col min="14863" max="14863" width="6.28515625" style="366" customWidth="1"/>
    <col min="14864" max="14864" width="3.42578125" style="366" bestFit="1" customWidth="1"/>
    <col min="14865" max="14865" width="4.7109375" style="366" bestFit="1" customWidth="1"/>
    <col min="14866" max="14866" width="4.42578125" style="366" bestFit="1" customWidth="1"/>
    <col min="14867" max="14867" width="6.42578125" style="366" bestFit="1" customWidth="1"/>
    <col min="14868" max="14868" width="7.7109375" style="366" customWidth="1"/>
    <col min="14869" max="14869" width="4.42578125" style="366" bestFit="1" customWidth="1"/>
    <col min="14870" max="14870" width="2" style="366" bestFit="1" customWidth="1"/>
    <col min="14871" max="14871" width="1.7109375" style="366" customWidth="1"/>
    <col min="14872" max="14872" width="2" style="366" bestFit="1" customWidth="1"/>
    <col min="14873" max="14873" width="5.42578125" style="366" bestFit="1" customWidth="1"/>
    <col min="14874" max="14874" width="6.140625" style="366" bestFit="1" customWidth="1"/>
    <col min="14875" max="14876" width="6.28515625" style="366" bestFit="1" customWidth="1"/>
    <col min="14877" max="14877" width="7" style="366" bestFit="1" customWidth="1"/>
    <col min="14878" max="14878" width="9.7109375" style="366" bestFit="1" customWidth="1"/>
    <col min="14879" max="14880" width="5.28515625" style="366" bestFit="1" customWidth="1"/>
    <col min="14881" max="14882" width="6.140625" style="366" bestFit="1" customWidth="1"/>
    <col min="14883" max="14883" width="5.42578125" style="366" bestFit="1" customWidth="1"/>
    <col min="14884" max="14884" width="6.140625" style="366" bestFit="1" customWidth="1"/>
    <col min="14885" max="14885" width="6.28515625" style="366" bestFit="1" customWidth="1"/>
    <col min="14886" max="14886" width="6.140625" style="366" customWidth="1"/>
    <col min="14887" max="14888" width="5.28515625" style="366" bestFit="1" customWidth="1"/>
    <col min="14889" max="14889" width="9.7109375" style="366" bestFit="1" customWidth="1"/>
    <col min="14890" max="14890" width="8.7109375" style="366" bestFit="1" customWidth="1"/>
    <col min="14891" max="14891" width="10.7109375" style="366" bestFit="1" customWidth="1"/>
    <col min="14892" max="14892" width="12.42578125" style="366" bestFit="1" customWidth="1"/>
    <col min="14893" max="14893" width="8.42578125" style="366" bestFit="1" customWidth="1"/>
    <col min="14894" max="14894" width="9.42578125" style="366" customWidth="1"/>
    <col min="14895" max="15106" width="9.140625" style="366"/>
    <col min="15107" max="15107" width="3.7109375" style="366" bestFit="1" customWidth="1"/>
    <col min="15108" max="15108" width="17.7109375" style="366" customWidth="1"/>
    <col min="15109" max="15109" width="26.42578125" style="366" customWidth="1"/>
    <col min="15110" max="15110" width="13.42578125" style="366" customWidth="1"/>
    <col min="15111" max="15111" width="8.42578125" style="366" bestFit="1" customWidth="1"/>
    <col min="15112" max="15112" width="9.140625" style="366" customWidth="1"/>
    <col min="15113" max="15113" width="5" style="366" bestFit="1" customWidth="1"/>
    <col min="15114" max="15114" width="7.7109375" style="366" bestFit="1" customWidth="1"/>
    <col min="15115" max="15115" width="7" style="366" bestFit="1" customWidth="1"/>
    <col min="15116" max="15116" width="8.42578125" style="366" bestFit="1" customWidth="1"/>
    <col min="15117" max="15117" width="8" style="366" bestFit="1" customWidth="1"/>
    <col min="15118" max="15118" width="8" style="366" customWidth="1"/>
    <col min="15119" max="15119" width="6.28515625" style="366" customWidth="1"/>
    <col min="15120" max="15120" width="3.42578125" style="366" bestFit="1" customWidth="1"/>
    <col min="15121" max="15121" width="4.7109375" style="366" bestFit="1" customWidth="1"/>
    <col min="15122" max="15122" width="4.42578125" style="366" bestFit="1" customWidth="1"/>
    <col min="15123" max="15123" width="6.42578125" style="366" bestFit="1" customWidth="1"/>
    <col min="15124" max="15124" width="7.7109375" style="366" customWidth="1"/>
    <col min="15125" max="15125" width="4.42578125" style="366" bestFit="1" customWidth="1"/>
    <col min="15126" max="15126" width="2" style="366" bestFit="1" customWidth="1"/>
    <col min="15127" max="15127" width="1.7109375" style="366" customWidth="1"/>
    <col min="15128" max="15128" width="2" style="366" bestFit="1" customWidth="1"/>
    <col min="15129" max="15129" width="5.42578125" style="366" bestFit="1" customWidth="1"/>
    <col min="15130" max="15130" width="6.140625" style="366" bestFit="1" customWidth="1"/>
    <col min="15131" max="15132" width="6.28515625" style="366" bestFit="1" customWidth="1"/>
    <col min="15133" max="15133" width="7" style="366" bestFit="1" customWidth="1"/>
    <col min="15134" max="15134" width="9.7109375" style="366" bestFit="1" customWidth="1"/>
    <col min="15135" max="15136" width="5.28515625" style="366" bestFit="1" customWidth="1"/>
    <col min="15137" max="15138" width="6.140625" style="366" bestFit="1" customWidth="1"/>
    <col min="15139" max="15139" width="5.42578125" style="366" bestFit="1" customWidth="1"/>
    <col min="15140" max="15140" width="6.140625" style="366" bestFit="1" customWidth="1"/>
    <col min="15141" max="15141" width="6.28515625" style="366" bestFit="1" customWidth="1"/>
    <col min="15142" max="15142" width="6.140625" style="366" customWidth="1"/>
    <col min="15143" max="15144" width="5.28515625" style="366" bestFit="1" customWidth="1"/>
    <col min="15145" max="15145" width="9.7109375" style="366" bestFit="1" customWidth="1"/>
    <col min="15146" max="15146" width="8.7109375" style="366" bestFit="1" customWidth="1"/>
    <col min="15147" max="15147" width="10.7109375" style="366" bestFit="1" customWidth="1"/>
    <col min="15148" max="15148" width="12.42578125" style="366" bestFit="1" customWidth="1"/>
    <col min="15149" max="15149" width="8.42578125" style="366" bestFit="1" customWidth="1"/>
    <col min="15150" max="15150" width="9.42578125" style="366" customWidth="1"/>
    <col min="15151" max="15362" width="9.140625" style="366"/>
    <col min="15363" max="15363" width="3.7109375" style="366" bestFit="1" customWidth="1"/>
    <col min="15364" max="15364" width="17.7109375" style="366" customWidth="1"/>
    <col min="15365" max="15365" width="26.42578125" style="366" customWidth="1"/>
    <col min="15366" max="15366" width="13.42578125" style="366" customWidth="1"/>
    <col min="15367" max="15367" width="8.42578125" style="366" bestFit="1" customWidth="1"/>
    <col min="15368" max="15368" width="9.140625" style="366" customWidth="1"/>
    <col min="15369" max="15369" width="5" style="366" bestFit="1" customWidth="1"/>
    <col min="15370" max="15370" width="7.7109375" style="366" bestFit="1" customWidth="1"/>
    <col min="15371" max="15371" width="7" style="366" bestFit="1" customWidth="1"/>
    <col min="15372" max="15372" width="8.42578125" style="366" bestFit="1" customWidth="1"/>
    <col min="15373" max="15373" width="8" style="366" bestFit="1" customWidth="1"/>
    <col min="15374" max="15374" width="8" style="366" customWidth="1"/>
    <col min="15375" max="15375" width="6.28515625" style="366" customWidth="1"/>
    <col min="15376" max="15376" width="3.42578125" style="366" bestFit="1" customWidth="1"/>
    <col min="15377" max="15377" width="4.7109375" style="366" bestFit="1" customWidth="1"/>
    <col min="15378" max="15378" width="4.42578125" style="366" bestFit="1" customWidth="1"/>
    <col min="15379" max="15379" width="6.42578125" style="366" bestFit="1" customWidth="1"/>
    <col min="15380" max="15380" width="7.7109375" style="366" customWidth="1"/>
    <col min="15381" max="15381" width="4.42578125" style="366" bestFit="1" customWidth="1"/>
    <col min="15382" max="15382" width="2" style="366" bestFit="1" customWidth="1"/>
    <col min="15383" max="15383" width="1.7109375" style="366" customWidth="1"/>
    <col min="15384" max="15384" width="2" style="366" bestFit="1" customWidth="1"/>
    <col min="15385" max="15385" width="5.42578125" style="366" bestFit="1" customWidth="1"/>
    <col min="15386" max="15386" width="6.140625" style="366" bestFit="1" customWidth="1"/>
    <col min="15387" max="15388" width="6.28515625" style="366" bestFit="1" customWidth="1"/>
    <col min="15389" max="15389" width="7" style="366" bestFit="1" customWidth="1"/>
    <col min="15390" max="15390" width="9.7109375" style="366" bestFit="1" customWidth="1"/>
    <col min="15391" max="15392" width="5.28515625" style="366" bestFit="1" customWidth="1"/>
    <col min="15393" max="15394" width="6.140625" style="366" bestFit="1" customWidth="1"/>
    <col min="15395" max="15395" width="5.42578125" style="366" bestFit="1" customWidth="1"/>
    <col min="15396" max="15396" width="6.140625" style="366" bestFit="1" customWidth="1"/>
    <col min="15397" max="15397" width="6.28515625" style="366" bestFit="1" customWidth="1"/>
    <col min="15398" max="15398" width="6.140625" style="366" customWidth="1"/>
    <col min="15399" max="15400" width="5.28515625" style="366" bestFit="1" customWidth="1"/>
    <col min="15401" max="15401" width="9.7109375" style="366" bestFit="1" customWidth="1"/>
    <col min="15402" max="15402" width="8.7109375" style="366" bestFit="1" customWidth="1"/>
    <col min="15403" max="15403" width="10.7109375" style="366" bestFit="1" customWidth="1"/>
    <col min="15404" max="15404" width="12.42578125" style="366" bestFit="1" customWidth="1"/>
    <col min="15405" max="15405" width="8.42578125" style="366" bestFit="1" customWidth="1"/>
    <col min="15406" max="15406" width="9.42578125" style="366" customWidth="1"/>
    <col min="15407" max="15618" width="9.140625" style="366"/>
    <col min="15619" max="15619" width="3.7109375" style="366" bestFit="1" customWidth="1"/>
    <col min="15620" max="15620" width="17.7109375" style="366" customWidth="1"/>
    <col min="15621" max="15621" width="26.42578125" style="366" customWidth="1"/>
    <col min="15622" max="15622" width="13.42578125" style="366" customWidth="1"/>
    <col min="15623" max="15623" width="8.42578125" style="366" bestFit="1" customWidth="1"/>
    <col min="15624" max="15624" width="9.140625" style="366" customWidth="1"/>
    <col min="15625" max="15625" width="5" style="366" bestFit="1" customWidth="1"/>
    <col min="15626" max="15626" width="7.7109375" style="366" bestFit="1" customWidth="1"/>
    <col min="15627" max="15627" width="7" style="366" bestFit="1" customWidth="1"/>
    <col min="15628" max="15628" width="8.42578125" style="366" bestFit="1" customWidth="1"/>
    <col min="15629" max="15629" width="8" style="366" bestFit="1" customWidth="1"/>
    <col min="15630" max="15630" width="8" style="366" customWidth="1"/>
    <col min="15631" max="15631" width="6.28515625" style="366" customWidth="1"/>
    <col min="15632" max="15632" width="3.42578125" style="366" bestFit="1" customWidth="1"/>
    <col min="15633" max="15633" width="4.7109375" style="366" bestFit="1" customWidth="1"/>
    <col min="15634" max="15634" width="4.42578125" style="366" bestFit="1" customWidth="1"/>
    <col min="15635" max="15635" width="6.42578125" style="366" bestFit="1" customWidth="1"/>
    <col min="15636" max="15636" width="7.7109375" style="366" customWidth="1"/>
    <col min="15637" max="15637" width="4.42578125" style="366" bestFit="1" customWidth="1"/>
    <col min="15638" max="15638" width="2" style="366" bestFit="1" customWidth="1"/>
    <col min="15639" max="15639" width="1.7109375" style="366" customWidth="1"/>
    <col min="15640" max="15640" width="2" style="366" bestFit="1" customWidth="1"/>
    <col min="15641" max="15641" width="5.42578125" style="366" bestFit="1" customWidth="1"/>
    <col min="15642" max="15642" width="6.140625" style="366" bestFit="1" customWidth="1"/>
    <col min="15643" max="15644" width="6.28515625" style="366" bestFit="1" customWidth="1"/>
    <col min="15645" max="15645" width="7" style="366" bestFit="1" customWidth="1"/>
    <col min="15646" max="15646" width="9.7109375" style="366" bestFit="1" customWidth="1"/>
    <col min="15647" max="15648" width="5.28515625" style="366" bestFit="1" customWidth="1"/>
    <col min="15649" max="15650" width="6.140625" style="366" bestFit="1" customWidth="1"/>
    <col min="15651" max="15651" width="5.42578125" style="366" bestFit="1" customWidth="1"/>
    <col min="15652" max="15652" width="6.140625" style="366" bestFit="1" customWidth="1"/>
    <col min="15653" max="15653" width="6.28515625" style="366" bestFit="1" customWidth="1"/>
    <col min="15654" max="15654" width="6.140625" style="366" customWidth="1"/>
    <col min="15655" max="15656" width="5.28515625" style="366" bestFit="1" customWidth="1"/>
    <col min="15657" max="15657" width="9.7109375" style="366" bestFit="1" customWidth="1"/>
    <col min="15658" max="15658" width="8.7109375" style="366" bestFit="1" customWidth="1"/>
    <col min="15659" max="15659" width="10.7109375" style="366" bestFit="1" customWidth="1"/>
    <col min="15660" max="15660" width="12.42578125" style="366" bestFit="1" customWidth="1"/>
    <col min="15661" max="15661" width="8.42578125" style="366" bestFit="1" customWidth="1"/>
    <col min="15662" max="15662" width="9.42578125" style="366" customWidth="1"/>
    <col min="15663" max="15874" width="9.140625" style="366"/>
    <col min="15875" max="15875" width="3.7109375" style="366" bestFit="1" customWidth="1"/>
    <col min="15876" max="15876" width="17.7109375" style="366" customWidth="1"/>
    <col min="15877" max="15877" width="26.42578125" style="366" customWidth="1"/>
    <col min="15878" max="15878" width="13.42578125" style="366" customWidth="1"/>
    <col min="15879" max="15879" width="8.42578125" style="366" bestFit="1" customWidth="1"/>
    <col min="15880" max="15880" width="9.140625" style="366" customWidth="1"/>
    <col min="15881" max="15881" width="5" style="366" bestFit="1" customWidth="1"/>
    <col min="15882" max="15882" width="7.7109375" style="366" bestFit="1" customWidth="1"/>
    <col min="15883" max="15883" width="7" style="366" bestFit="1" customWidth="1"/>
    <col min="15884" max="15884" width="8.42578125" style="366" bestFit="1" customWidth="1"/>
    <col min="15885" max="15885" width="8" style="366" bestFit="1" customWidth="1"/>
    <col min="15886" max="15886" width="8" style="366" customWidth="1"/>
    <col min="15887" max="15887" width="6.28515625" style="366" customWidth="1"/>
    <col min="15888" max="15888" width="3.42578125" style="366" bestFit="1" customWidth="1"/>
    <col min="15889" max="15889" width="4.7109375" style="366" bestFit="1" customWidth="1"/>
    <col min="15890" max="15890" width="4.42578125" style="366" bestFit="1" customWidth="1"/>
    <col min="15891" max="15891" width="6.42578125" style="366" bestFit="1" customWidth="1"/>
    <col min="15892" max="15892" width="7.7109375" style="366" customWidth="1"/>
    <col min="15893" max="15893" width="4.42578125" style="366" bestFit="1" customWidth="1"/>
    <col min="15894" max="15894" width="2" style="366" bestFit="1" customWidth="1"/>
    <col min="15895" max="15895" width="1.7109375" style="366" customWidth="1"/>
    <col min="15896" max="15896" width="2" style="366" bestFit="1" customWidth="1"/>
    <col min="15897" max="15897" width="5.42578125" style="366" bestFit="1" customWidth="1"/>
    <col min="15898" max="15898" width="6.140625" style="366" bestFit="1" customWidth="1"/>
    <col min="15899" max="15900" width="6.28515625" style="366" bestFit="1" customWidth="1"/>
    <col min="15901" max="15901" width="7" style="366" bestFit="1" customWidth="1"/>
    <col min="15902" max="15902" width="9.7109375" style="366" bestFit="1" customWidth="1"/>
    <col min="15903" max="15904" width="5.28515625" style="366" bestFit="1" customWidth="1"/>
    <col min="15905" max="15906" width="6.140625" style="366" bestFit="1" customWidth="1"/>
    <col min="15907" max="15907" width="5.42578125" style="366" bestFit="1" customWidth="1"/>
    <col min="15908" max="15908" width="6.140625" style="366" bestFit="1" customWidth="1"/>
    <col min="15909" max="15909" width="6.28515625" style="366" bestFit="1" customWidth="1"/>
    <col min="15910" max="15910" width="6.140625" style="366" customWidth="1"/>
    <col min="15911" max="15912" width="5.28515625" style="366" bestFit="1" customWidth="1"/>
    <col min="15913" max="15913" width="9.7109375" style="366" bestFit="1" customWidth="1"/>
    <col min="15914" max="15914" width="8.7109375" style="366" bestFit="1" customWidth="1"/>
    <col min="15915" max="15915" width="10.7109375" style="366" bestFit="1" customWidth="1"/>
    <col min="15916" max="15916" width="12.42578125" style="366" bestFit="1" customWidth="1"/>
    <col min="15917" max="15917" width="8.42578125" style="366" bestFit="1" customWidth="1"/>
    <col min="15918" max="15918" width="9.42578125" style="366" customWidth="1"/>
    <col min="15919" max="16130" width="9.140625" style="366"/>
    <col min="16131" max="16131" width="3.7109375" style="366" bestFit="1" customWidth="1"/>
    <col min="16132" max="16132" width="17.7109375" style="366" customWidth="1"/>
    <col min="16133" max="16133" width="26.42578125" style="366" customWidth="1"/>
    <col min="16134" max="16134" width="13.42578125" style="366" customWidth="1"/>
    <col min="16135" max="16135" width="8.42578125" style="366" bestFit="1" customWidth="1"/>
    <col min="16136" max="16136" width="9.140625" style="366" customWidth="1"/>
    <col min="16137" max="16137" width="5" style="366" bestFit="1" customWidth="1"/>
    <col min="16138" max="16138" width="7.7109375" style="366" bestFit="1" customWidth="1"/>
    <col min="16139" max="16139" width="7" style="366" bestFit="1" customWidth="1"/>
    <col min="16140" max="16140" width="8.42578125" style="366" bestFit="1" customWidth="1"/>
    <col min="16141" max="16141" width="8" style="366" bestFit="1" customWidth="1"/>
    <col min="16142" max="16142" width="8" style="366" customWidth="1"/>
    <col min="16143" max="16143" width="6.28515625" style="366" customWidth="1"/>
    <col min="16144" max="16144" width="3.42578125" style="366" bestFit="1" customWidth="1"/>
    <col min="16145" max="16145" width="4.7109375" style="366" bestFit="1" customWidth="1"/>
    <col min="16146" max="16146" width="4.42578125" style="366" bestFit="1" customWidth="1"/>
    <col min="16147" max="16147" width="6.42578125" style="366" bestFit="1" customWidth="1"/>
    <col min="16148" max="16148" width="7.7109375" style="366" customWidth="1"/>
    <col min="16149" max="16149" width="4.42578125" style="366" bestFit="1" customWidth="1"/>
    <col min="16150" max="16150" width="2" style="366" bestFit="1" customWidth="1"/>
    <col min="16151" max="16151" width="1.7109375" style="366" customWidth="1"/>
    <col min="16152" max="16152" width="2" style="366" bestFit="1" customWidth="1"/>
    <col min="16153" max="16153" width="5.42578125" style="366" bestFit="1" customWidth="1"/>
    <col min="16154" max="16154" width="6.140625" style="366" bestFit="1" customWidth="1"/>
    <col min="16155" max="16156" width="6.28515625" style="366" bestFit="1" customWidth="1"/>
    <col min="16157" max="16157" width="7" style="366" bestFit="1" customWidth="1"/>
    <col min="16158" max="16158" width="9.7109375" style="366" bestFit="1" customWidth="1"/>
    <col min="16159" max="16160" width="5.28515625" style="366" bestFit="1" customWidth="1"/>
    <col min="16161" max="16162" width="6.140625" style="366" bestFit="1" customWidth="1"/>
    <col min="16163" max="16163" width="5.42578125" style="366" bestFit="1" customWidth="1"/>
    <col min="16164" max="16164" width="6.140625" style="366" bestFit="1" customWidth="1"/>
    <col min="16165" max="16165" width="6.28515625" style="366" bestFit="1" customWidth="1"/>
    <col min="16166" max="16166" width="6.140625" style="366" customWidth="1"/>
    <col min="16167" max="16168" width="5.28515625" style="366" bestFit="1" customWidth="1"/>
    <col min="16169" max="16169" width="9.7109375" style="366" bestFit="1" customWidth="1"/>
    <col min="16170" max="16170" width="8.7109375" style="366" bestFit="1" customWidth="1"/>
    <col min="16171" max="16171" width="10.7109375" style="366" bestFit="1" customWidth="1"/>
    <col min="16172" max="16172" width="12.42578125" style="366" bestFit="1" customWidth="1"/>
    <col min="16173" max="16173" width="8.42578125" style="366" bestFit="1" customWidth="1"/>
    <col min="16174" max="16174" width="9.42578125" style="366" customWidth="1"/>
    <col min="16175" max="16384" width="9.140625" style="366"/>
  </cols>
  <sheetData>
    <row r="1" spans="1:52" x14ac:dyDescent="0.2">
      <c r="B1" s="367" t="s">
        <v>0</v>
      </c>
      <c r="C1" s="367"/>
    </row>
    <row r="3" spans="1:52" x14ac:dyDescent="0.2">
      <c r="B3" s="367" t="s">
        <v>1</v>
      </c>
      <c r="C3" s="367"/>
    </row>
    <row r="4" spans="1:52" x14ac:dyDescent="0.2">
      <c r="B4" s="367" t="s">
        <v>238</v>
      </c>
      <c r="C4" s="367"/>
    </row>
    <row r="5" spans="1:52" x14ac:dyDescent="0.2">
      <c r="B5" s="367" t="s">
        <v>237</v>
      </c>
    </row>
    <row r="6" spans="1:52" x14ac:dyDescent="0.2">
      <c r="B6" s="367" t="s">
        <v>3</v>
      </c>
      <c r="C6" s="367"/>
    </row>
    <row r="7" spans="1:52" x14ac:dyDescent="0.2">
      <c r="B7" s="367"/>
      <c r="C7" s="367"/>
    </row>
    <row r="8" spans="1:52" x14ac:dyDescent="0.2">
      <c r="A8" s="370" t="s">
        <v>186</v>
      </c>
      <c r="B8" s="367" t="s">
        <v>0</v>
      </c>
      <c r="C8" s="367"/>
    </row>
    <row r="9" spans="1:52" x14ac:dyDescent="0.2">
      <c r="A9" s="371"/>
      <c r="B9" s="367"/>
      <c r="C9" s="367"/>
      <c r="AG9" s="372"/>
    </row>
    <row r="10" spans="1:52" s="375" customFormat="1" ht="25.5" x14ac:dyDescent="0.25">
      <c r="A10" s="541" t="s">
        <v>4</v>
      </c>
      <c r="B10" s="542" t="s">
        <v>5</v>
      </c>
      <c r="C10" s="543" t="s">
        <v>6</v>
      </c>
      <c r="D10" s="544"/>
      <c r="E10" s="547" t="s">
        <v>310</v>
      </c>
      <c r="F10" s="542" t="s">
        <v>7</v>
      </c>
      <c r="G10" s="567" t="s">
        <v>187</v>
      </c>
      <c r="H10" s="568"/>
      <c r="I10" s="568"/>
      <c r="J10" s="568"/>
      <c r="K10" s="568"/>
      <c r="L10" s="568"/>
      <c r="M10" s="568"/>
      <c r="N10" s="569"/>
      <c r="O10" s="554" t="s">
        <v>188</v>
      </c>
      <c r="P10" s="555"/>
      <c r="Q10" s="555"/>
      <c r="R10" s="555"/>
      <c r="S10" s="555"/>
      <c r="T10" s="555"/>
      <c r="U10" s="555"/>
      <c r="V10" s="555"/>
      <c r="W10" s="555"/>
      <c r="X10" s="556"/>
      <c r="Y10" s="557" t="s">
        <v>189</v>
      </c>
      <c r="Z10" s="558"/>
      <c r="AA10" s="558"/>
      <c r="AB10" s="558"/>
      <c r="AC10" s="558"/>
      <c r="AD10" s="558"/>
      <c r="AE10" s="558"/>
      <c r="AF10" s="559"/>
      <c r="AG10" s="560" t="s">
        <v>190</v>
      </c>
      <c r="AH10" s="561"/>
      <c r="AI10" s="561"/>
      <c r="AJ10" s="561"/>
      <c r="AK10" s="561"/>
      <c r="AL10" s="561"/>
      <c r="AM10" s="561"/>
      <c r="AN10" s="562"/>
      <c r="AO10" s="373" t="s">
        <v>191</v>
      </c>
      <c r="AP10" s="374" t="s">
        <v>192</v>
      </c>
      <c r="AQ10" s="373" t="s">
        <v>193</v>
      </c>
      <c r="AR10" s="373" t="s">
        <v>194</v>
      </c>
      <c r="AS10" s="373" t="s">
        <v>62</v>
      </c>
      <c r="AT10" s="542" t="s">
        <v>20</v>
      </c>
      <c r="AW10" s="376"/>
      <c r="AX10" s="376"/>
      <c r="AY10" s="376"/>
      <c r="AZ10" s="376"/>
    </row>
    <row r="11" spans="1:52" s="386" customFormat="1" ht="38.25" x14ac:dyDescent="0.25">
      <c r="A11" s="541"/>
      <c r="B11" s="542"/>
      <c r="C11" s="545"/>
      <c r="D11" s="546"/>
      <c r="E11" s="548"/>
      <c r="F11" s="542"/>
      <c r="G11" s="377" t="s">
        <v>8</v>
      </c>
      <c r="H11" s="377" t="s">
        <v>9</v>
      </c>
      <c r="I11" s="377" t="s">
        <v>10</v>
      </c>
      <c r="J11" s="377" t="s">
        <v>11</v>
      </c>
      <c r="K11" s="377" t="s">
        <v>12</v>
      </c>
      <c r="L11" s="377" t="s">
        <v>13</v>
      </c>
      <c r="M11" s="377" t="s">
        <v>361</v>
      </c>
      <c r="N11" s="377" t="s">
        <v>200</v>
      </c>
      <c r="O11" s="378" t="s">
        <v>8</v>
      </c>
      <c r="P11" s="378" t="s">
        <v>9</v>
      </c>
      <c r="Q11" s="378" t="s">
        <v>10</v>
      </c>
      <c r="R11" s="378" t="s">
        <v>11</v>
      </c>
      <c r="S11" s="378" t="s">
        <v>12</v>
      </c>
      <c r="T11" s="378" t="s">
        <v>13</v>
      </c>
      <c r="U11" s="378" t="s">
        <v>199</v>
      </c>
      <c r="V11" s="563" t="s">
        <v>200</v>
      </c>
      <c r="W11" s="564"/>
      <c r="X11" s="565"/>
      <c r="Y11" s="379" t="s">
        <v>8</v>
      </c>
      <c r="Z11" s="379" t="s">
        <v>9</v>
      </c>
      <c r="AA11" s="379" t="s">
        <v>10</v>
      </c>
      <c r="AB11" s="380" t="s">
        <v>11</v>
      </c>
      <c r="AC11" s="381" t="s">
        <v>12</v>
      </c>
      <c r="AD11" s="379" t="s">
        <v>13</v>
      </c>
      <c r="AE11" s="379" t="s">
        <v>199</v>
      </c>
      <c r="AF11" s="379" t="s">
        <v>200</v>
      </c>
      <c r="AG11" s="382" t="s">
        <v>8</v>
      </c>
      <c r="AH11" s="382" t="s">
        <v>9</v>
      </c>
      <c r="AI11" s="382" t="s">
        <v>10</v>
      </c>
      <c r="AJ11" s="383" t="s">
        <v>11</v>
      </c>
      <c r="AK11" s="384" t="s">
        <v>12</v>
      </c>
      <c r="AL11" s="382" t="s">
        <v>13</v>
      </c>
      <c r="AM11" s="382" t="s">
        <v>199</v>
      </c>
      <c r="AN11" s="382" t="s">
        <v>200</v>
      </c>
      <c r="AO11" s="385" t="s">
        <v>15</v>
      </c>
      <c r="AP11" s="385" t="s">
        <v>16</v>
      </c>
      <c r="AQ11" s="385" t="s">
        <v>17</v>
      </c>
      <c r="AR11" s="385" t="s">
        <v>18</v>
      </c>
      <c r="AS11" s="385" t="s">
        <v>19</v>
      </c>
      <c r="AT11" s="542"/>
      <c r="AW11" s="566" t="s">
        <v>195</v>
      </c>
      <c r="AX11" s="549" t="s">
        <v>196</v>
      </c>
      <c r="AY11" s="550" t="s">
        <v>197</v>
      </c>
      <c r="AZ11" s="551" t="s">
        <v>198</v>
      </c>
    </row>
    <row r="12" spans="1:52" x14ac:dyDescent="0.2">
      <c r="A12" s="387" t="s">
        <v>183</v>
      </c>
      <c r="B12" s="388"/>
      <c r="C12" s="389" t="s">
        <v>294</v>
      </c>
      <c r="D12" s="390" t="s">
        <v>295</v>
      </c>
      <c r="E12" s="390"/>
      <c r="F12" s="391"/>
      <c r="G12" s="392"/>
      <c r="H12" s="392"/>
      <c r="I12" s="392"/>
      <c r="J12" s="392"/>
      <c r="K12" s="392"/>
      <c r="L12" s="393"/>
      <c r="M12" s="393"/>
      <c r="N12" s="393"/>
      <c r="O12" s="378"/>
      <c r="P12" s="378"/>
      <c r="Q12" s="378"/>
      <c r="R12" s="378"/>
      <c r="S12" s="378"/>
      <c r="T12" s="378"/>
      <c r="U12" s="378"/>
      <c r="V12" s="378"/>
      <c r="W12" s="378"/>
      <c r="X12" s="378"/>
      <c r="Y12" s="379"/>
      <c r="Z12" s="379"/>
      <c r="AA12" s="379"/>
      <c r="AB12" s="379"/>
      <c r="AC12" s="381"/>
      <c r="AD12" s="379"/>
      <c r="AE12" s="379"/>
      <c r="AF12" s="379"/>
      <c r="AG12" s="382"/>
      <c r="AH12" s="382"/>
      <c r="AI12" s="382"/>
      <c r="AJ12" s="382"/>
      <c r="AK12" s="382"/>
      <c r="AL12" s="382"/>
      <c r="AM12" s="382"/>
      <c r="AN12" s="382"/>
      <c r="AO12" s="394"/>
      <c r="AP12" s="395"/>
      <c r="AQ12" s="396"/>
      <c r="AR12" s="396"/>
      <c r="AS12" s="397"/>
      <c r="AT12" s="398"/>
      <c r="AW12" s="566"/>
      <c r="AX12" s="549"/>
      <c r="AY12" s="550"/>
      <c r="AZ12" s="551"/>
    </row>
    <row r="13" spans="1:52" ht="15" x14ac:dyDescent="0.2">
      <c r="A13" s="399">
        <v>1</v>
      </c>
      <c r="B13" s="400" t="s">
        <v>21</v>
      </c>
      <c r="C13" s="388" t="s">
        <v>311</v>
      </c>
      <c r="D13" s="388" t="s">
        <v>312</v>
      </c>
      <c r="E13" s="401" t="s">
        <v>313</v>
      </c>
      <c r="F13" s="402">
        <v>44272</v>
      </c>
      <c r="G13" s="403">
        <v>30.6</v>
      </c>
      <c r="H13" s="403">
        <v>3.28</v>
      </c>
      <c r="I13" s="359">
        <v>9.1</v>
      </c>
      <c r="J13" s="359">
        <v>30.1</v>
      </c>
      <c r="K13" s="403">
        <v>0.11</v>
      </c>
      <c r="L13" s="361">
        <v>10000</v>
      </c>
      <c r="M13" s="403">
        <v>3.28</v>
      </c>
      <c r="N13" s="403">
        <v>7.74</v>
      </c>
      <c r="O13" s="378">
        <v>50</v>
      </c>
      <c r="P13" s="378">
        <v>4</v>
      </c>
      <c r="Q13" s="378">
        <v>3</v>
      </c>
      <c r="R13" s="378">
        <v>25</v>
      </c>
      <c r="S13" s="378">
        <v>0.2</v>
      </c>
      <c r="T13" s="378">
        <v>1000</v>
      </c>
      <c r="U13" s="378">
        <v>10</v>
      </c>
      <c r="V13" s="378">
        <v>6</v>
      </c>
      <c r="W13" s="378" t="s">
        <v>201</v>
      </c>
      <c r="X13" s="378">
        <v>9</v>
      </c>
      <c r="Y13" s="379">
        <f t="shared" ref="Y13:Y27" si="0">G13/O13</f>
        <v>0.61199999999999999</v>
      </c>
      <c r="Z13" s="379">
        <f>((7-H13)/(7-P13))/P13</f>
        <v>0.31</v>
      </c>
      <c r="AA13" s="379">
        <f>I13/Q13</f>
        <v>3.0333333333333332</v>
      </c>
      <c r="AB13" s="379">
        <f>J13/R13</f>
        <v>1.204</v>
      </c>
      <c r="AC13" s="379">
        <f>K13/S13</f>
        <v>0.54999999999999993</v>
      </c>
      <c r="AD13" s="379">
        <f>L13/T13</f>
        <v>10</v>
      </c>
      <c r="AE13" s="379">
        <f>M13/U13</f>
        <v>0.32799999999999996</v>
      </c>
      <c r="AF13" s="379">
        <f>(N13-(AVERAGE(V13,X13)))/((IF(N13&lt;7.5,V13,X13)-N13))</f>
        <v>0.19047619047619069</v>
      </c>
      <c r="AG13" s="382">
        <f>IF(Y13&lt;1,Y13,(1+(5*(LOG10(Y13)))))</f>
        <v>0.61199999999999999</v>
      </c>
      <c r="AH13" s="382">
        <f t="shared" ref="AH13:AN27" si="1">IF(Z13&lt;1,Z13,(1+(5*(LOG10(Z13)))))</f>
        <v>0.31</v>
      </c>
      <c r="AI13" s="382">
        <f t="shared" si="1"/>
        <v>3.4096006880071559</v>
      </c>
      <c r="AJ13" s="382">
        <f t="shared" si="1"/>
        <v>1.4031324346090286</v>
      </c>
      <c r="AK13" s="382">
        <f t="shared" si="1"/>
        <v>0.54999999999999993</v>
      </c>
      <c r="AL13" s="382">
        <f t="shared" si="1"/>
        <v>6</v>
      </c>
      <c r="AM13" s="382">
        <f t="shared" si="1"/>
        <v>0.32799999999999996</v>
      </c>
      <c r="AN13" s="382">
        <f>IF(AF13&lt;1,AF13,(1+(5*(LOG10(AF13)))))</f>
        <v>0.19047619047619069</v>
      </c>
      <c r="AO13" s="394">
        <f>AVERAGE(AG13:AN13)</f>
        <v>1.6004011641365468</v>
      </c>
      <c r="AP13" s="395">
        <f>MAX(AG13:AN13)</f>
        <v>6</v>
      </c>
      <c r="AQ13" s="396">
        <f>POWER(AO13,2)</f>
        <v>2.5612838861696141</v>
      </c>
      <c r="AR13" s="396">
        <f>POWER(AP13,2)</f>
        <v>36</v>
      </c>
      <c r="AS13" s="397">
        <f>SQRT((AQ13+AR13)/2)</f>
        <v>4.3909727786772725</v>
      </c>
      <c r="AT13" s="404" t="str">
        <f>IF(ISNUMBER(AS13),IF(AS13&lt;=1,"memenuhi",IF(AS13&lt;=5,"ringan",IF(AS13&lt;=10,"sedang","berat"))),"")</f>
        <v>ringan</v>
      </c>
      <c r="AV13" s="405"/>
      <c r="AW13" s="406"/>
      <c r="AX13" s="407"/>
      <c r="AY13" s="408">
        <v>1</v>
      </c>
      <c r="AZ13" s="409"/>
    </row>
    <row r="14" spans="1:52" ht="15" x14ac:dyDescent="0.2">
      <c r="A14" s="399">
        <v>2</v>
      </c>
      <c r="B14" s="400" t="s">
        <v>61</v>
      </c>
      <c r="C14" s="388" t="s">
        <v>314</v>
      </c>
      <c r="D14" s="388" t="s">
        <v>315</v>
      </c>
      <c r="E14" s="401" t="s">
        <v>316</v>
      </c>
      <c r="F14" s="402">
        <v>44273</v>
      </c>
      <c r="G14" s="403">
        <v>37</v>
      </c>
      <c r="H14" s="403">
        <v>3.8</v>
      </c>
      <c r="I14" s="359">
        <v>10.199999999999999</v>
      </c>
      <c r="J14" s="359">
        <v>43.9</v>
      </c>
      <c r="K14" s="359">
        <v>0.36599999999999999</v>
      </c>
      <c r="L14" s="361">
        <v>504000</v>
      </c>
      <c r="M14" s="403">
        <v>3.89</v>
      </c>
      <c r="N14" s="403">
        <v>7.63</v>
      </c>
      <c r="O14" s="378">
        <v>50</v>
      </c>
      <c r="P14" s="378">
        <v>4</v>
      </c>
      <c r="Q14" s="378">
        <v>3</v>
      </c>
      <c r="R14" s="378">
        <v>25</v>
      </c>
      <c r="S14" s="378">
        <v>0.2</v>
      </c>
      <c r="T14" s="378">
        <v>1000</v>
      </c>
      <c r="U14" s="378">
        <v>10</v>
      </c>
      <c r="V14" s="378">
        <v>6</v>
      </c>
      <c r="W14" s="378" t="s">
        <v>201</v>
      </c>
      <c r="X14" s="378">
        <v>9</v>
      </c>
      <c r="Y14" s="379">
        <f t="shared" si="0"/>
        <v>0.74</v>
      </c>
      <c r="Z14" s="379">
        <f t="shared" ref="Z14:Z27" si="2">((7-H14)/(7-P14))/P14</f>
        <v>0.26666666666666666</v>
      </c>
      <c r="AA14" s="379">
        <f t="shared" ref="AA14:AE29" si="3">I14/Q14</f>
        <v>3.4</v>
      </c>
      <c r="AB14" s="379">
        <f t="shared" si="3"/>
        <v>1.756</v>
      </c>
      <c r="AC14" s="379">
        <f t="shared" si="3"/>
        <v>1.8299999999999998</v>
      </c>
      <c r="AD14" s="379">
        <f t="shared" si="3"/>
        <v>504</v>
      </c>
      <c r="AE14" s="379">
        <f t="shared" si="3"/>
        <v>0.38900000000000001</v>
      </c>
      <c r="AF14" s="379">
        <f t="shared" ref="AF14:AF27" si="4">(N14-(AVERAGE(V14,X14)))/((IF(N14&lt;7.5,V14,X14)-N14))</f>
        <v>9.4890510948905021E-2</v>
      </c>
      <c r="AG14" s="382">
        <f t="shared" ref="AG14:AG27" si="5">IF(Y14&lt;1,Y14,(1+(5*(LOG10(Y14)))))</f>
        <v>0.74</v>
      </c>
      <c r="AH14" s="382">
        <f t="shared" si="1"/>
        <v>0.26666666666666666</v>
      </c>
      <c r="AI14" s="382">
        <f t="shared" si="1"/>
        <v>3.6573945852112759</v>
      </c>
      <c r="AJ14" s="382">
        <f t="shared" si="1"/>
        <v>2.2226225578504186</v>
      </c>
      <c r="AK14" s="382">
        <f t="shared" si="1"/>
        <v>2.3122554486521469</v>
      </c>
      <c r="AL14" s="382">
        <f t="shared" si="1"/>
        <v>14.512152682227628</v>
      </c>
      <c r="AM14" s="382">
        <f t="shared" si="1"/>
        <v>0.38900000000000001</v>
      </c>
      <c r="AN14" s="382">
        <f t="shared" si="1"/>
        <v>9.4890510948905021E-2</v>
      </c>
      <c r="AO14" s="394">
        <f t="shared" ref="AO14:AO59" si="6">AVERAGE(AG14:AN14)</f>
        <v>3.0243728064446298</v>
      </c>
      <c r="AP14" s="395">
        <f t="shared" ref="AP14:AP59" si="7">MAX(AG14:AN14)</f>
        <v>14.512152682227628</v>
      </c>
      <c r="AQ14" s="396">
        <f t="shared" ref="AQ14:AR46" si="8">POWER(AO14,2)</f>
        <v>9.1468308723617664</v>
      </c>
      <c r="AR14" s="396">
        <f t="shared" si="8"/>
        <v>210.60257547228653</v>
      </c>
      <c r="AS14" s="397">
        <f t="shared" ref="AS14:AS59" si="9">SQRT((AQ14+AR14)/2)</f>
        <v>10.4821134878575</v>
      </c>
      <c r="AT14" s="410" t="str">
        <f t="shared" ref="AT14:AT59" si="10">IF(ISNUMBER(AS14),IF(AS14&lt;=1,"memenuhi",IF(AS14&lt;=5,"ringan",IF(AS14&lt;=10,"sedang","berat"))),"")</f>
        <v>berat</v>
      </c>
      <c r="AV14" s="405"/>
      <c r="AW14" s="406">
        <v>1</v>
      </c>
      <c r="AX14" s="407"/>
      <c r="AY14" s="408"/>
      <c r="AZ14" s="409"/>
    </row>
    <row r="15" spans="1:52" ht="15" x14ac:dyDescent="0.2">
      <c r="A15" s="399">
        <v>3</v>
      </c>
      <c r="B15" s="400" t="s">
        <v>60</v>
      </c>
      <c r="C15" s="388" t="s">
        <v>317</v>
      </c>
      <c r="D15" s="388" t="s">
        <v>318</v>
      </c>
      <c r="E15" s="401" t="s">
        <v>319</v>
      </c>
      <c r="F15" s="402">
        <v>44273</v>
      </c>
      <c r="G15" s="359">
        <v>64.2</v>
      </c>
      <c r="H15" s="403">
        <v>3.24</v>
      </c>
      <c r="I15" s="359">
        <v>13.2</v>
      </c>
      <c r="J15" s="359">
        <v>61</v>
      </c>
      <c r="K15" s="359">
        <v>0.38400000000000001</v>
      </c>
      <c r="L15" s="361">
        <v>355000</v>
      </c>
      <c r="M15" s="403">
        <v>8.1999999999999993</v>
      </c>
      <c r="N15" s="403">
        <v>7.53</v>
      </c>
      <c r="O15" s="378">
        <v>50</v>
      </c>
      <c r="P15" s="378">
        <v>4</v>
      </c>
      <c r="Q15" s="378">
        <v>3</v>
      </c>
      <c r="R15" s="378">
        <v>25</v>
      </c>
      <c r="S15" s="378">
        <v>0.2</v>
      </c>
      <c r="T15" s="378">
        <v>1000</v>
      </c>
      <c r="U15" s="378">
        <v>10</v>
      </c>
      <c r="V15" s="378">
        <v>6</v>
      </c>
      <c r="W15" s="378" t="s">
        <v>201</v>
      </c>
      <c r="X15" s="378">
        <v>9</v>
      </c>
      <c r="Y15" s="379">
        <f t="shared" si="0"/>
        <v>1.284</v>
      </c>
      <c r="Z15" s="379">
        <f t="shared" si="2"/>
        <v>0.3133333333333333</v>
      </c>
      <c r="AA15" s="379">
        <f t="shared" si="3"/>
        <v>4.3999999999999995</v>
      </c>
      <c r="AB15" s="379">
        <f t="shared" si="3"/>
        <v>2.44</v>
      </c>
      <c r="AC15" s="379">
        <f t="shared" si="3"/>
        <v>1.92</v>
      </c>
      <c r="AD15" s="379">
        <f t="shared" si="3"/>
        <v>355</v>
      </c>
      <c r="AE15" s="379">
        <f t="shared" si="3"/>
        <v>0.82</v>
      </c>
      <c r="AF15" s="379">
        <f t="shared" si="4"/>
        <v>2.0408163265306294E-2</v>
      </c>
      <c r="AG15" s="382">
        <f t="shared" si="5"/>
        <v>1.5428251186641724</v>
      </c>
      <c r="AH15" s="382">
        <f t="shared" si="1"/>
        <v>0.3133333333333333</v>
      </c>
      <c r="AI15" s="382">
        <f t="shared" si="1"/>
        <v>4.2172633824309376</v>
      </c>
      <c r="AJ15" s="382">
        <f t="shared" si="1"/>
        <v>2.9369491316936474</v>
      </c>
      <c r="AK15" s="382">
        <f t="shared" si="1"/>
        <v>2.416506143517748</v>
      </c>
      <c r="AL15" s="382">
        <f t="shared" si="1"/>
        <v>13.75114176527547</v>
      </c>
      <c r="AM15" s="382">
        <f t="shared" si="1"/>
        <v>0.82</v>
      </c>
      <c r="AN15" s="382">
        <f t="shared" si="1"/>
        <v>2.0408163265306294E-2</v>
      </c>
      <c r="AO15" s="394">
        <f t="shared" si="6"/>
        <v>3.2523033797725769</v>
      </c>
      <c r="AP15" s="395">
        <f t="shared" si="7"/>
        <v>13.75114176527547</v>
      </c>
      <c r="AQ15" s="396">
        <f t="shared" si="8"/>
        <v>10.577477274080126</v>
      </c>
      <c r="AR15" s="396">
        <f t="shared" si="8"/>
        <v>189.09389984870339</v>
      </c>
      <c r="AS15" s="397">
        <f t="shared" si="9"/>
        <v>9.9917810505130547</v>
      </c>
      <c r="AT15" s="411" t="str">
        <f t="shared" si="10"/>
        <v>sedang</v>
      </c>
      <c r="AV15" s="405"/>
      <c r="AW15" s="406"/>
      <c r="AX15" s="407">
        <v>1</v>
      </c>
      <c r="AY15" s="408"/>
      <c r="AZ15" s="409"/>
    </row>
    <row r="16" spans="1:52" ht="15" x14ac:dyDescent="0.2">
      <c r="A16" s="399">
        <v>4</v>
      </c>
      <c r="B16" s="400" t="s">
        <v>320</v>
      </c>
      <c r="C16" s="348" t="s">
        <v>321</v>
      </c>
      <c r="D16" s="348" t="s">
        <v>322</v>
      </c>
      <c r="E16" s="401" t="s">
        <v>323</v>
      </c>
      <c r="F16" s="402">
        <v>44272</v>
      </c>
      <c r="G16" s="412">
        <v>14.7</v>
      </c>
      <c r="H16" s="412">
        <v>3.37</v>
      </c>
      <c r="I16" s="360">
        <v>14.2</v>
      </c>
      <c r="J16" s="360">
        <v>42</v>
      </c>
      <c r="K16" s="360">
        <v>0.47799999999999998</v>
      </c>
      <c r="L16" s="362">
        <v>85000</v>
      </c>
      <c r="M16" s="412">
        <v>2.0699999999999998</v>
      </c>
      <c r="N16" s="412">
        <v>7.52</v>
      </c>
      <c r="O16" s="378">
        <v>50</v>
      </c>
      <c r="P16" s="378">
        <v>4</v>
      </c>
      <c r="Q16" s="378">
        <v>3</v>
      </c>
      <c r="R16" s="378">
        <v>25</v>
      </c>
      <c r="S16" s="378">
        <v>0.2</v>
      </c>
      <c r="T16" s="378">
        <v>1000</v>
      </c>
      <c r="U16" s="378">
        <v>10</v>
      </c>
      <c r="V16" s="378">
        <v>6</v>
      </c>
      <c r="W16" s="378" t="s">
        <v>201</v>
      </c>
      <c r="X16" s="378">
        <v>9</v>
      </c>
      <c r="Y16" s="379">
        <f t="shared" si="0"/>
        <v>0.29399999999999998</v>
      </c>
      <c r="Z16" s="379">
        <f t="shared" si="2"/>
        <v>0.30249999999999999</v>
      </c>
      <c r="AA16" s="379">
        <f t="shared" si="3"/>
        <v>4.7333333333333334</v>
      </c>
      <c r="AB16" s="379">
        <f t="shared" si="3"/>
        <v>1.68</v>
      </c>
      <c r="AC16" s="379">
        <f t="shared" si="3"/>
        <v>2.3899999999999997</v>
      </c>
      <c r="AD16" s="379">
        <f t="shared" si="3"/>
        <v>85</v>
      </c>
      <c r="AE16" s="379">
        <f t="shared" si="3"/>
        <v>0.20699999999999999</v>
      </c>
      <c r="AF16" s="379">
        <f t="shared" si="4"/>
        <v>1.3513513513513221E-2</v>
      </c>
      <c r="AG16" s="382">
        <f t="shared" si="5"/>
        <v>0.29399999999999998</v>
      </c>
      <c r="AH16" s="382">
        <f t="shared" si="1"/>
        <v>0.30249999999999999</v>
      </c>
      <c r="AI16" s="382">
        <f t="shared" si="1"/>
        <v>4.3758354483169697</v>
      </c>
      <c r="AJ16" s="382">
        <f t="shared" si="1"/>
        <v>2.1265464086293142</v>
      </c>
      <c r="AK16" s="382">
        <f t="shared" si="1"/>
        <v>2.8919895047406881</v>
      </c>
      <c r="AL16" s="382">
        <f t="shared" si="1"/>
        <v>10.647094628571462</v>
      </c>
      <c r="AM16" s="382">
        <f t="shared" si="1"/>
        <v>0.20699999999999999</v>
      </c>
      <c r="AN16" s="382">
        <f t="shared" si="1"/>
        <v>1.3513513513513221E-2</v>
      </c>
      <c r="AO16" s="394">
        <f t="shared" si="6"/>
        <v>2.6073099379714932</v>
      </c>
      <c r="AP16" s="395">
        <f t="shared" si="7"/>
        <v>10.647094628571462</v>
      </c>
      <c r="AQ16" s="396">
        <f t="shared" si="8"/>
        <v>6.7980651126449123</v>
      </c>
      <c r="AR16" s="396">
        <f t="shared" si="8"/>
        <v>113.36062402975529</v>
      </c>
      <c r="AS16" s="397">
        <f t="shared" si="9"/>
        <v>7.7510866703450105</v>
      </c>
      <c r="AT16" s="411" t="str">
        <f t="shared" si="10"/>
        <v>sedang</v>
      </c>
      <c r="AV16" s="405"/>
      <c r="AW16" s="406"/>
      <c r="AX16" s="407">
        <v>1</v>
      </c>
      <c r="AY16" s="408"/>
      <c r="AZ16" s="409"/>
    </row>
    <row r="17" spans="1:52" ht="15" x14ac:dyDescent="0.2">
      <c r="A17" s="399">
        <v>5</v>
      </c>
      <c r="B17" s="400" t="s">
        <v>324</v>
      </c>
      <c r="C17" s="348" t="s">
        <v>325</v>
      </c>
      <c r="D17" s="348" t="s">
        <v>326</v>
      </c>
      <c r="E17" s="401" t="s">
        <v>327</v>
      </c>
      <c r="F17" s="402">
        <v>44272</v>
      </c>
      <c r="G17" s="412">
        <v>43.5</v>
      </c>
      <c r="H17" s="412">
        <v>3.14</v>
      </c>
      <c r="I17" s="360">
        <v>10.199999999999999</v>
      </c>
      <c r="J17" s="360">
        <v>40.1</v>
      </c>
      <c r="K17" s="360">
        <v>0.45200000000000001</v>
      </c>
      <c r="L17" s="362">
        <v>886000</v>
      </c>
      <c r="M17" s="412">
        <v>5.22</v>
      </c>
      <c r="N17" s="412">
        <v>7.75</v>
      </c>
      <c r="O17" s="378">
        <v>50</v>
      </c>
      <c r="P17" s="378">
        <v>4</v>
      </c>
      <c r="Q17" s="378">
        <v>3</v>
      </c>
      <c r="R17" s="378">
        <v>25</v>
      </c>
      <c r="S17" s="378">
        <v>0.2</v>
      </c>
      <c r="T17" s="378">
        <v>1000</v>
      </c>
      <c r="U17" s="378">
        <v>10</v>
      </c>
      <c r="V17" s="378">
        <v>6</v>
      </c>
      <c r="W17" s="378" t="s">
        <v>201</v>
      </c>
      <c r="X17" s="378">
        <v>9</v>
      </c>
      <c r="Y17" s="379">
        <f t="shared" si="0"/>
        <v>0.87</v>
      </c>
      <c r="Z17" s="379">
        <f t="shared" si="2"/>
        <v>0.32166666666666666</v>
      </c>
      <c r="AA17" s="379">
        <f t="shared" si="3"/>
        <v>3.4</v>
      </c>
      <c r="AB17" s="379">
        <f t="shared" si="3"/>
        <v>1.6040000000000001</v>
      </c>
      <c r="AC17" s="379">
        <f t="shared" si="3"/>
        <v>2.2599999999999998</v>
      </c>
      <c r="AD17" s="379">
        <f t="shared" si="3"/>
        <v>886</v>
      </c>
      <c r="AE17" s="379">
        <f t="shared" si="3"/>
        <v>0.52200000000000002</v>
      </c>
      <c r="AF17" s="379">
        <f t="shared" si="4"/>
        <v>0.2</v>
      </c>
      <c r="AG17" s="382">
        <f t="shared" si="5"/>
        <v>0.87</v>
      </c>
      <c r="AH17" s="382">
        <f t="shared" si="1"/>
        <v>0.32166666666666666</v>
      </c>
      <c r="AI17" s="382">
        <f t="shared" si="1"/>
        <v>3.6573945852112759</v>
      </c>
      <c r="AJ17" s="382">
        <f t="shared" si="1"/>
        <v>2.0260218197407234</v>
      </c>
      <c r="AK17" s="382">
        <f t="shared" si="1"/>
        <v>2.7705421957370042</v>
      </c>
      <c r="AL17" s="382">
        <f t="shared" si="1"/>
        <v>15.737168609435255</v>
      </c>
      <c r="AM17" s="382">
        <f t="shared" si="1"/>
        <v>0.52200000000000002</v>
      </c>
      <c r="AN17" s="382">
        <f t="shared" si="1"/>
        <v>0.2</v>
      </c>
      <c r="AO17" s="394">
        <f t="shared" si="6"/>
        <v>3.2630992345988652</v>
      </c>
      <c r="AP17" s="395">
        <f t="shared" si="7"/>
        <v>15.737168609435255</v>
      </c>
      <c r="AQ17" s="396">
        <f t="shared" si="8"/>
        <v>10.6478166148397</v>
      </c>
      <c r="AR17" s="396">
        <f t="shared" si="8"/>
        <v>247.65847584179434</v>
      </c>
      <c r="AS17" s="397">
        <f t="shared" si="9"/>
        <v>11.364556578605125</v>
      </c>
      <c r="AT17" s="410" t="str">
        <f t="shared" si="10"/>
        <v>berat</v>
      </c>
      <c r="AV17" s="405"/>
      <c r="AW17" s="406">
        <v>1</v>
      </c>
      <c r="AX17" s="407"/>
      <c r="AY17" s="408"/>
      <c r="AZ17" s="409"/>
    </row>
    <row r="18" spans="1:52" ht="15" x14ac:dyDescent="0.2">
      <c r="A18" s="399">
        <v>6</v>
      </c>
      <c r="B18" s="400" t="s">
        <v>328</v>
      </c>
      <c r="C18" s="348" t="s">
        <v>329</v>
      </c>
      <c r="D18" s="348" t="s">
        <v>330</v>
      </c>
      <c r="E18" s="401" t="s">
        <v>331</v>
      </c>
      <c r="F18" s="402">
        <v>44272</v>
      </c>
      <c r="G18" s="412">
        <v>28.3</v>
      </c>
      <c r="H18" s="412">
        <v>2.81</v>
      </c>
      <c r="I18" s="360">
        <v>40.5</v>
      </c>
      <c r="J18" s="360">
        <v>141</v>
      </c>
      <c r="K18" s="360">
        <v>0.45700000000000002</v>
      </c>
      <c r="L18" s="362">
        <v>1169000</v>
      </c>
      <c r="M18" s="412">
        <v>3.94</v>
      </c>
      <c r="N18" s="412">
        <v>7.68</v>
      </c>
      <c r="O18" s="378">
        <v>50</v>
      </c>
      <c r="P18" s="378">
        <v>4</v>
      </c>
      <c r="Q18" s="378">
        <v>3</v>
      </c>
      <c r="R18" s="378">
        <v>25</v>
      </c>
      <c r="S18" s="378">
        <v>0.2</v>
      </c>
      <c r="T18" s="378">
        <v>1000</v>
      </c>
      <c r="U18" s="378">
        <v>10</v>
      </c>
      <c r="V18" s="378">
        <v>6</v>
      </c>
      <c r="W18" s="378" t="s">
        <v>201</v>
      </c>
      <c r="X18" s="378">
        <v>9</v>
      </c>
      <c r="Y18" s="379">
        <f t="shared" si="0"/>
        <v>0.56600000000000006</v>
      </c>
      <c r="Z18" s="379">
        <f t="shared" si="2"/>
        <v>0.34916666666666663</v>
      </c>
      <c r="AA18" s="379">
        <f t="shared" si="3"/>
        <v>13.5</v>
      </c>
      <c r="AB18" s="379">
        <f t="shared" si="3"/>
        <v>5.64</v>
      </c>
      <c r="AC18" s="379">
        <f t="shared" si="3"/>
        <v>2.2850000000000001</v>
      </c>
      <c r="AD18" s="379">
        <f t="shared" si="3"/>
        <v>1169</v>
      </c>
      <c r="AE18" s="379">
        <f t="shared" si="3"/>
        <v>0.39400000000000002</v>
      </c>
      <c r="AF18" s="379">
        <f t="shared" si="4"/>
        <v>0.13636363636363613</v>
      </c>
      <c r="AG18" s="382">
        <f t="shared" si="5"/>
        <v>0.56600000000000006</v>
      </c>
      <c r="AH18" s="382">
        <f t="shared" si="1"/>
        <v>0.34916666666666663</v>
      </c>
      <c r="AI18" s="382">
        <f t="shared" si="1"/>
        <v>6.651668842475031</v>
      </c>
      <c r="AJ18" s="382">
        <f t="shared" si="1"/>
        <v>4.7563955199167118</v>
      </c>
      <c r="AK18" s="382">
        <f t="shared" si="1"/>
        <v>2.7944310220293453</v>
      </c>
      <c r="AL18" s="382">
        <f t="shared" si="1"/>
        <v>16.339072555809203</v>
      </c>
      <c r="AM18" s="382">
        <f t="shared" si="1"/>
        <v>0.39400000000000002</v>
      </c>
      <c r="AN18" s="382">
        <f t="shared" si="1"/>
        <v>0.13636363636363613</v>
      </c>
      <c r="AO18" s="394">
        <f t="shared" si="6"/>
        <v>3.9983872804075742</v>
      </c>
      <c r="AP18" s="395">
        <f t="shared" si="7"/>
        <v>16.339072555809203</v>
      </c>
      <c r="AQ18" s="396">
        <f t="shared" si="8"/>
        <v>15.987100844125077</v>
      </c>
      <c r="AR18" s="396">
        <f t="shared" si="8"/>
        <v>266.96529198399747</v>
      </c>
      <c r="AS18" s="397">
        <f t="shared" si="9"/>
        <v>11.894376671942975</v>
      </c>
      <c r="AT18" s="410" t="str">
        <f t="shared" si="10"/>
        <v>berat</v>
      </c>
      <c r="AV18" s="405"/>
      <c r="AW18" s="406">
        <v>1</v>
      </c>
      <c r="AX18" s="407"/>
      <c r="AY18" s="408"/>
      <c r="AZ18" s="409"/>
    </row>
    <row r="19" spans="1:52" ht="15" x14ac:dyDescent="0.2">
      <c r="A19" s="399">
        <v>7</v>
      </c>
      <c r="B19" s="400" t="s">
        <v>30</v>
      </c>
      <c r="C19" s="348" t="s">
        <v>332</v>
      </c>
      <c r="D19" s="348" t="s">
        <v>333</v>
      </c>
      <c r="E19" s="401" t="s">
        <v>334</v>
      </c>
      <c r="F19" s="402">
        <v>44273</v>
      </c>
      <c r="G19" s="412">
        <v>33</v>
      </c>
      <c r="H19" s="412">
        <v>1.18</v>
      </c>
      <c r="I19" s="360">
        <v>253</v>
      </c>
      <c r="J19" s="360">
        <v>660</v>
      </c>
      <c r="K19" s="360">
        <v>0.53700000000000003</v>
      </c>
      <c r="L19" s="362">
        <v>1450000</v>
      </c>
      <c r="M19" s="412">
        <v>1.87</v>
      </c>
      <c r="N19" s="412">
        <v>7.45</v>
      </c>
      <c r="O19" s="378">
        <v>50</v>
      </c>
      <c r="P19" s="378">
        <v>4</v>
      </c>
      <c r="Q19" s="378">
        <v>3</v>
      </c>
      <c r="R19" s="378">
        <v>25</v>
      </c>
      <c r="S19" s="378">
        <v>0.2</v>
      </c>
      <c r="T19" s="378">
        <v>1000</v>
      </c>
      <c r="U19" s="378">
        <v>10</v>
      </c>
      <c r="V19" s="378">
        <v>6</v>
      </c>
      <c r="W19" s="378" t="s">
        <v>201</v>
      </c>
      <c r="X19" s="378">
        <v>9</v>
      </c>
      <c r="Y19" s="379">
        <f t="shared" si="0"/>
        <v>0.66</v>
      </c>
      <c r="Z19" s="379">
        <f t="shared" si="2"/>
        <v>0.48500000000000004</v>
      </c>
      <c r="AA19" s="379">
        <f t="shared" si="3"/>
        <v>84.333333333333329</v>
      </c>
      <c r="AB19" s="379">
        <f t="shared" si="3"/>
        <v>26.4</v>
      </c>
      <c r="AC19" s="379">
        <f t="shared" si="3"/>
        <v>2.6850000000000001</v>
      </c>
      <c r="AD19" s="379">
        <f t="shared" si="3"/>
        <v>1450</v>
      </c>
      <c r="AE19" s="379">
        <f t="shared" si="3"/>
        <v>0.187</v>
      </c>
      <c r="AF19" s="379">
        <f t="shared" si="4"/>
        <v>3.448275862068953E-2</v>
      </c>
      <c r="AG19" s="382">
        <f t="shared" si="5"/>
        <v>0.66</v>
      </c>
      <c r="AH19" s="382">
        <f t="shared" si="1"/>
        <v>0.48500000000000004</v>
      </c>
      <c r="AI19" s="382">
        <f t="shared" si="1"/>
        <v>10.629996332280777</v>
      </c>
      <c r="AJ19" s="382">
        <f t="shared" si="1"/>
        <v>8.1080196343491551</v>
      </c>
      <c r="AK19" s="382">
        <f t="shared" si="1"/>
        <v>3.1447214501778724</v>
      </c>
      <c r="AL19" s="382">
        <f t="shared" si="1"/>
        <v>16.806840011174874</v>
      </c>
      <c r="AM19" s="382">
        <f t="shared" si="1"/>
        <v>0.187</v>
      </c>
      <c r="AN19" s="382">
        <f t="shared" si="1"/>
        <v>3.448275862068953E-2</v>
      </c>
      <c r="AO19" s="394">
        <f t="shared" si="6"/>
        <v>5.007007523325421</v>
      </c>
      <c r="AP19" s="395">
        <f t="shared" si="7"/>
        <v>16.806840011174874</v>
      </c>
      <c r="AQ19" s="396">
        <f t="shared" si="8"/>
        <v>25.070124338637367</v>
      </c>
      <c r="AR19" s="396">
        <f t="shared" si="8"/>
        <v>282.46987116122864</v>
      </c>
      <c r="AS19" s="397">
        <f t="shared" si="9"/>
        <v>12.400403128525015</v>
      </c>
      <c r="AT19" s="410" t="str">
        <f t="shared" si="10"/>
        <v>berat</v>
      </c>
      <c r="AU19" s="369"/>
      <c r="AV19" s="413"/>
      <c r="AW19" s="406">
        <v>1</v>
      </c>
      <c r="AX19" s="407"/>
      <c r="AY19" s="408"/>
      <c r="AZ19" s="409"/>
    </row>
    <row r="20" spans="1:52" ht="15" x14ac:dyDescent="0.2">
      <c r="A20" s="399">
        <v>8</v>
      </c>
      <c r="B20" s="400" t="s">
        <v>31</v>
      </c>
      <c r="C20" s="348" t="s">
        <v>325</v>
      </c>
      <c r="D20" s="348" t="s">
        <v>335</v>
      </c>
      <c r="E20" s="401" t="s">
        <v>336</v>
      </c>
      <c r="F20" s="402">
        <v>44273</v>
      </c>
      <c r="G20" s="412">
        <v>30.5</v>
      </c>
      <c r="H20" s="412">
        <v>0.51</v>
      </c>
      <c r="I20" s="360">
        <v>38.4</v>
      </c>
      <c r="J20" s="360">
        <v>605</v>
      </c>
      <c r="K20" s="360">
        <v>0.66300000000000003</v>
      </c>
      <c r="L20" s="362">
        <v>5172000</v>
      </c>
      <c r="M20" s="412">
        <v>2.16</v>
      </c>
      <c r="N20" s="412">
        <v>7.3</v>
      </c>
      <c r="O20" s="378">
        <v>50</v>
      </c>
      <c r="P20" s="378">
        <v>4</v>
      </c>
      <c r="Q20" s="378">
        <v>3</v>
      </c>
      <c r="R20" s="378">
        <v>25</v>
      </c>
      <c r="S20" s="378">
        <v>0.2</v>
      </c>
      <c r="T20" s="378">
        <v>1000</v>
      </c>
      <c r="U20" s="378">
        <v>10</v>
      </c>
      <c r="V20" s="378">
        <v>6</v>
      </c>
      <c r="W20" s="378" t="s">
        <v>201</v>
      </c>
      <c r="X20" s="378">
        <v>9</v>
      </c>
      <c r="Y20" s="379">
        <f t="shared" si="0"/>
        <v>0.61</v>
      </c>
      <c r="Z20" s="379">
        <f t="shared" si="2"/>
        <v>0.54083333333333339</v>
      </c>
      <c r="AA20" s="379">
        <f t="shared" si="3"/>
        <v>12.799999999999999</v>
      </c>
      <c r="AB20" s="379">
        <f t="shared" si="3"/>
        <v>24.2</v>
      </c>
      <c r="AC20" s="379">
        <f t="shared" si="3"/>
        <v>3.3149999999999999</v>
      </c>
      <c r="AD20" s="379">
        <f t="shared" si="3"/>
        <v>5172</v>
      </c>
      <c r="AE20" s="379">
        <f t="shared" si="3"/>
        <v>0.21600000000000003</v>
      </c>
      <c r="AF20" s="379">
        <f t="shared" si="4"/>
        <v>0.15384615384615399</v>
      </c>
      <c r="AG20" s="382">
        <f t="shared" si="5"/>
        <v>0.61</v>
      </c>
      <c r="AH20" s="382">
        <f t="shared" si="1"/>
        <v>0.54083333333333339</v>
      </c>
      <c r="AI20" s="382">
        <f t="shared" si="1"/>
        <v>6.5360498482393421</v>
      </c>
      <c r="AJ20" s="382">
        <f t="shared" si="1"/>
        <v>7.9190768299021563</v>
      </c>
      <c r="AK20" s="382">
        <f t="shared" si="1"/>
        <v>3.6024176637039598</v>
      </c>
      <c r="AL20" s="382">
        <f t="shared" si="1"/>
        <v>19.568292581041781</v>
      </c>
      <c r="AM20" s="382">
        <f t="shared" si="1"/>
        <v>0.21600000000000003</v>
      </c>
      <c r="AN20" s="382">
        <f t="shared" si="1"/>
        <v>0.15384615384615399</v>
      </c>
      <c r="AO20" s="394">
        <f t="shared" si="6"/>
        <v>4.8933145512583405</v>
      </c>
      <c r="AP20" s="395">
        <f t="shared" si="7"/>
        <v>19.568292581041781</v>
      </c>
      <c r="AQ20" s="396">
        <f t="shared" si="8"/>
        <v>23.944527297556615</v>
      </c>
      <c r="AR20" s="396">
        <f t="shared" si="8"/>
        <v>382.91807453725482</v>
      </c>
      <c r="AS20" s="397">
        <f t="shared" si="9"/>
        <v>14.262934512834507</v>
      </c>
      <c r="AT20" s="410" t="str">
        <f t="shared" si="10"/>
        <v>berat</v>
      </c>
      <c r="AU20" s="369"/>
      <c r="AV20" s="413"/>
      <c r="AW20" s="406">
        <v>1</v>
      </c>
      <c r="AX20" s="407"/>
      <c r="AY20" s="408"/>
      <c r="AZ20" s="409"/>
    </row>
    <row r="21" spans="1:52" ht="15" x14ac:dyDescent="0.2">
      <c r="A21" s="399">
        <v>9</v>
      </c>
      <c r="B21" s="400" t="s">
        <v>32</v>
      </c>
      <c r="C21" s="348" t="s">
        <v>337</v>
      </c>
      <c r="D21" s="348" t="s">
        <v>338</v>
      </c>
      <c r="E21" s="401" t="s">
        <v>339</v>
      </c>
      <c r="F21" s="402">
        <v>44273</v>
      </c>
      <c r="G21" s="412">
        <v>35</v>
      </c>
      <c r="H21" s="412">
        <v>0.15</v>
      </c>
      <c r="I21" s="360">
        <v>50.6</v>
      </c>
      <c r="J21" s="360">
        <v>166</v>
      </c>
      <c r="K21" s="360">
        <v>0.378</v>
      </c>
      <c r="L21" s="362">
        <v>1607000</v>
      </c>
      <c r="M21" s="412">
        <v>3.63</v>
      </c>
      <c r="N21" s="412">
        <v>7.49</v>
      </c>
      <c r="O21" s="378">
        <v>50</v>
      </c>
      <c r="P21" s="378">
        <v>4</v>
      </c>
      <c r="Q21" s="378">
        <v>3</v>
      </c>
      <c r="R21" s="378">
        <v>25</v>
      </c>
      <c r="S21" s="378">
        <v>0.2</v>
      </c>
      <c r="T21" s="378">
        <v>1000</v>
      </c>
      <c r="U21" s="378">
        <v>10</v>
      </c>
      <c r="V21" s="378">
        <v>6</v>
      </c>
      <c r="W21" s="378" t="s">
        <v>201</v>
      </c>
      <c r="X21" s="378">
        <v>9</v>
      </c>
      <c r="Y21" s="379">
        <f t="shared" si="0"/>
        <v>0.7</v>
      </c>
      <c r="Z21" s="379">
        <f t="shared" si="2"/>
        <v>0.5708333333333333</v>
      </c>
      <c r="AA21" s="379">
        <f t="shared" si="3"/>
        <v>16.866666666666667</v>
      </c>
      <c r="AB21" s="379">
        <f t="shared" si="3"/>
        <v>6.64</v>
      </c>
      <c r="AC21" s="379">
        <f t="shared" si="3"/>
        <v>1.89</v>
      </c>
      <c r="AD21" s="379">
        <f t="shared" si="3"/>
        <v>1607</v>
      </c>
      <c r="AE21" s="379">
        <f t="shared" si="3"/>
        <v>0.36299999999999999</v>
      </c>
      <c r="AF21" s="379">
        <f t="shared" si="4"/>
        <v>6.7114093959730102E-3</v>
      </c>
      <c r="AG21" s="382">
        <f t="shared" si="5"/>
        <v>0.7</v>
      </c>
      <c r="AH21" s="382">
        <f t="shared" si="1"/>
        <v>0.5708333333333333</v>
      </c>
      <c r="AI21" s="382">
        <f t="shared" si="1"/>
        <v>7.1351463106006836</v>
      </c>
      <c r="AJ21" s="382">
        <f t="shared" si="1"/>
        <v>5.1108403968400875</v>
      </c>
      <c r="AK21" s="382">
        <f t="shared" si="1"/>
        <v>2.3823090208662205</v>
      </c>
      <c r="AL21" s="382">
        <f t="shared" si="1"/>
        <v>17.030079383816723</v>
      </c>
      <c r="AM21" s="382">
        <f t="shared" si="1"/>
        <v>0.36299999999999999</v>
      </c>
      <c r="AN21" s="382">
        <f t="shared" si="1"/>
        <v>6.7114093959730102E-3</v>
      </c>
      <c r="AO21" s="394">
        <f t="shared" si="6"/>
        <v>4.1623649818566282</v>
      </c>
      <c r="AP21" s="395">
        <f t="shared" si="7"/>
        <v>17.030079383816723</v>
      </c>
      <c r="AQ21" s="396">
        <f t="shared" si="8"/>
        <v>17.325282242186329</v>
      </c>
      <c r="AR21" s="396">
        <f t="shared" si="8"/>
        <v>290.02360381909938</v>
      </c>
      <c r="AS21" s="397">
        <f t="shared" si="9"/>
        <v>12.396549642164262</v>
      </c>
      <c r="AT21" s="410" t="str">
        <f t="shared" si="10"/>
        <v>berat</v>
      </c>
      <c r="AU21" s="369"/>
      <c r="AV21" s="413"/>
      <c r="AW21" s="406">
        <v>1</v>
      </c>
      <c r="AX21" s="407"/>
      <c r="AY21" s="408"/>
      <c r="AZ21" s="409"/>
    </row>
    <row r="22" spans="1:52" ht="15" x14ac:dyDescent="0.2">
      <c r="A22" s="399">
        <v>10</v>
      </c>
      <c r="B22" s="400" t="s">
        <v>33</v>
      </c>
      <c r="C22" s="348" t="s">
        <v>340</v>
      </c>
      <c r="D22" s="348" t="s">
        <v>341</v>
      </c>
      <c r="E22" s="401" t="s">
        <v>342</v>
      </c>
      <c r="F22" s="402">
        <v>44272</v>
      </c>
      <c r="G22" s="412">
        <v>31.1</v>
      </c>
      <c r="H22" s="412">
        <v>1.8</v>
      </c>
      <c r="I22" s="360">
        <v>116</v>
      </c>
      <c r="J22" s="360">
        <v>347</v>
      </c>
      <c r="K22" s="360">
        <v>0.51200000000000001</v>
      </c>
      <c r="L22" s="362">
        <v>862000</v>
      </c>
      <c r="M22" s="412">
        <v>1.77</v>
      </c>
      <c r="N22" s="412">
        <v>7.53</v>
      </c>
      <c r="O22" s="378">
        <v>50</v>
      </c>
      <c r="P22" s="378">
        <v>4</v>
      </c>
      <c r="Q22" s="378">
        <v>3</v>
      </c>
      <c r="R22" s="378">
        <v>25</v>
      </c>
      <c r="S22" s="378">
        <v>0.2</v>
      </c>
      <c r="T22" s="378">
        <v>1000</v>
      </c>
      <c r="U22" s="378">
        <v>10</v>
      </c>
      <c r="V22" s="378">
        <v>6</v>
      </c>
      <c r="W22" s="378" t="s">
        <v>201</v>
      </c>
      <c r="X22" s="378">
        <v>9</v>
      </c>
      <c r="Y22" s="379">
        <f t="shared" si="0"/>
        <v>0.622</v>
      </c>
      <c r="Z22" s="379">
        <f t="shared" si="2"/>
        <v>0.43333333333333335</v>
      </c>
      <c r="AA22" s="379">
        <f t="shared" si="3"/>
        <v>38.666666666666664</v>
      </c>
      <c r="AB22" s="379">
        <f t="shared" si="3"/>
        <v>13.88</v>
      </c>
      <c r="AC22" s="379">
        <f t="shared" si="3"/>
        <v>2.56</v>
      </c>
      <c r="AD22" s="379">
        <f t="shared" si="3"/>
        <v>862</v>
      </c>
      <c r="AE22" s="379">
        <f t="shared" si="3"/>
        <v>0.17699999999999999</v>
      </c>
      <c r="AF22" s="379">
        <f t="shared" si="4"/>
        <v>2.0408163265306294E-2</v>
      </c>
      <c r="AG22" s="382">
        <f t="shared" si="5"/>
        <v>0.622</v>
      </c>
      <c r="AH22" s="382">
        <f t="shared" si="1"/>
        <v>0.43333333333333335</v>
      </c>
      <c r="AI22" s="382">
        <f t="shared" si="1"/>
        <v>8.9366836725362795</v>
      </c>
      <c r="AJ22" s="382">
        <f t="shared" si="1"/>
        <v>6.7119473305941799</v>
      </c>
      <c r="AK22" s="382">
        <f t="shared" si="1"/>
        <v>3.0411998265592479</v>
      </c>
      <c r="AL22" s="382">
        <f t="shared" si="1"/>
        <v>15.677536329123564</v>
      </c>
      <c r="AM22" s="382">
        <f t="shared" si="1"/>
        <v>0.17699999999999999</v>
      </c>
      <c r="AN22" s="382">
        <f t="shared" si="1"/>
        <v>2.0408163265306294E-2</v>
      </c>
      <c r="AO22" s="394">
        <f t="shared" si="6"/>
        <v>4.4525135819264889</v>
      </c>
      <c r="AP22" s="395">
        <f t="shared" si="7"/>
        <v>15.677536329123564</v>
      </c>
      <c r="AQ22" s="396">
        <f t="shared" si="8"/>
        <v>19.824877197239854</v>
      </c>
      <c r="AR22" s="396">
        <f t="shared" si="8"/>
        <v>245.78514535098915</v>
      </c>
      <c r="AS22" s="397">
        <f t="shared" si="9"/>
        <v>11.524105660488996</v>
      </c>
      <c r="AT22" s="410" t="str">
        <f t="shared" si="10"/>
        <v>berat</v>
      </c>
      <c r="AU22" s="369"/>
      <c r="AV22" s="413"/>
      <c r="AW22" s="406">
        <v>1</v>
      </c>
      <c r="AX22" s="407"/>
      <c r="AY22" s="408"/>
      <c r="AZ22" s="409"/>
    </row>
    <row r="23" spans="1:52" ht="15" x14ac:dyDescent="0.2">
      <c r="A23" s="399">
        <v>11</v>
      </c>
      <c r="B23" s="400" t="s">
        <v>34</v>
      </c>
      <c r="C23" s="348" t="s">
        <v>343</v>
      </c>
      <c r="D23" s="348" t="s">
        <v>344</v>
      </c>
      <c r="E23" s="401" t="s">
        <v>345</v>
      </c>
      <c r="F23" s="402">
        <v>44272</v>
      </c>
      <c r="G23" s="412">
        <v>31.8</v>
      </c>
      <c r="H23" s="412">
        <v>1.46</v>
      </c>
      <c r="I23" s="360">
        <v>243</v>
      </c>
      <c r="J23" s="360">
        <v>641</v>
      </c>
      <c r="K23" s="360">
        <v>0.55800000000000005</v>
      </c>
      <c r="L23" s="362">
        <v>888000</v>
      </c>
      <c r="M23" s="412">
        <v>2.46</v>
      </c>
      <c r="N23" s="412">
        <v>7.6</v>
      </c>
      <c r="O23" s="378">
        <v>50</v>
      </c>
      <c r="P23" s="378">
        <v>4</v>
      </c>
      <c r="Q23" s="378">
        <v>3</v>
      </c>
      <c r="R23" s="378">
        <v>25</v>
      </c>
      <c r="S23" s="378">
        <v>0.2</v>
      </c>
      <c r="T23" s="378">
        <v>1000</v>
      </c>
      <c r="U23" s="378">
        <v>10</v>
      </c>
      <c r="V23" s="378">
        <v>6</v>
      </c>
      <c r="W23" s="378" t="s">
        <v>201</v>
      </c>
      <c r="X23" s="378">
        <v>9</v>
      </c>
      <c r="Y23" s="379">
        <f t="shared" si="0"/>
        <v>0.63600000000000001</v>
      </c>
      <c r="Z23" s="379">
        <f t="shared" si="2"/>
        <v>0.46166666666666667</v>
      </c>
      <c r="AA23" s="379">
        <f t="shared" si="3"/>
        <v>81</v>
      </c>
      <c r="AB23" s="379">
        <f t="shared" si="3"/>
        <v>25.64</v>
      </c>
      <c r="AC23" s="379">
        <f t="shared" si="3"/>
        <v>2.79</v>
      </c>
      <c r="AD23" s="379">
        <f t="shared" si="3"/>
        <v>888</v>
      </c>
      <c r="AE23" s="379">
        <f t="shared" si="3"/>
        <v>0.246</v>
      </c>
      <c r="AF23" s="379">
        <f t="shared" si="4"/>
        <v>7.1428571428571161E-2</v>
      </c>
      <c r="AG23" s="382">
        <f t="shared" si="5"/>
        <v>0.63600000000000001</v>
      </c>
      <c r="AH23" s="382">
        <f t="shared" si="1"/>
        <v>0.46166666666666667</v>
      </c>
      <c r="AI23" s="382">
        <f t="shared" si="1"/>
        <v>10.542425094393248</v>
      </c>
      <c r="AJ23" s="382">
        <f t="shared" si="1"/>
        <v>8.0445901042338992</v>
      </c>
      <c r="AK23" s="382">
        <f t="shared" si="1"/>
        <v>3.2280210163679879</v>
      </c>
      <c r="AL23" s="382">
        <f t="shared" si="1"/>
        <v>15.742064828893005</v>
      </c>
      <c r="AM23" s="382">
        <f t="shared" si="1"/>
        <v>0.246</v>
      </c>
      <c r="AN23" s="382">
        <f t="shared" si="1"/>
        <v>7.1428571428571161E-2</v>
      </c>
      <c r="AO23" s="394">
        <f t="shared" si="6"/>
        <v>4.8715245352479224</v>
      </c>
      <c r="AP23" s="395">
        <f t="shared" si="7"/>
        <v>15.742064828893005</v>
      </c>
      <c r="AQ23" s="396">
        <f t="shared" si="8"/>
        <v>23.731751297522486</v>
      </c>
      <c r="AR23" s="396">
        <f t="shared" si="8"/>
        <v>247.81260507707015</v>
      </c>
      <c r="AS23" s="397">
        <f t="shared" si="9"/>
        <v>11.652131915975561</v>
      </c>
      <c r="AT23" s="410" t="str">
        <f t="shared" si="10"/>
        <v>berat</v>
      </c>
      <c r="AU23" s="369"/>
      <c r="AV23" s="413"/>
      <c r="AW23" s="406">
        <v>1</v>
      </c>
      <c r="AX23" s="407"/>
      <c r="AY23" s="408"/>
      <c r="AZ23" s="409"/>
    </row>
    <row r="24" spans="1:52" ht="15" x14ac:dyDescent="0.2">
      <c r="A24" s="399">
        <v>12</v>
      </c>
      <c r="B24" s="400" t="s">
        <v>54</v>
      </c>
      <c r="C24" s="348" t="s">
        <v>346</v>
      </c>
      <c r="D24" s="348" t="s">
        <v>347</v>
      </c>
      <c r="E24" s="401" t="s">
        <v>348</v>
      </c>
      <c r="F24" s="402">
        <v>44272</v>
      </c>
      <c r="G24" s="403">
        <v>37.4</v>
      </c>
      <c r="H24" s="403">
        <v>0</v>
      </c>
      <c r="I24" s="360">
        <v>360</v>
      </c>
      <c r="J24" s="360">
        <v>671</v>
      </c>
      <c r="K24" s="360">
        <v>0.77800000000000002</v>
      </c>
      <c r="L24" s="362">
        <v>15531000</v>
      </c>
      <c r="M24" s="403">
        <v>2.94</v>
      </c>
      <c r="N24" s="403">
        <v>7.55</v>
      </c>
      <c r="O24" s="378">
        <v>50</v>
      </c>
      <c r="P24" s="378">
        <v>4</v>
      </c>
      <c r="Q24" s="378">
        <v>3</v>
      </c>
      <c r="R24" s="378">
        <v>25</v>
      </c>
      <c r="S24" s="378">
        <v>0.2</v>
      </c>
      <c r="T24" s="378">
        <v>1000</v>
      </c>
      <c r="U24" s="378">
        <v>10</v>
      </c>
      <c r="V24" s="378">
        <v>6</v>
      </c>
      <c r="W24" s="378" t="s">
        <v>201</v>
      </c>
      <c r="X24" s="378">
        <v>9</v>
      </c>
      <c r="Y24" s="379">
        <f t="shared" si="0"/>
        <v>0.748</v>
      </c>
      <c r="Z24" s="379">
        <f t="shared" si="2"/>
        <v>0.58333333333333337</v>
      </c>
      <c r="AA24" s="379">
        <f t="shared" si="3"/>
        <v>120</v>
      </c>
      <c r="AB24" s="379">
        <f t="shared" si="3"/>
        <v>26.84</v>
      </c>
      <c r="AC24" s="379">
        <f t="shared" si="3"/>
        <v>3.89</v>
      </c>
      <c r="AD24" s="379">
        <f t="shared" si="3"/>
        <v>15531</v>
      </c>
      <c r="AE24" s="379">
        <f t="shared" si="3"/>
        <v>0.29399999999999998</v>
      </c>
      <c r="AF24" s="379">
        <f t="shared" si="4"/>
        <v>3.448275862068953E-2</v>
      </c>
      <c r="AG24" s="382">
        <f t="shared" si="5"/>
        <v>0.748</v>
      </c>
      <c r="AH24" s="382">
        <f t="shared" si="1"/>
        <v>0.58333333333333337</v>
      </c>
      <c r="AI24" s="382">
        <f t="shared" si="1"/>
        <v>11.395906230238124</v>
      </c>
      <c r="AJ24" s="382">
        <f t="shared" si="1"/>
        <v>8.1439125574847733</v>
      </c>
      <c r="AK24" s="382">
        <f t="shared" si="1"/>
        <v>3.9497480066285386</v>
      </c>
      <c r="AL24" s="382">
        <f t="shared" si="1"/>
        <v>21.955997098507591</v>
      </c>
      <c r="AM24" s="382">
        <f t="shared" si="1"/>
        <v>0.29399999999999998</v>
      </c>
      <c r="AN24" s="382">
        <f t="shared" si="1"/>
        <v>3.448275862068953E-2</v>
      </c>
      <c r="AO24" s="394">
        <f t="shared" si="6"/>
        <v>5.888172498101631</v>
      </c>
      <c r="AP24" s="395">
        <f t="shared" si="7"/>
        <v>21.955997098507591</v>
      </c>
      <c r="AQ24" s="396">
        <f t="shared" si="8"/>
        <v>34.670575367400403</v>
      </c>
      <c r="AR24" s="396">
        <f t="shared" si="8"/>
        <v>482.06580858967379</v>
      </c>
      <c r="AS24" s="397">
        <f t="shared" si="9"/>
        <v>16.073835633679259</v>
      </c>
      <c r="AT24" s="410" t="str">
        <f t="shared" si="10"/>
        <v>berat</v>
      </c>
      <c r="AU24" s="369"/>
      <c r="AV24" s="413"/>
      <c r="AW24" s="406">
        <v>1</v>
      </c>
      <c r="AX24" s="407"/>
      <c r="AY24" s="408"/>
      <c r="AZ24" s="409"/>
    </row>
    <row r="25" spans="1:52" ht="15" x14ac:dyDescent="0.2">
      <c r="A25" s="399">
        <v>13</v>
      </c>
      <c r="B25" s="400" t="s">
        <v>27</v>
      </c>
      <c r="C25" s="348" t="s">
        <v>349</v>
      </c>
      <c r="D25" s="348" t="s">
        <v>350</v>
      </c>
      <c r="E25" s="401" t="s">
        <v>351</v>
      </c>
      <c r="F25" s="402">
        <v>44273</v>
      </c>
      <c r="G25" s="360">
        <v>132</v>
      </c>
      <c r="H25" s="360">
        <v>4.7300000000000004</v>
      </c>
      <c r="I25" s="360">
        <v>93.5</v>
      </c>
      <c r="J25" s="360">
        <v>302</v>
      </c>
      <c r="K25" s="360">
        <v>0.45600000000000002</v>
      </c>
      <c r="L25" s="362">
        <v>1723000</v>
      </c>
      <c r="M25" s="412">
        <v>8.11</v>
      </c>
      <c r="N25" s="412">
        <v>7.43</v>
      </c>
      <c r="O25" s="378">
        <v>50</v>
      </c>
      <c r="P25" s="378">
        <v>4</v>
      </c>
      <c r="Q25" s="378">
        <v>3</v>
      </c>
      <c r="R25" s="378">
        <v>25</v>
      </c>
      <c r="S25" s="378">
        <v>0.2</v>
      </c>
      <c r="T25" s="378">
        <v>1000</v>
      </c>
      <c r="U25" s="378">
        <v>10</v>
      </c>
      <c r="V25" s="378">
        <v>6</v>
      </c>
      <c r="W25" s="378" t="s">
        <v>201</v>
      </c>
      <c r="X25" s="378">
        <v>9</v>
      </c>
      <c r="Y25" s="379">
        <f t="shared" si="0"/>
        <v>2.64</v>
      </c>
      <c r="Z25" s="379">
        <f t="shared" si="2"/>
        <v>0.18916666666666662</v>
      </c>
      <c r="AA25" s="379">
        <f t="shared" si="3"/>
        <v>31.166666666666668</v>
      </c>
      <c r="AB25" s="379">
        <f t="shared" si="3"/>
        <v>12.08</v>
      </c>
      <c r="AC25" s="379">
        <f t="shared" si="3"/>
        <v>2.2799999999999998</v>
      </c>
      <c r="AD25" s="379">
        <f t="shared" si="3"/>
        <v>1723</v>
      </c>
      <c r="AE25" s="379">
        <f t="shared" si="3"/>
        <v>0.81099999999999994</v>
      </c>
      <c r="AF25" s="379">
        <f t="shared" si="4"/>
        <v>4.895104895104916E-2</v>
      </c>
      <c r="AG25" s="382">
        <f t="shared" si="5"/>
        <v>3.1080196343491551</v>
      </c>
      <c r="AH25" s="382">
        <f t="shared" si="1"/>
        <v>0.18916666666666662</v>
      </c>
      <c r="AI25" s="382">
        <f t="shared" si="1"/>
        <v>8.4684517807642763</v>
      </c>
      <c r="AJ25" s="382">
        <f t="shared" si="1"/>
        <v>6.4103346714255647</v>
      </c>
      <c r="AK25" s="382">
        <f t="shared" si="1"/>
        <v>2.789674235002269</v>
      </c>
      <c r="AL25" s="382">
        <f t="shared" si="1"/>
        <v>17.181426387240144</v>
      </c>
      <c r="AM25" s="382">
        <f t="shared" si="1"/>
        <v>0.81099999999999994</v>
      </c>
      <c r="AN25" s="382">
        <f t="shared" si="1"/>
        <v>4.895104895104916E-2</v>
      </c>
      <c r="AO25" s="394">
        <f t="shared" si="6"/>
        <v>4.87587805304989</v>
      </c>
      <c r="AP25" s="395">
        <f t="shared" si="7"/>
        <v>17.181426387240144</v>
      </c>
      <c r="AQ25" s="396">
        <f t="shared" si="8"/>
        <v>23.774186788213587</v>
      </c>
      <c r="AR25" s="396">
        <f t="shared" si="8"/>
        <v>295.20141270015193</v>
      </c>
      <c r="AS25" s="397">
        <f t="shared" si="9"/>
        <v>12.628847918325043</v>
      </c>
      <c r="AT25" s="410" t="str">
        <f t="shared" si="10"/>
        <v>berat</v>
      </c>
      <c r="AU25" s="369"/>
      <c r="AV25" s="413"/>
      <c r="AW25" s="406">
        <v>1</v>
      </c>
      <c r="AX25" s="407"/>
      <c r="AY25" s="408"/>
      <c r="AZ25" s="409"/>
    </row>
    <row r="26" spans="1:52" ht="15" x14ac:dyDescent="0.2">
      <c r="A26" s="399">
        <v>14</v>
      </c>
      <c r="B26" s="400" t="s">
        <v>28</v>
      </c>
      <c r="C26" s="348" t="s">
        <v>352</v>
      </c>
      <c r="D26" s="348" t="s">
        <v>353</v>
      </c>
      <c r="E26" s="401" t="s">
        <v>354</v>
      </c>
      <c r="F26" s="402">
        <v>44273</v>
      </c>
      <c r="G26" s="412">
        <v>32.5</v>
      </c>
      <c r="H26" s="412">
        <v>2.44</v>
      </c>
      <c r="I26" s="360">
        <v>36.4</v>
      </c>
      <c r="J26" s="360">
        <v>114</v>
      </c>
      <c r="K26" s="360">
        <v>0.47499999999999998</v>
      </c>
      <c r="L26" s="362">
        <v>2143000</v>
      </c>
      <c r="M26" s="412">
        <v>8.44</v>
      </c>
      <c r="N26" s="412">
        <v>7.39</v>
      </c>
      <c r="O26" s="378">
        <v>50</v>
      </c>
      <c r="P26" s="378">
        <v>4</v>
      </c>
      <c r="Q26" s="378">
        <v>3</v>
      </c>
      <c r="R26" s="378">
        <v>25</v>
      </c>
      <c r="S26" s="378">
        <v>0.2</v>
      </c>
      <c r="T26" s="378">
        <v>1000</v>
      </c>
      <c r="U26" s="378">
        <v>10</v>
      </c>
      <c r="V26" s="378">
        <v>6</v>
      </c>
      <c r="W26" s="378" t="s">
        <v>201</v>
      </c>
      <c r="X26" s="378">
        <v>9</v>
      </c>
      <c r="Y26" s="379">
        <f t="shared" si="0"/>
        <v>0.65</v>
      </c>
      <c r="Z26" s="379">
        <f t="shared" si="2"/>
        <v>0.38000000000000006</v>
      </c>
      <c r="AA26" s="379">
        <f t="shared" si="3"/>
        <v>12.133333333333333</v>
      </c>
      <c r="AB26" s="379">
        <f t="shared" si="3"/>
        <v>4.5599999999999996</v>
      </c>
      <c r="AC26" s="379">
        <f t="shared" si="3"/>
        <v>2.3749999999999996</v>
      </c>
      <c r="AD26" s="379">
        <f t="shared" si="3"/>
        <v>2143</v>
      </c>
      <c r="AE26" s="379">
        <f t="shared" si="3"/>
        <v>0.84399999999999997</v>
      </c>
      <c r="AF26" s="379">
        <f t="shared" si="4"/>
        <v>7.9136690647482258E-2</v>
      </c>
      <c r="AG26" s="382">
        <f t="shared" si="5"/>
        <v>0.65</v>
      </c>
      <c r="AH26" s="382">
        <f t="shared" si="1"/>
        <v>0.38000000000000006</v>
      </c>
      <c r="AI26" s="382">
        <f t="shared" si="1"/>
        <v>6.419900644646968</v>
      </c>
      <c r="AJ26" s="382">
        <f t="shared" si="1"/>
        <v>4.2948242133221752</v>
      </c>
      <c r="AK26" s="382">
        <f t="shared" si="1"/>
        <v>2.8783180698044264</v>
      </c>
      <c r="AL26" s="382">
        <f t="shared" si="1"/>
        <v>17.655110855209145</v>
      </c>
      <c r="AM26" s="382">
        <f t="shared" si="1"/>
        <v>0.84399999999999997</v>
      </c>
      <c r="AN26" s="382">
        <f t="shared" si="1"/>
        <v>7.9136690647482258E-2</v>
      </c>
      <c r="AO26" s="394">
        <f t="shared" si="6"/>
        <v>4.1501613092037744</v>
      </c>
      <c r="AP26" s="395">
        <f t="shared" si="7"/>
        <v>17.655110855209145</v>
      </c>
      <c r="AQ26" s="396">
        <f t="shared" si="8"/>
        <v>17.223838892411987</v>
      </c>
      <c r="AR26" s="396">
        <f t="shared" si="8"/>
        <v>311.70293930972377</v>
      </c>
      <c r="AS26" s="397">
        <f t="shared" si="9"/>
        <v>12.824328017524657</v>
      </c>
      <c r="AT26" s="410" t="str">
        <f t="shared" si="10"/>
        <v>berat</v>
      </c>
      <c r="AU26" s="369"/>
      <c r="AV26" s="413"/>
      <c r="AW26" s="406">
        <v>1</v>
      </c>
      <c r="AX26" s="407"/>
      <c r="AY26" s="408"/>
      <c r="AZ26" s="409"/>
    </row>
    <row r="27" spans="1:52" ht="15" x14ac:dyDescent="0.2">
      <c r="A27" s="399">
        <v>15</v>
      </c>
      <c r="B27" s="400" t="s">
        <v>29</v>
      </c>
      <c r="C27" s="348" t="s">
        <v>352</v>
      </c>
      <c r="D27" s="348" t="s">
        <v>353</v>
      </c>
      <c r="E27" s="401" t="s">
        <v>355</v>
      </c>
      <c r="F27" s="402">
        <v>44272</v>
      </c>
      <c r="G27" s="360">
        <v>85.5</v>
      </c>
      <c r="H27" s="412">
        <v>2.71</v>
      </c>
      <c r="I27" s="360">
        <v>36.5</v>
      </c>
      <c r="J27" s="360">
        <v>87.7</v>
      </c>
      <c r="K27" s="360">
        <v>0.52</v>
      </c>
      <c r="L27" s="362">
        <v>2359000</v>
      </c>
      <c r="M27" s="412">
        <v>4.92</v>
      </c>
      <c r="N27" s="412">
        <v>7.64</v>
      </c>
      <c r="O27" s="378">
        <v>50</v>
      </c>
      <c r="P27" s="378">
        <v>4</v>
      </c>
      <c r="Q27" s="378">
        <v>3</v>
      </c>
      <c r="R27" s="378">
        <v>25</v>
      </c>
      <c r="S27" s="378">
        <v>0.2</v>
      </c>
      <c r="T27" s="378">
        <v>1000</v>
      </c>
      <c r="U27" s="378">
        <v>10</v>
      </c>
      <c r="V27" s="378">
        <v>6</v>
      </c>
      <c r="W27" s="378" t="s">
        <v>201</v>
      </c>
      <c r="X27" s="378">
        <v>9</v>
      </c>
      <c r="Y27" s="379">
        <f t="shared" si="0"/>
        <v>1.71</v>
      </c>
      <c r="Z27" s="379">
        <f t="shared" si="2"/>
        <v>0.35749999999999998</v>
      </c>
      <c r="AA27" s="379">
        <f t="shared" si="3"/>
        <v>12.166666666666666</v>
      </c>
      <c r="AB27" s="379">
        <f t="shared" si="3"/>
        <v>3.508</v>
      </c>
      <c r="AC27" s="379">
        <f t="shared" si="3"/>
        <v>2.6</v>
      </c>
      <c r="AD27" s="379">
        <f t="shared" si="3"/>
        <v>2359</v>
      </c>
      <c r="AE27" s="379">
        <f t="shared" si="3"/>
        <v>0.49199999999999999</v>
      </c>
      <c r="AF27" s="379">
        <f t="shared" si="4"/>
        <v>0.10294117647058798</v>
      </c>
      <c r="AG27" s="382">
        <f t="shared" si="5"/>
        <v>2.164980551960769</v>
      </c>
      <c r="AH27" s="382">
        <f t="shared" si="1"/>
        <v>0.35749999999999998</v>
      </c>
      <c r="AI27" s="382">
        <f t="shared" si="1"/>
        <v>6.4258580486840611</v>
      </c>
      <c r="AJ27" s="382">
        <f t="shared" si="1"/>
        <v>3.7252979234700145</v>
      </c>
      <c r="AK27" s="382">
        <f t="shared" si="1"/>
        <v>3.0748667398540901</v>
      </c>
      <c r="AL27" s="382">
        <f t="shared" si="1"/>
        <v>17.863639704427978</v>
      </c>
      <c r="AM27" s="382">
        <f t="shared" si="1"/>
        <v>0.49199999999999999</v>
      </c>
      <c r="AN27" s="382">
        <f t="shared" si="1"/>
        <v>0.10294117647058798</v>
      </c>
      <c r="AO27" s="394">
        <f t="shared" si="6"/>
        <v>4.2758855181084368</v>
      </c>
      <c r="AP27" s="395">
        <f t="shared" si="7"/>
        <v>17.863639704427978</v>
      </c>
      <c r="AQ27" s="396">
        <f t="shared" si="8"/>
        <v>18.283196963969456</v>
      </c>
      <c r="AR27" s="396">
        <f t="shared" si="8"/>
        <v>319.10962348961573</v>
      </c>
      <c r="AS27" s="397">
        <f t="shared" si="9"/>
        <v>12.988318221647965</v>
      </c>
      <c r="AT27" s="410" t="str">
        <f t="shared" si="10"/>
        <v>berat</v>
      </c>
      <c r="AV27" s="405"/>
      <c r="AW27" s="406">
        <v>1</v>
      </c>
      <c r="AX27" s="407"/>
      <c r="AY27" s="408"/>
      <c r="AZ27" s="409"/>
    </row>
    <row r="28" spans="1:52" x14ac:dyDescent="0.2">
      <c r="A28" s="387" t="s">
        <v>184</v>
      </c>
      <c r="B28" s="400"/>
      <c r="C28" s="400"/>
      <c r="D28" s="414"/>
      <c r="E28" s="414"/>
      <c r="F28" s="415"/>
      <c r="G28" s="392"/>
      <c r="H28" s="392"/>
      <c r="I28" s="392"/>
      <c r="J28" s="392"/>
      <c r="K28" s="392"/>
      <c r="L28" s="460"/>
      <c r="M28" s="393"/>
      <c r="N28" s="393"/>
      <c r="O28" s="378"/>
      <c r="P28" s="378"/>
      <c r="Q28" s="378"/>
      <c r="R28" s="378"/>
      <c r="S28" s="378"/>
      <c r="T28" s="378"/>
      <c r="U28" s="378"/>
      <c r="V28" s="378"/>
      <c r="W28" s="378"/>
      <c r="X28" s="378"/>
      <c r="Y28" s="379"/>
      <c r="Z28" s="379"/>
      <c r="AA28" s="379"/>
      <c r="AB28" s="379"/>
      <c r="AC28" s="379"/>
      <c r="AD28" s="379"/>
      <c r="AE28" s="379"/>
      <c r="AF28" s="379"/>
      <c r="AG28" s="382"/>
      <c r="AH28" s="382"/>
      <c r="AI28" s="382"/>
      <c r="AJ28" s="382"/>
      <c r="AK28" s="382"/>
      <c r="AL28" s="382"/>
      <c r="AM28" s="382"/>
      <c r="AN28" s="382"/>
      <c r="AO28" s="394"/>
      <c r="AP28" s="395"/>
      <c r="AQ28" s="396"/>
      <c r="AR28" s="396"/>
      <c r="AS28" s="397"/>
      <c r="AT28" s="416"/>
      <c r="AW28" s="417"/>
      <c r="AX28" s="417"/>
      <c r="AY28" s="417"/>
      <c r="AZ28" s="417"/>
    </row>
    <row r="29" spans="1:52" ht="15" x14ac:dyDescent="0.2">
      <c r="A29" s="399">
        <v>16</v>
      </c>
      <c r="B29" s="400" t="s">
        <v>21</v>
      </c>
      <c r="C29" s="388" t="s">
        <v>311</v>
      </c>
      <c r="D29" s="388" t="s">
        <v>312</v>
      </c>
      <c r="E29" s="348"/>
      <c r="F29" s="329"/>
      <c r="G29" s="392">
        <v>35.200000000000003</v>
      </c>
      <c r="H29" s="392">
        <v>3.91</v>
      </c>
      <c r="I29" s="418">
        <v>76</v>
      </c>
      <c r="J29" s="418">
        <v>238</v>
      </c>
      <c r="K29" s="392">
        <v>1.7999999999999999E-2</v>
      </c>
      <c r="L29" s="362">
        <v>10000</v>
      </c>
      <c r="M29" s="393">
        <v>2.52</v>
      </c>
      <c r="N29" s="393">
        <v>7.65</v>
      </c>
      <c r="O29" s="378">
        <v>50</v>
      </c>
      <c r="P29" s="378">
        <v>4</v>
      </c>
      <c r="Q29" s="378">
        <v>3</v>
      </c>
      <c r="R29" s="378">
        <v>25</v>
      </c>
      <c r="S29" s="378">
        <v>0.2</v>
      </c>
      <c r="T29" s="378">
        <v>1000</v>
      </c>
      <c r="U29" s="378">
        <v>10</v>
      </c>
      <c r="V29" s="378">
        <v>6</v>
      </c>
      <c r="W29" s="378" t="s">
        <v>201</v>
      </c>
      <c r="X29" s="378">
        <v>9</v>
      </c>
      <c r="Y29" s="379">
        <f t="shared" ref="Y29:Y43" si="11">G29/O29</f>
        <v>0.70400000000000007</v>
      </c>
      <c r="Z29" s="379">
        <f>((7-H29)/(7-P29))/P29</f>
        <v>0.25750000000000001</v>
      </c>
      <c r="AA29" s="379">
        <f t="shared" ref="AA29:AE43" si="12">I29/Q29</f>
        <v>25.333333333333332</v>
      </c>
      <c r="AB29" s="379">
        <f t="shared" si="12"/>
        <v>9.52</v>
      </c>
      <c r="AC29" s="379">
        <f t="shared" si="12"/>
        <v>8.9999999999999983E-2</v>
      </c>
      <c r="AD29" s="379">
        <f t="shared" si="12"/>
        <v>10</v>
      </c>
      <c r="AE29" s="379">
        <f t="shared" si="3"/>
        <v>0.252</v>
      </c>
      <c r="AF29" s="379">
        <f t="shared" ref="AF29:AF59" si="13">(N29-(AVERAGE(V29,X29)))/((IF(N29&lt;7.5,V29,X29)-N29))</f>
        <v>0.11111111111111141</v>
      </c>
      <c r="AG29" s="382">
        <f t="shared" ref="AG29:AN59" si="14">IF(Y29&lt;1,Y29,(1+(5*(LOG10(Y29)))))</f>
        <v>0.70400000000000007</v>
      </c>
      <c r="AH29" s="382">
        <f t="shared" si="14"/>
        <v>0.25750000000000001</v>
      </c>
      <c r="AI29" s="382">
        <f t="shared" si="14"/>
        <v>8.0184616878056438</v>
      </c>
      <c r="AJ29" s="382">
        <f t="shared" si="14"/>
        <v>5.8931847419223722</v>
      </c>
      <c r="AK29" s="382">
        <f t="shared" si="14"/>
        <v>8.9999999999999983E-2</v>
      </c>
      <c r="AL29" s="382">
        <f t="shared" si="14"/>
        <v>6</v>
      </c>
      <c r="AM29" s="382">
        <f t="shared" si="14"/>
        <v>0.252</v>
      </c>
      <c r="AN29" s="382">
        <f t="shared" si="14"/>
        <v>0.11111111111111141</v>
      </c>
      <c r="AO29" s="394">
        <f t="shared" si="6"/>
        <v>2.6657821926048908</v>
      </c>
      <c r="AP29" s="395">
        <f t="shared" si="7"/>
        <v>8.0184616878056438</v>
      </c>
      <c r="AQ29" s="396">
        <f t="shared" si="8"/>
        <v>7.1063946984093391</v>
      </c>
      <c r="AR29" s="396">
        <f t="shared" si="8"/>
        <v>64.29572783880694</v>
      </c>
      <c r="AS29" s="397">
        <f t="shared" si="9"/>
        <v>5.9750365077217849</v>
      </c>
      <c r="AT29" s="411" t="str">
        <f t="shared" si="10"/>
        <v>sedang</v>
      </c>
      <c r="AW29" s="406"/>
      <c r="AX29" s="407">
        <v>1</v>
      </c>
      <c r="AY29" s="408"/>
      <c r="AZ29" s="409"/>
    </row>
    <row r="30" spans="1:52" ht="15" x14ac:dyDescent="0.2">
      <c r="A30" s="399">
        <v>17</v>
      </c>
      <c r="B30" s="400" t="s">
        <v>61</v>
      </c>
      <c r="C30" s="388" t="s">
        <v>314</v>
      </c>
      <c r="D30" s="388" t="s">
        <v>315</v>
      </c>
      <c r="E30" s="348"/>
      <c r="F30" s="329"/>
      <c r="G30" s="392">
        <v>44.2</v>
      </c>
      <c r="H30" s="392">
        <v>3.88</v>
      </c>
      <c r="I30" s="418">
        <v>8.6</v>
      </c>
      <c r="J30" s="392">
        <v>18.2</v>
      </c>
      <c r="K30" s="392">
        <v>1.7999999999999999E-2</v>
      </c>
      <c r="L30" s="362">
        <v>231000</v>
      </c>
      <c r="M30" s="393">
        <v>2.16</v>
      </c>
      <c r="N30" s="393">
        <v>7.45</v>
      </c>
      <c r="O30" s="378">
        <v>50</v>
      </c>
      <c r="P30" s="378">
        <v>4</v>
      </c>
      <c r="Q30" s="378">
        <v>3</v>
      </c>
      <c r="R30" s="378">
        <v>25</v>
      </c>
      <c r="S30" s="378">
        <v>0.2</v>
      </c>
      <c r="T30" s="378">
        <v>1000</v>
      </c>
      <c r="U30" s="378">
        <v>10</v>
      </c>
      <c r="V30" s="378">
        <v>6</v>
      </c>
      <c r="W30" s="378" t="s">
        <v>201</v>
      </c>
      <c r="X30" s="378">
        <v>9</v>
      </c>
      <c r="Y30" s="379">
        <f t="shared" si="11"/>
        <v>0.88400000000000001</v>
      </c>
      <c r="Z30" s="379">
        <f t="shared" ref="Z30:Z43" si="15">((7-H30)/(7-P30))/P30</f>
        <v>0.26</v>
      </c>
      <c r="AA30" s="379">
        <f t="shared" si="12"/>
        <v>2.8666666666666667</v>
      </c>
      <c r="AB30" s="379">
        <f t="shared" si="12"/>
        <v>0.72799999999999998</v>
      </c>
      <c r="AC30" s="379">
        <f t="shared" si="12"/>
        <v>8.9999999999999983E-2</v>
      </c>
      <c r="AD30" s="379">
        <f t="shared" si="12"/>
        <v>231</v>
      </c>
      <c r="AE30" s="379">
        <f t="shared" si="12"/>
        <v>0.21600000000000003</v>
      </c>
      <c r="AF30" s="379">
        <f t="shared" si="13"/>
        <v>3.448275862068953E-2</v>
      </c>
      <c r="AG30" s="382">
        <f t="shared" si="14"/>
        <v>0.88400000000000001</v>
      </c>
      <c r="AH30" s="382">
        <f t="shared" si="14"/>
        <v>0.26</v>
      </c>
      <c r="AI30" s="382">
        <f t="shared" si="14"/>
        <v>3.2868859826195265</v>
      </c>
      <c r="AJ30" s="382">
        <f t="shared" si="14"/>
        <v>0.72799999999999998</v>
      </c>
      <c r="AK30" s="382">
        <f t="shared" si="14"/>
        <v>8.9999999999999983E-2</v>
      </c>
      <c r="AL30" s="382">
        <f t="shared" si="14"/>
        <v>12.818059899460723</v>
      </c>
      <c r="AM30" s="382">
        <f t="shared" si="14"/>
        <v>0.21600000000000003</v>
      </c>
      <c r="AN30" s="382">
        <f t="shared" si="14"/>
        <v>3.448275862068953E-2</v>
      </c>
      <c r="AO30" s="394">
        <f t="shared" si="6"/>
        <v>2.2896785800876174</v>
      </c>
      <c r="AP30" s="395">
        <f t="shared" si="7"/>
        <v>12.818059899460723</v>
      </c>
      <c r="AQ30" s="396">
        <f t="shared" si="8"/>
        <v>5.242628000112048</v>
      </c>
      <c r="AR30" s="396">
        <f t="shared" si="8"/>
        <v>164.30265958616303</v>
      </c>
      <c r="AS30" s="397">
        <f t="shared" si="9"/>
        <v>9.2072060796496533</v>
      </c>
      <c r="AT30" s="411" t="str">
        <f t="shared" si="10"/>
        <v>sedang</v>
      </c>
      <c r="AW30" s="406"/>
      <c r="AX30" s="407">
        <v>1</v>
      </c>
      <c r="AY30" s="408"/>
      <c r="AZ30" s="409"/>
    </row>
    <row r="31" spans="1:52" x14ac:dyDescent="0.2">
      <c r="A31" s="399">
        <v>18</v>
      </c>
      <c r="B31" s="400" t="s">
        <v>60</v>
      </c>
      <c r="C31" s="388"/>
      <c r="D31" s="388"/>
      <c r="E31" s="348"/>
      <c r="F31" s="329"/>
      <c r="G31" s="392">
        <v>39</v>
      </c>
      <c r="H31" s="392">
        <v>2.78</v>
      </c>
      <c r="I31" s="418">
        <v>7.6</v>
      </c>
      <c r="J31" s="392">
        <v>15.5</v>
      </c>
      <c r="K31" s="392">
        <v>1.7999999999999999E-2</v>
      </c>
      <c r="L31" s="362">
        <v>460000</v>
      </c>
      <c r="M31" s="393">
        <v>0.68200000000000005</v>
      </c>
      <c r="N31" s="393">
        <v>7.51</v>
      </c>
      <c r="O31" s="378">
        <v>50</v>
      </c>
      <c r="P31" s="378">
        <v>4</v>
      </c>
      <c r="Q31" s="378">
        <v>3</v>
      </c>
      <c r="R31" s="378">
        <v>25</v>
      </c>
      <c r="S31" s="378">
        <v>0.2</v>
      </c>
      <c r="T31" s="378">
        <v>1000</v>
      </c>
      <c r="U31" s="378">
        <v>10</v>
      </c>
      <c r="V31" s="378">
        <v>6</v>
      </c>
      <c r="W31" s="378" t="s">
        <v>201</v>
      </c>
      <c r="X31" s="378">
        <v>9</v>
      </c>
      <c r="Y31" s="379">
        <f t="shared" si="11"/>
        <v>0.78</v>
      </c>
      <c r="Z31" s="379">
        <f t="shared" si="15"/>
        <v>0.35166666666666674</v>
      </c>
      <c r="AA31" s="379">
        <f t="shared" si="12"/>
        <v>2.5333333333333332</v>
      </c>
      <c r="AB31" s="379">
        <f t="shared" si="12"/>
        <v>0.62</v>
      </c>
      <c r="AC31" s="379">
        <f t="shared" si="12"/>
        <v>8.9999999999999983E-2</v>
      </c>
      <c r="AD31" s="379">
        <f t="shared" si="12"/>
        <v>460</v>
      </c>
      <c r="AE31" s="379">
        <f t="shared" si="12"/>
        <v>6.8200000000000011E-2</v>
      </c>
      <c r="AF31" s="379">
        <f t="shared" si="13"/>
        <v>6.7114093959730102E-3</v>
      </c>
      <c r="AG31" s="382">
        <f t="shared" si="14"/>
        <v>0.78</v>
      </c>
      <c r="AH31" s="382">
        <f t="shared" si="14"/>
        <v>0.35166666666666674</v>
      </c>
      <c r="AI31" s="382">
        <f t="shared" si="14"/>
        <v>3.0184616878056443</v>
      </c>
      <c r="AJ31" s="382">
        <f t="shared" si="14"/>
        <v>0.62</v>
      </c>
      <c r="AK31" s="382">
        <f t="shared" si="14"/>
        <v>8.9999999999999983E-2</v>
      </c>
      <c r="AL31" s="382">
        <f t="shared" si="14"/>
        <v>14.31378915840787</v>
      </c>
      <c r="AM31" s="382">
        <f t="shared" si="14"/>
        <v>6.8200000000000011E-2</v>
      </c>
      <c r="AN31" s="382">
        <f t="shared" si="14"/>
        <v>6.7114093959730102E-3</v>
      </c>
      <c r="AO31" s="394">
        <f t="shared" si="6"/>
        <v>2.4061036152845192</v>
      </c>
      <c r="AP31" s="395">
        <f t="shared" si="7"/>
        <v>14.31378915840787</v>
      </c>
      <c r="AQ31" s="396">
        <f t="shared" si="8"/>
        <v>5.7893346074852339</v>
      </c>
      <c r="AR31" s="396">
        <f t="shared" si="8"/>
        <v>204.88456007135468</v>
      </c>
      <c r="AS31" s="397">
        <f t="shared" si="9"/>
        <v>10.263378943575063</v>
      </c>
      <c r="AT31" s="410" t="str">
        <f t="shared" si="10"/>
        <v>berat</v>
      </c>
      <c r="AW31" s="406">
        <v>1</v>
      </c>
      <c r="AX31" s="407"/>
      <c r="AY31" s="408"/>
      <c r="AZ31" s="409"/>
    </row>
    <row r="32" spans="1:52" x14ac:dyDescent="0.2">
      <c r="A32" s="399">
        <v>19</v>
      </c>
      <c r="B32" s="400" t="s">
        <v>30</v>
      </c>
      <c r="C32" s="348"/>
      <c r="D32" s="348"/>
      <c r="E32" s="348"/>
      <c r="F32" s="329"/>
      <c r="G32" s="392">
        <v>35.6</v>
      </c>
      <c r="H32" s="392">
        <v>1.02</v>
      </c>
      <c r="I32" s="418">
        <v>42.5</v>
      </c>
      <c r="J32" s="418">
        <v>129</v>
      </c>
      <c r="K32" s="392">
        <v>1.7999999999999999E-2</v>
      </c>
      <c r="L32" s="362">
        <v>1291000</v>
      </c>
      <c r="M32" s="393">
        <v>1.42</v>
      </c>
      <c r="N32" s="393">
        <v>7.16</v>
      </c>
      <c r="O32" s="378">
        <v>50</v>
      </c>
      <c r="P32" s="378">
        <v>4</v>
      </c>
      <c r="Q32" s="378">
        <v>3</v>
      </c>
      <c r="R32" s="378">
        <v>25</v>
      </c>
      <c r="S32" s="378">
        <v>0.2</v>
      </c>
      <c r="T32" s="378">
        <v>1000</v>
      </c>
      <c r="U32" s="378">
        <v>10</v>
      </c>
      <c r="V32" s="378">
        <v>6</v>
      </c>
      <c r="W32" s="378" t="s">
        <v>201</v>
      </c>
      <c r="X32" s="378">
        <v>9</v>
      </c>
      <c r="Y32" s="379">
        <f t="shared" si="11"/>
        <v>0.71200000000000008</v>
      </c>
      <c r="Z32" s="379">
        <f t="shared" si="15"/>
        <v>0.49833333333333335</v>
      </c>
      <c r="AA32" s="379">
        <f>I32/Q32</f>
        <v>14.166666666666666</v>
      </c>
      <c r="AB32" s="379">
        <f>J32/R32</f>
        <v>5.16</v>
      </c>
      <c r="AC32" s="379">
        <f>K32/S32</f>
        <v>8.9999999999999983E-2</v>
      </c>
      <c r="AD32" s="379">
        <f>L32/T32</f>
        <v>1291</v>
      </c>
      <c r="AE32" s="379">
        <f t="shared" si="12"/>
        <v>0.14199999999999999</v>
      </c>
      <c r="AF32" s="379">
        <f t="shared" si="13"/>
        <v>0.29310344827586193</v>
      </c>
      <c r="AG32" s="382">
        <f t="shared" si="14"/>
        <v>0.71200000000000008</v>
      </c>
      <c r="AH32" s="382">
        <f t="shared" si="14"/>
        <v>0.49833333333333335</v>
      </c>
      <c r="AI32" s="382">
        <f t="shared" si="14"/>
        <v>6.756338376653245</v>
      </c>
      <c r="AJ32" s="382">
        <f t="shared" si="14"/>
        <v>4.5632485081360574</v>
      </c>
      <c r="AK32" s="382">
        <f t="shared" si="14"/>
        <v>8.9999999999999983E-2</v>
      </c>
      <c r="AL32" s="382">
        <f t="shared" si="14"/>
        <v>16.554631211332101</v>
      </c>
      <c r="AM32" s="382">
        <f t="shared" si="14"/>
        <v>0.14199999999999999</v>
      </c>
      <c r="AN32" s="382">
        <f t="shared" si="14"/>
        <v>0.29310344827586193</v>
      </c>
      <c r="AO32" s="394">
        <f t="shared" si="6"/>
        <v>3.7012068597163248</v>
      </c>
      <c r="AP32" s="395">
        <f t="shared" si="7"/>
        <v>16.554631211332101</v>
      </c>
      <c r="AQ32" s="396">
        <f t="shared" si="8"/>
        <v>13.698932218411178</v>
      </c>
      <c r="AR32" s="396">
        <f t="shared" si="8"/>
        <v>274.05581454321094</v>
      </c>
      <c r="AS32" s="397">
        <f t="shared" si="9"/>
        <v>11.994889469303628</v>
      </c>
      <c r="AT32" s="410" t="str">
        <f t="shared" si="10"/>
        <v>berat</v>
      </c>
      <c r="AW32" s="406">
        <v>1</v>
      </c>
      <c r="AX32" s="407"/>
      <c r="AY32" s="408"/>
      <c r="AZ32" s="409"/>
    </row>
    <row r="33" spans="1:52" x14ac:dyDescent="0.2">
      <c r="A33" s="399">
        <v>20</v>
      </c>
      <c r="B33" s="400" t="s">
        <v>31</v>
      </c>
      <c r="C33" s="348"/>
      <c r="D33" s="348"/>
      <c r="E33" s="348"/>
      <c r="F33" s="329"/>
      <c r="G33" s="392">
        <v>21.1</v>
      </c>
      <c r="H33" s="392">
        <v>1.26</v>
      </c>
      <c r="I33" s="418">
        <v>44.6</v>
      </c>
      <c r="J33" s="418">
        <v>134</v>
      </c>
      <c r="K33" s="392">
        <v>5.8000000000000003E-2</v>
      </c>
      <c r="L33" s="362">
        <v>4000000</v>
      </c>
      <c r="M33" s="393">
        <v>1.54</v>
      </c>
      <c r="N33" s="393">
        <v>7.26</v>
      </c>
      <c r="O33" s="378">
        <v>50</v>
      </c>
      <c r="P33" s="378">
        <v>4</v>
      </c>
      <c r="Q33" s="378">
        <v>3</v>
      </c>
      <c r="R33" s="378">
        <v>25</v>
      </c>
      <c r="S33" s="378">
        <v>0.2</v>
      </c>
      <c r="T33" s="378">
        <v>1000</v>
      </c>
      <c r="U33" s="378">
        <v>10</v>
      </c>
      <c r="V33" s="378">
        <v>6</v>
      </c>
      <c r="W33" s="378" t="s">
        <v>201</v>
      </c>
      <c r="X33" s="378">
        <v>9</v>
      </c>
      <c r="Y33" s="379">
        <f t="shared" si="11"/>
        <v>0.42200000000000004</v>
      </c>
      <c r="Z33" s="379">
        <f t="shared" si="15"/>
        <v>0.47833333333333333</v>
      </c>
      <c r="AA33" s="379">
        <f t="shared" ref="AA33:AD43" si="16">I33/Q33</f>
        <v>14.866666666666667</v>
      </c>
      <c r="AB33" s="379">
        <f t="shared" si="16"/>
        <v>5.36</v>
      </c>
      <c r="AC33" s="379">
        <f t="shared" si="16"/>
        <v>0.28999999999999998</v>
      </c>
      <c r="AD33" s="379">
        <f t="shared" si="16"/>
        <v>4000</v>
      </c>
      <c r="AE33" s="379">
        <f t="shared" si="12"/>
        <v>0.154</v>
      </c>
      <c r="AF33" s="379">
        <f t="shared" si="13"/>
        <v>0.19047619047619069</v>
      </c>
      <c r="AG33" s="382">
        <f t="shared" si="14"/>
        <v>0.42200000000000004</v>
      </c>
      <c r="AH33" s="382">
        <f t="shared" si="14"/>
        <v>0.47833333333333333</v>
      </c>
      <c r="AI33" s="382">
        <f t="shared" si="14"/>
        <v>6.8610680199623975</v>
      </c>
      <c r="AJ33" s="382">
        <f t="shared" si="14"/>
        <v>4.6458239484638506</v>
      </c>
      <c r="AK33" s="382">
        <f t="shared" si="14"/>
        <v>0.28999999999999998</v>
      </c>
      <c r="AL33" s="382">
        <f t="shared" si="14"/>
        <v>19.010299956639813</v>
      </c>
      <c r="AM33" s="382">
        <f t="shared" si="14"/>
        <v>0.154</v>
      </c>
      <c r="AN33" s="382">
        <f t="shared" si="14"/>
        <v>0.19047619047619069</v>
      </c>
      <c r="AO33" s="394">
        <f t="shared" si="6"/>
        <v>4.0065001811094483</v>
      </c>
      <c r="AP33" s="395">
        <f t="shared" si="7"/>
        <v>19.010299956639813</v>
      </c>
      <c r="AQ33" s="396">
        <f t="shared" si="8"/>
        <v>16.052043701230041</v>
      </c>
      <c r="AR33" s="396">
        <f t="shared" si="8"/>
        <v>361.39150444141967</v>
      </c>
      <c r="AS33" s="397">
        <f t="shared" si="9"/>
        <v>13.737604378905546</v>
      </c>
      <c r="AT33" s="410" t="str">
        <f t="shared" si="10"/>
        <v>berat</v>
      </c>
      <c r="AW33" s="406">
        <v>1</v>
      </c>
      <c r="AX33" s="407"/>
      <c r="AY33" s="408"/>
      <c r="AZ33" s="409"/>
    </row>
    <row r="34" spans="1:52" x14ac:dyDescent="0.2">
      <c r="A34" s="399">
        <v>21</v>
      </c>
      <c r="B34" s="400" t="s">
        <v>32</v>
      </c>
      <c r="C34" s="348"/>
      <c r="D34" s="348"/>
      <c r="E34" s="348"/>
      <c r="F34" s="329"/>
      <c r="G34" s="392">
        <v>14.2</v>
      </c>
      <c r="H34" s="392">
        <v>3.67</v>
      </c>
      <c r="I34" s="418">
        <v>18.2</v>
      </c>
      <c r="J34" s="418">
        <v>45</v>
      </c>
      <c r="K34" s="392">
        <v>1.7999999999999999E-2</v>
      </c>
      <c r="L34" s="362">
        <v>620000</v>
      </c>
      <c r="M34" s="393">
        <v>1.1299999999999999</v>
      </c>
      <c r="N34" s="393">
        <v>7.51</v>
      </c>
      <c r="O34" s="378">
        <v>50</v>
      </c>
      <c r="P34" s="378">
        <v>4</v>
      </c>
      <c r="Q34" s="378">
        <v>3</v>
      </c>
      <c r="R34" s="378">
        <v>25</v>
      </c>
      <c r="S34" s="378">
        <v>0.2</v>
      </c>
      <c r="T34" s="378">
        <v>1000</v>
      </c>
      <c r="U34" s="378">
        <v>10</v>
      </c>
      <c r="V34" s="378">
        <v>6</v>
      </c>
      <c r="W34" s="378" t="s">
        <v>201</v>
      </c>
      <c r="X34" s="378">
        <v>9</v>
      </c>
      <c r="Y34" s="379">
        <f t="shared" si="11"/>
        <v>0.28399999999999997</v>
      </c>
      <c r="Z34" s="379">
        <f t="shared" si="15"/>
        <v>0.27750000000000002</v>
      </c>
      <c r="AA34" s="379">
        <f t="shared" si="16"/>
        <v>6.0666666666666664</v>
      </c>
      <c r="AB34" s="379">
        <f t="shared" si="16"/>
        <v>1.8</v>
      </c>
      <c r="AC34" s="379">
        <f t="shared" si="16"/>
        <v>8.9999999999999983E-2</v>
      </c>
      <c r="AD34" s="379">
        <f t="shared" si="16"/>
        <v>620</v>
      </c>
      <c r="AE34" s="379">
        <f t="shared" si="12"/>
        <v>0.11299999999999999</v>
      </c>
      <c r="AF34" s="379">
        <f t="shared" si="13"/>
        <v>6.7114093959730102E-3</v>
      </c>
      <c r="AG34" s="382">
        <f t="shared" si="14"/>
        <v>0.28399999999999997</v>
      </c>
      <c r="AH34" s="382">
        <f t="shared" si="14"/>
        <v>0.27750000000000002</v>
      </c>
      <c r="AI34" s="382">
        <f t="shared" si="14"/>
        <v>4.9147506663270617</v>
      </c>
      <c r="AJ34" s="382">
        <f t="shared" si="14"/>
        <v>2.2763625255165305</v>
      </c>
      <c r="AK34" s="382">
        <f t="shared" si="14"/>
        <v>8.9999999999999983E-2</v>
      </c>
      <c r="AL34" s="382">
        <f t="shared" si="14"/>
        <v>14.96195844749127</v>
      </c>
      <c r="AM34" s="382">
        <f t="shared" si="14"/>
        <v>0.11299999999999999</v>
      </c>
      <c r="AN34" s="382">
        <f t="shared" si="14"/>
        <v>6.7114093959730102E-3</v>
      </c>
      <c r="AO34" s="394">
        <f t="shared" si="6"/>
        <v>2.865535381091354</v>
      </c>
      <c r="AP34" s="395">
        <f t="shared" si="7"/>
        <v>14.96195844749127</v>
      </c>
      <c r="AQ34" s="396">
        <f t="shared" si="8"/>
        <v>8.2112930202863712</v>
      </c>
      <c r="AR34" s="396">
        <f t="shared" si="8"/>
        <v>223.86020058445538</v>
      </c>
      <c r="AS34" s="397">
        <f t="shared" si="9"/>
        <v>10.771988990078428</v>
      </c>
      <c r="AT34" s="410" t="str">
        <f t="shared" si="10"/>
        <v>berat</v>
      </c>
      <c r="AW34" s="406">
        <v>1</v>
      </c>
      <c r="AX34" s="407"/>
      <c r="AY34" s="408"/>
      <c r="AZ34" s="409"/>
    </row>
    <row r="35" spans="1:52" x14ac:dyDescent="0.2">
      <c r="A35" s="399">
        <v>22</v>
      </c>
      <c r="B35" s="400" t="s">
        <v>320</v>
      </c>
      <c r="C35" s="348"/>
      <c r="D35" s="348"/>
      <c r="E35" s="348"/>
      <c r="F35" s="329"/>
      <c r="G35" s="392">
        <v>23.5</v>
      </c>
      <c r="H35" s="392">
        <v>2.79</v>
      </c>
      <c r="I35" s="418">
        <v>93.8</v>
      </c>
      <c r="J35" s="418">
        <v>245</v>
      </c>
      <c r="K35" s="392">
        <v>1.7999999999999999E-2</v>
      </c>
      <c r="L35" s="362">
        <v>637000</v>
      </c>
      <c r="M35" s="393">
        <v>1.48</v>
      </c>
      <c r="N35" s="393">
        <v>7.41</v>
      </c>
      <c r="O35" s="378">
        <v>50</v>
      </c>
      <c r="P35" s="378">
        <v>4</v>
      </c>
      <c r="Q35" s="378">
        <v>3</v>
      </c>
      <c r="R35" s="378">
        <v>25</v>
      </c>
      <c r="S35" s="378">
        <v>0.2</v>
      </c>
      <c r="T35" s="378">
        <v>1000</v>
      </c>
      <c r="U35" s="378">
        <v>10</v>
      </c>
      <c r="V35" s="378">
        <v>6</v>
      </c>
      <c r="W35" s="378" t="s">
        <v>201</v>
      </c>
      <c r="X35" s="378">
        <v>9</v>
      </c>
      <c r="Y35" s="379">
        <f t="shared" si="11"/>
        <v>0.47</v>
      </c>
      <c r="Z35" s="379">
        <f t="shared" si="15"/>
        <v>0.35083333333333333</v>
      </c>
      <c r="AA35" s="379">
        <f t="shared" si="16"/>
        <v>31.266666666666666</v>
      </c>
      <c r="AB35" s="379">
        <f t="shared" si="16"/>
        <v>9.8000000000000007</v>
      </c>
      <c r="AC35" s="379">
        <f t="shared" si="16"/>
        <v>8.9999999999999983E-2</v>
      </c>
      <c r="AD35" s="379">
        <f t="shared" si="16"/>
        <v>637</v>
      </c>
      <c r="AE35" s="379">
        <f t="shared" si="12"/>
        <v>0.14799999999999999</v>
      </c>
      <c r="AF35" s="379">
        <f t="shared" si="13"/>
        <v>6.3829787234042451E-2</v>
      </c>
      <c r="AG35" s="382">
        <f t="shared" si="14"/>
        <v>0.47</v>
      </c>
      <c r="AH35" s="382">
        <f t="shared" si="14"/>
        <v>0.35083333333333333</v>
      </c>
      <c r="AI35" s="382">
        <f t="shared" si="14"/>
        <v>8.4754079182970106</v>
      </c>
      <c r="AJ35" s="382">
        <f t="shared" si="14"/>
        <v>5.9561303784624746</v>
      </c>
      <c r="AK35" s="382">
        <f t="shared" si="14"/>
        <v>8.9999999999999983E-2</v>
      </c>
      <c r="AL35" s="382">
        <f t="shared" si="14"/>
        <v>15.020697161676752</v>
      </c>
      <c r="AM35" s="382">
        <f t="shared" si="14"/>
        <v>0.14799999999999999</v>
      </c>
      <c r="AN35" s="382">
        <f t="shared" si="14"/>
        <v>6.3829787234042451E-2</v>
      </c>
      <c r="AO35" s="394">
        <f t="shared" si="6"/>
        <v>3.8218623223754515</v>
      </c>
      <c r="AP35" s="395">
        <f t="shared" si="7"/>
        <v>15.020697161676752</v>
      </c>
      <c r="AQ35" s="396">
        <f t="shared" si="8"/>
        <v>14.60663161119308</v>
      </c>
      <c r="AR35" s="396">
        <f t="shared" si="8"/>
        <v>225.62134322280403</v>
      </c>
      <c r="AS35" s="397">
        <f t="shared" si="9"/>
        <v>10.959652705127045</v>
      </c>
      <c r="AT35" s="410" t="str">
        <f t="shared" si="10"/>
        <v>berat</v>
      </c>
      <c r="AW35" s="406">
        <v>1</v>
      </c>
      <c r="AX35" s="407"/>
      <c r="AY35" s="408"/>
      <c r="AZ35" s="409"/>
    </row>
    <row r="36" spans="1:52" x14ac:dyDescent="0.2">
      <c r="A36" s="399">
        <v>23</v>
      </c>
      <c r="B36" s="400" t="s">
        <v>324</v>
      </c>
      <c r="C36" s="348"/>
      <c r="D36" s="348"/>
      <c r="E36" s="348"/>
      <c r="F36" s="329"/>
      <c r="G36" s="392">
        <v>21.3</v>
      </c>
      <c r="H36" s="392">
        <v>1.41</v>
      </c>
      <c r="I36" s="418">
        <v>17.2</v>
      </c>
      <c r="J36" s="418">
        <v>49.4</v>
      </c>
      <c r="K36" s="392">
        <v>1.7999999999999999E-2</v>
      </c>
      <c r="L36" s="362">
        <v>2130000</v>
      </c>
      <c r="M36" s="393">
        <v>1.93</v>
      </c>
      <c r="N36" s="393">
        <v>7.41</v>
      </c>
      <c r="O36" s="378">
        <v>50</v>
      </c>
      <c r="P36" s="378">
        <v>4</v>
      </c>
      <c r="Q36" s="378">
        <v>3</v>
      </c>
      <c r="R36" s="378">
        <v>25</v>
      </c>
      <c r="S36" s="378">
        <v>0.2</v>
      </c>
      <c r="T36" s="378">
        <v>1000</v>
      </c>
      <c r="U36" s="378">
        <v>10</v>
      </c>
      <c r="V36" s="378">
        <v>6</v>
      </c>
      <c r="W36" s="378" t="s">
        <v>201</v>
      </c>
      <c r="X36" s="378">
        <v>9</v>
      </c>
      <c r="Y36" s="379">
        <f t="shared" si="11"/>
        <v>0.42599999999999999</v>
      </c>
      <c r="Z36" s="379">
        <f t="shared" si="15"/>
        <v>0.46583333333333332</v>
      </c>
      <c r="AA36" s="379">
        <f t="shared" si="16"/>
        <v>5.7333333333333334</v>
      </c>
      <c r="AB36" s="379">
        <f t="shared" si="16"/>
        <v>1.976</v>
      </c>
      <c r="AC36" s="379">
        <f t="shared" si="16"/>
        <v>8.9999999999999983E-2</v>
      </c>
      <c r="AD36" s="379">
        <f t="shared" si="16"/>
        <v>2130</v>
      </c>
      <c r="AE36" s="379">
        <f t="shared" si="12"/>
        <v>0.193</v>
      </c>
      <c r="AF36" s="379">
        <f t="shared" si="13"/>
        <v>6.3829787234042451E-2</v>
      </c>
      <c r="AG36" s="382">
        <f t="shared" si="14"/>
        <v>0.42599999999999999</v>
      </c>
      <c r="AH36" s="382">
        <f t="shared" si="14"/>
        <v>0.46583333333333332</v>
      </c>
      <c r="AI36" s="382">
        <f t="shared" si="14"/>
        <v>4.7920359609394323</v>
      </c>
      <c r="AJ36" s="382">
        <f t="shared" si="14"/>
        <v>2.4789347012580465</v>
      </c>
      <c r="AK36" s="382">
        <f t="shared" si="14"/>
        <v>8.9999999999999983E-2</v>
      </c>
      <c r="AL36" s="382">
        <f t="shared" si="14"/>
        <v>17.641898017193689</v>
      </c>
      <c r="AM36" s="382">
        <f t="shared" si="14"/>
        <v>0.193</v>
      </c>
      <c r="AN36" s="382">
        <f t="shared" si="14"/>
        <v>6.3829787234042451E-2</v>
      </c>
      <c r="AO36" s="394">
        <f t="shared" si="6"/>
        <v>3.268941474994818</v>
      </c>
      <c r="AP36" s="395">
        <f t="shared" si="7"/>
        <v>17.641898017193689</v>
      </c>
      <c r="AQ36" s="396">
        <f t="shared" si="8"/>
        <v>10.685978366941297</v>
      </c>
      <c r="AR36" s="396">
        <f t="shared" si="8"/>
        <v>311.23656564906264</v>
      </c>
      <c r="AS36" s="397">
        <f t="shared" si="9"/>
        <v>12.687051351988845</v>
      </c>
      <c r="AT36" s="410" t="str">
        <f t="shared" si="10"/>
        <v>berat</v>
      </c>
      <c r="AW36" s="406">
        <v>1</v>
      </c>
      <c r="AX36" s="407"/>
      <c r="AY36" s="408"/>
      <c r="AZ36" s="409"/>
    </row>
    <row r="37" spans="1:52" x14ac:dyDescent="0.2">
      <c r="A37" s="399">
        <v>24</v>
      </c>
      <c r="B37" s="400" t="s">
        <v>328</v>
      </c>
      <c r="C37" s="348"/>
      <c r="D37" s="348"/>
      <c r="E37" s="348"/>
      <c r="F37" s="329"/>
      <c r="G37" s="392">
        <v>16.8</v>
      </c>
      <c r="H37" s="392">
        <v>0.75</v>
      </c>
      <c r="I37" s="418">
        <v>23.3</v>
      </c>
      <c r="J37" s="418">
        <v>86.4</v>
      </c>
      <c r="K37" s="392">
        <v>1.7999999999999999E-2</v>
      </c>
      <c r="L37" s="362">
        <v>2970000</v>
      </c>
      <c r="M37" s="393">
        <v>1.1200000000000001</v>
      </c>
      <c r="N37" s="393">
        <v>7.34</v>
      </c>
      <c r="O37" s="378">
        <v>50</v>
      </c>
      <c r="P37" s="378">
        <v>4</v>
      </c>
      <c r="Q37" s="378">
        <v>3</v>
      </c>
      <c r="R37" s="378">
        <v>25</v>
      </c>
      <c r="S37" s="378">
        <v>0.2</v>
      </c>
      <c r="T37" s="378">
        <v>1000</v>
      </c>
      <c r="U37" s="378">
        <v>10</v>
      </c>
      <c r="V37" s="378">
        <v>6</v>
      </c>
      <c r="W37" s="378" t="s">
        <v>201</v>
      </c>
      <c r="X37" s="378">
        <v>9</v>
      </c>
      <c r="Y37" s="379">
        <f t="shared" si="11"/>
        <v>0.33600000000000002</v>
      </c>
      <c r="Z37" s="379">
        <f t="shared" si="15"/>
        <v>0.52083333333333337</v>
      </c>
      <c r="AA37" s="379">
        <f t="shared" si="16"/>
        <v>7.7666666666666666</v>
      </c>
      <c r="AB37" s="379">
        <f t="shared" si="16"/>
        <v>3.4560000000000004</v>
      </c>
      <c r="AC37" s="379">
        <f t="shared" si="16"/>
        <v>8.9999999999999983E-2</v>
      </c>
      <c r="AD37" s="379">
        <f t="shared" si="16"/>
        <v>2970</v>
      </c>
      <c r="AE37" s="379">
        <f t="shared" si="12"/>
        <v>0.11200000000000002</v>
      </c>
      <c r="AF37" s="379">
        <f t="shared" si="13"/>
        <v>0.11940298507462699</v>
      </c>
      <c r="AG37" s="382">
        <f t="shared" si="14"/>
        <v>0.33600000000000002</v>
      </c>
      <c r="AH37" s="382">
        <f t="shared" si="14"/>
        <v>0.52083333333333337</v>
      </c>
      <c r="AI37" s="382">
        <f t="shared" si="14"/>
        <v>5.4511733315317823</v>
      </c>
      <c r="AJ37" s="382">
        <f t="shared" si="14"/>
        <v>3.6928686690342785</v>
      </c>
      <c r="AK37" s="382">
        <f t="shared" si="14"/>
        <v>8.9999999999999983E-2</v>
      </c>
      <c r="AL37" s="382">
        <f t="shared" si="14"/>
        <v>18.363782246586062</v>
      </c>
      <c r="AM37" s="382">
        <f t="shared" si="14"/>
        <v>0.11200000000000002</v>
      </c>
      <c r="AN37" s="382">
        <f t="shared" si="14"/>
        <v>0.11940298507462699</v>
      </c>
      <c r="AO37" s="394">
        <f t="shared" si="6"/>
        <v>3.58575757069501</v>
      </c>
      <c r="AP37" s="395">
        <f t="shared" si="7"/>
        <v>18.363782246586062</v>
      </c>
      <c r="AQ37" s="396">
        <f t="shared" si="8"/>
        <v>12.857657355796579</v>
      </c>
      <c r="AR37" s="396">
        <f t="shared" si="8"/>
        <v>337.22849840002942</v>
      </c>
      <c r="AS37" s="397">
        <f t="shared" si="9"/>
        <v>13.230384645879083</v>
      </c>
      <c r="AT37" s="410" t="str">
        <f t="shared" si="10"/>
        <v>berat</v>
      </c>
      <c r="AW37" s="406">
        <v>1</v>
      </c>
      <c r="AX37" s="407"/>
      <c r="AY37" s="408"/>
      <c r="AZ37" s="409"/>
    </row>
    <row r="38" spans="1:52" x14ac:dyDescent="0.2">
      <c r="A38" s="399">
        <v>25</v>
      </c>
      <c r="B38" s="400" t="s">
        <v>358</v>
      </c>
      <c r="C38" s="348"/>
      <c r="D38" s="348"/>
      <c r="E38" s="348"/>
      <c r="F38" s="329"/>
      <c r="G38" s="392">
        <v>3.17</v>
      </c>
      <c r="H38" s="392">
        <v>3.63</v>
      </c>
      <c r="I38" s="418">
        <v>101</v>
      </c>
      <c r="J38" s="418">
        <v>256</v>
      </c>
      <c r="K38" s="392">
        <v>0.11799999999999999</v>
      </c>
      <c r="L38" s="362">
        <v>40000</v>
      </c>
      <c r="M38" s="393">
        <v>1.2</v>
      </c>
      <c r="N38" s="393">
        <v>7.42</v>
      </c>
      <c r="O38" s="378">
        <v>50</v>
      </c>
      <c r="P38" s="378">
        <v>4</v>
      </c>
      <c r="Q38" s="378">
        <v>3</v>
      </c>
      <c r="R38" s="378">
        <v>25</v>
      </c>
      <c r="S38" s="378">
        <v>0.2</v>
      </c>
      <c r="T38" s="378">
        <v>1000</v>
      </c>
      <c r="U38" s="378">
        <v>10</v>
      </c>
      <c r="V38" s="378">
        <v>6</v>
      </c>
      <c r="W38" s="378" t="s">
        <v>201</v>
      </c>
      <c r="X38" s="378">
        <v>9</v>
      </c>
      <c r="Y38" s="379">
        <f t="shared" si="11"/>
        <v>6.3399999999999998E-2</v>
      </c>
      <c r="Z38" s="379">
        <f t="shared" si="15"/>
        <v>0.28083333333333332</v>
      </c>
      <c r="AA38" s="379">
        <f t="shared" si="16"/>
        <v>33.666666666666664</v>
      </c>
      <c r="AB38" s="379">
        <f t="shared" si="16"/>
        <v>10.24</v>
      </c>
      <c r="AC38" s="379">
        <f t="shared" si="16"/>
        <v>0.59</v>
      </c>
      <c r="AD38" s="379">
        <f t="shared" si="16"/>
        <v>40</v>
      </c>
      <c r="AE38" s="379">
        <f t="shared" si="12"/>
        <v>0.12</v>
      </c>
      <c r="AF38" s="379">
        <f t="shared" si="13"/>
        <v>5.6338028169014134E-2</v>
      </c>
      <c r="AG38" s="382">
        <f t="shared" si="14"/>
        <v>6.3399999999999998E-2</v>
      </c>
      <c r="AH38" s="382">
        <f t="shared" si="14"/>
        <v>0.28083333333333332</v>
      </c>
      <c r="AI38" s="382">
        <f t="shared" si="14"/>
        <v>8.6360005953149006</v>
      </c>
      <c r="AJ38" s="382">
        <f t="shared" si="14"/>
        <v>6.0514997831990591</v>
      </c>
      <c r="AK38" s="382">
        <f t="shared" si="14"/>
        <v>0.59</v>
      </c>
      <c r="AL38" s="382">
        <f t="shared" si="14"/>
        <v>9.0102999566398108</v>
      </c>
      <c r="AM38" s="382">
        <f t="shared" si="14"/>
        <v>0.12</v>
      </c>
      <c r="AN38" s="382">
        <f t="shared" si="14"/>
        <v>5.6338028169014134E-2</v>
      </c>
      <c r="AO38" s="394">
        <f t="shared" si="6"/>
        <v>3.1010464620820151</v>
      </c>
      <c r="AP38" s="395">
        <f t="shared" si="7"/>
        <v>9.0102999566398108</v>
      </c>
      <c r="AQ38" s="396">
        <f t="shared" si="8"/>
        <v>9.6164891599913833</v>
      </c>
      <c r="AR38" s="396">
        <f t="shared" si="8"/>
        <v>81.185505308623377</v>
      </c>
      <c r="AS38" s="397">
        <f t="shared" si="9"/>
        <v>6.7380262120525609</v>
      </c>
      <c r="AT38" s="411" t="str">
        <f t="shared" si="10"/>
        <v>sedang</v>
      </c>
      <c r="AW38" s="406"/>
      <c r="AX38" s="407">
        <v>1</v>
      </c>
      <c r="AY38" s="408"/>
      <c r="AZ38" s="409"/>
    </row>
    <row r="39" spans="1:52" x14ac:dyDescent="0.2">
      <c r="A39" s="399">
        <v>26</v>
      </c>
      <c r="B39" s="400" t="s">
        <v>359</v>
      </c>
      <c r="C39" s="348"/>
      <c r="D39" s="348"/>
      <c r="E39" s="348"/>
      <c r="F39" s="329"/>
      <c r="G39" s="392">
        <v>11.2</v>
      </c>
      <c r="H39" s="392">
        <v>2.16</v>
      </c>
      <c r="I39" s="418">
        <v>86</v>
      </c>
      <c r="J39" s="418">
        <v>243</v>
      </c>
      <c r="K39" s="392">
        <v>1.7999999999999999E-2</v>
      </c>
      <c r="L39" s="362">
        <v>399000</v>
      </c>
      <c r="M39" s="393">
        <v>2.62</v>
      </c>
      <c r="N39" s="393">
        <v>7.52</v>
      </c>
      <c r="O39" s="378">
        <v>50</v>
      </c>
      <c r="P39" s="378">
        <v>4</v>
      </c>
      <c r="Q39" s="378">
        <v>3</v>
      </c>
      <c r="R39" s="378">
        <v>25</v>
      </c>
      <c r="S39" s="378">
        <v>0.2</v>
      </c>
      <c r="T39" s="378">
        <v>1000</v>
      </c>
      <c r="U39" s="378">
        <v>10</v>
      </c>
      <c r="V39" s="378">
        <v>6</v>
      </c>
      <c r="W39" s="378" t="s">
        <v>201</v>
      </c>
      <c r="X39" s="378">
        <v>9</v>
      </c>
      <c r="Y39" s="379">
        <f t="shared" si="11"/>
        <v>0.22399999999999998</v>
      </c>
      <c r="Z39" s="379">
        <f t="shared" si="15"/>
        <v>0.40333333333333332</v>
      </c>
      <c r="AA39" s="379">
        <f t="shared" si="16"/>
        <v>28.666666666666668</v>
      </c>
      <c r="AB39" s="379">
        <f t="shared" si="16"/>
        <v>9.7200000000000006</v>
      </c>
      <c r="AC39" s="379">
        <f t="shared" si="16"/>
        <v>8.9999999999999983E-2</v>
      </c>
      <c r="AD39" s="379">
        <f t="shared" si="16"/>
        <v>399</v>
      </c>
      <c r="AE39" s="379">
        <f t="shared" si="12"/>
        <v>0.26200000000000001</v>
      </c>
      <c r="AF39" s="379">
        <f t="shared" si="13"/>
        <v>1.3513513513513221E-2</v>
      </c>
      <c r="AG39" s="382">
        <f t="shared" si="14"/>
        <v>0.22399999999999998</v>
      </c>
      <c r="AH39" s="382">
        <f t="shared" si="14"/>
        <v>0.40333333333333332</v>
      </c>
      <c r="AI39" s="382">
        <f t="shared" si="14"/>
        <v>8.2868859826195269</v>
      </c>
      <c r="AJ39" s="382">
        <f t="shared" si="14"/>
        <v>5.9383313246313731</v>
      </c>
      <c r="AK39" s="382">
        <f t="shared" si="14"/>
        <v>8.9999999999999983E-2</v>
      </c>
      <c r="AL39" s="382">
        <f t="shared" si="14"/>
        <v>14.004864478433742</v>
      </c>
      <c r="AM39" s="382">
        <f t="shared" si="14"/>
        <v>0.26200000000000001</v>
      </c>
      <c r="AN39" s="382">
        <f t="shared" si="14"/>
        <v>1.3513513513513221E-2</v>
      </c>
      <c r="AO39" s="394">
        <f t="shared" si="6"/>
        <v>3.652866079066436</v>
      </c>
      <c r="AP39" s="395">
        <f t="shared" si="7"/>
        <v>14.004864478433742</v>
      </c>
      <c r="AQ39" s="396">
        <f t="shared" si="8"/>
        <v>13.343430591594197</v>
      </c>
      <c r="AR39" s="396">
        <f t="shared" si="8"/>
        <v>196.1362290592952</v>
      </c>
      <c r="AS39" s="397">
        <f t="shared" si="9"/>
        <v>10.234247887629296</v>
      </c>
      <c r="AT39" s="410" t="str">
        <f t="shared" si="10"/>
        <v>berat</v>
      </c>
      <c r="AW39" s="406">
        <v>1</v>
      </c>
      <c r="AX39" s="407"/>
      <c r="AY39" s="408"/>
      <c r="AZ39" s="409"/>
    </row>
    <row r="40" spans="1:52" x14ac:dyDescent="0.2">
      <c r="A40" s="399">
        <v>27</v>
      </c>
      <c r="B40" s="400" t="s">
        <v>360</v>
      </c>
      <c r="C40" s="348"/>
      <c r="D40" s="348"/>
      <c r="E40" s="348"/>
      <c r="F40" s="329"/>
      <c r="G40" s="392">
        <v>7.78</v>
      </c>
      <c r="H40" s="392">
        <v>3.85</v>
      </c>
      <c r="I40" s="418">
        <v>9.6199999999999992</v>
      </c>
      <c r="J40" s="392">
        <v>24.8</v>
      </c>
      <c r="K40" s="392">
        <v>1.7999999999999999E-2</v>
      </c>
      <c r="L40" s="362">
        <v>41000</v>
      </c>
      <c r="M40" s="393">
        <v>2.9</v>
      </c>
      <c r="N40" s="393">
        <v>7.67</v>
      </c>
      <c r="O40" s="378">
        <v>50</v>
      </c>
      <c r="P40" s="378">
        <v>4</v>
      </c>
      <c r="Q40" s="378">
        <v>3</v>
      </c>
      <c r="R40" s="378">
        <v>25</v>
      </c>
      <c r="S40" s="378">
        <v>0.2</v>
      </c>
      <c r="T40" s="378">
        <v>1000</v>
      </c>
      <c r="U40" s="378">
        <v>10</v>
      </c>
      <c r="V40" s="378">
        <v>6</v>
      </c>
      <c r="W40" s="378" t="s">
        <v>201</v>
      </c>
      <c r="X40" s="378">
        <v>9</v>
      </c>
      <c r="Y40" s="379">
        <f t="shared" si="11"/>
        <v>0.15560000000000002</v>
      </c>
      <c r="Z40" s="379">
        <f t="shared" si="15"/>
        <v>0.26250000000000001</v>
      </c>
      <c r="AA40" s="379">
        <f t="shared" si="16"/>
        <v>3.2066666666666666</v>
      </c>
      <c r="AB40" s="379">
        <f t="shared" si="16"/>
        <v>0.99199999999999999</v>
      </c>
      <c r="AC40" s="379">
        <f t="shared" si="16"/>
        <v>8.9999999999999983E-2</v>
      </c>
      <c r="AD40" s="379">
        <f t="shared" si="16"/>
        <v>41</v>
      </c>
      <c r="AE40" s="379">
        <f t="shared" si="12"/>
        <v>0.28999999999999998</v>
      </c>
      <c r="AF40" s="379">
        <f t="shared" si="13"/>
        <v>0.12781954887218039</v>
      </c>
      <c r="AG40" s="382">
        <f t="shared" si="14"/>
        <v>0.15560000000000002</v>
      </c>
      <c r="AH40" s="382">
        <f t="shared" si="14"/>
        <v>0.26250000000000001</v>
      </c>
      <c r="AI40" s="382">
        <f t="shared" si="14"/>
        <v>3.5302690865907524</v>
      </c>
      <c r="AJ40" s="382">
        <f t="shared" si="14"/>
        <v>0.99199999999999999</v>
      </c>
      <c r="AK40" s="382">
        <f t="shared" si="14"/>
        <v>8.9999999999999983E-2</v>
      </c>
      <c r="AL40" s="382">
        <f t="shared" si="14"/>
        <v>9.0639192835986773</v>
      </c>
      <c r="AM40" s="382">
        <f t="shared" si="14"/>
        <v>0.28999999999999998</v>
      </c>
      <c r="AN40" s="382">
        <f t="shared" si="14"/>
        <v>0.12781954887218039</v>
      </c>
      <c r="AO40" s="394">
        <f t="shared" si="6"/>
        <v>1.8140134898827012</v>
      </c>
      <c r="AP40" s="395">
        <f t="shared" si="7"/>
        <v>9.0639192835986773</v>
      </c>
      <c r="AQ40" s="396">
        <f t="shared" si="8"/>
        <v>3.2906449414764167</v>
      </c>
      <c r="AR40" s="396">
        <f t="shared" si="8"/>
        <v>82.154632779591964</v>
      </c>
      <c r="AS40" s="397">
        <f t="shared" si="9"/>
        <v>6.5362557217824788</v>
      </c>
      <c r="AT40" s="411" t="str">
        <f t="shared" si="10"/>
        <v>sedang</v>
      </c>
      <c r="AW40" s="406"/>
      <c r="AX40" s="407">
        <v>1</v>
      </c>
      <c r="AY40" s="408"/>
      <c r="AZ40" s="409"/>
    </row>
    <row r="41" spans="1:52" x14ac:dyDescent="0.2">
      <c r="A41" s="399">
        <v>28</v>
      </c>
      <c r="B41" s="400" t="s">
        <v>27</v>
      </c>
      <c r="C41" s="348"/>
      <c r="D41" s="348"/>
      <c r="E41" s="348"/>
      <c r="F41" s="329"/>
      <c r="G41" s="418">
        <v>153</v>
      </c>
      <c r="H41" s="392">
        <v>3.17</v>
      </c>
      <c r="I41" s="418">
        <v>86</v>
      </c>
      <c r="J41" s="418">
        <v>203</v>
      </c>
      <c r="K41" s="392">
        <v>0.18</v>
      </c>
      <c r="L41" s="362">
        <v>51000</v>
      </c>
      <c r="M41" s="393">
        <v>4.76</v>
      </c>
      <c r="N41" s="393">
        <v>7.41</v>
      </c>
      <c r="O41" s="378">
        <v>50</v>
      </c>
      <c r="P41" s="378">
        <v>4</v>
      </c>
      <c r="Q41" s="378">
        <v>3</v>
      </c>
      <c r="R41" s="378">
        <v>25</v>
      </c>
      <c r="S41" s="378">
        <v>0.2</v>
      </c>
      <c r="T41" s="378">
        <v>1000</v>
      </c>
      <c r="U41" s="378">
        <v>10</v>
      </c>
      <c r="V41" s="378">
        <v>6</v>
      </c>
      <c r="W41" s="378" t="s">
        <v>201</v>
      </c>
      <c r="X41" s="378">
        <v>9</v>
      </c>
      <c r="Y41" s="379">
        <f t="shared" si="11"/>
        <v>3.06</v>
      </c>
      <c r="Z41" s="379">
        <f t="shared" si="15"/>
        <v>0.31916666666666665</v>
      </c>
      <c r="AA41" s="379">
        <f t="shared" si="16"/>
        <v>28.666666666666668</v>
      </c>
      <c r="AB41" s="379">
        <f t="shared" si="16"/>
        <v>8.1199999999999992</v>
      </c>
      <c r="AC41" s="379">
        <f t="shared" si="16"/>
        <v>0.89999999999999991</v>
      </c>
      <c r="AD41" s="379">
        <f t="shared" si="16"/>
        <v>51</v>
      </c>
      <c r="AE41" s="379">
        <f t="shared" si="12"/>
        <v>0.47599999999999998</v>
      </c>
      <c r="AF41" s="379">
        <f t="shared" si="13"/>
        <v>6.3829787234042451E-2</v>
      </c>
      <c r="AG41" s="382">
        <f t="shared" si="14"/>
        <v>3.4286071324079002</v>
      </c>
      <c r="AH41" s="382">
        <f t="shared" si="14"/>
        <v>0.31916666666666665</v>
      </c>
      <c r="AI41" s="382">
        <f t="shared" si="14"/>
        <v>8.2868859826195269</v>
      </c>
      <c r="AJ41" s="382">
        <f t="shared" si="14"/>
        <v>5.5477801462058762</v>
      </c>
      <c r="AK41" s="382">
        <f t="shared" si="14"/>
        <v>0.89999999999999991</v>
      </c>
      <c r="AL41" s="382">
        <f t="shared" si="14"/>
        <v>9.5378508804896818</v>
      </c>
      <c r="AM41" s="382">
        <f t="shared" si="14"/>
        <v>0.47599999999999998</v>
      </c>
      <c r="AN41" s="382">
        <f t="shared" si="14"/>
        <v>6.3829787234042451E-2</v>
      </c>
      <c r="AO41" s="394">
        <f t="shared" si="6"/>
        <v>3.5700150744529613</v>
      </c>
      <c r="AP41" s="395">
        <f t="shared" si="7"/>
        <v>9.5378508804896818</v>
      </c>
      <c r="AQ41" s="396">
        <f t="shared" si="8"/>
        <v>12.745007631821382</v>
      </c>
      <c r="AR41" s="396">
        <f t="shared" si="8"/>
        <v>90.970599418457795</v>
      </c>
      <c r="AS41" s="397">
        <f t="shared" si="9"/>
        <v>7.2012362497795879</v>
      </c>
      <c r="AT41" s="411" t="str">
        <f t="shared" si="10"/>
        <v>sedang</v>
      </c>
      <c r="AW41" s="406"/>
      <c r="AX41" s="407">
        <v>1</v>
      </c>
      <c r="AY41" s="408"/>
      <c r="AZ41" s="409"/>
    </row>
    <row r="42" spans="1:52" x14ac:dyDescent="0.2">
      <c r="A42" s="399">
        <v>29</v>
      </c>
      <c r="B42" s="400" t="s">
        <v>28</v>
      </c>
      <c r="C42" s="348"/>
      <c r="D42" s="348"/>
      <c r="E42" s="348"/>
      <c r="F42" s="329"/>
      <c r="G42" s="418">
        <v>118</v>
      </c>
      <c r="H42" s="418">
        <v>4.59</v>
      </c>
      <c r="I42" s="418">
        <v>57.7</v>
      </c>
      <c r="J42" s="418">
        <v>178</v>
      </c>
      <c r="K42" s="392">
        <v>1.7999999999999999E-2</v>
      </c>
      <c r="L42" s="362">
        <v>1040000</v>
      </c>
      <c r="M42" s="393">
        <v>2.89</v>
      </c>
      <c r="N42" s="393">
        <v>7.35</v>
      </c>
      <c r="O42" s="378">
        <v>50</v>
      </c>
      <c r="P42" s="378">
        <v>4</v>
      </c>
      <c r="Q42" s="378">
        <v>3</v>
      </c>
      <c r="R42" s="378">
        <v>25</v>
      </c>
      <c r="S42" s="378">
        <v>0.2</v>
      </c>
      <c r="T42" s="378">
        <v>1000</v>
      </c>
      <c r="U42" s="378">
        <v>10</v>
      </c>
      <c r="V42" s="378">
        <v>6</v>
      </c>
      <c r="W42" s="378" t="s">
        <v>201</v>
      </c>
      <c r="X42" s="378">
        <v>9</v>
      </c>
      <c r="Y42" s="379">
        <f t="shared" si="11"/>
        <v>2.36</v>
      </c>
      <c r="Z42" s="379">
        <f t="shared" si="15"/>
        <v>0.20083333333333334</v>
      </c>
      <c r="AA42" s="379">
        <f t="shared" si="16"/>
        <v>19.233333333333334</v>
      </c>
      <c r="AB42" s="379">
        <f t="shared" si="16"/>
        <v>7.12</v>
      </c>
      <c r="AC42" s="379">
        <f t="shared" si="16"/>
        <v>8.9999999999999983E-2</v>
      </c>
      <c r="AD42" s="379">
        <f t="shared" si="16"/>
        <v>1040</v>
      </c>
      <c r="AE42" s="379">
        <f t="shared" si="12"/>
        <v>0.28900000000000003</v>
      </c>
      <c r="AF42" s="379">
        <f t="shared" si="13"/>
        <v>0.11111111111111141</v>
      </c>
      <c r="AG42" s="382">
        <f t="shared" si="14"/>
        <v>2.8645600148505328</v>
      </c>
      <c r="AH42" s="382">
        <f t="shared" si="14"/>
        <v>0.20083333333333334</v>
      </c>
      <c r="AI42" s="382">
        <f t="shared" si="14"/>
        <v>7.4202727921803451</v>
      </c>
      <c r="AJ42" s="382">
        <f t="shared" si="14"/>
        <v>5.2623999681842815</v>
      </c>
      <c r="AK42" s="382">
        <f t="shared" si="14"/>
        <v>8.9999999999999983E-2</v>
      </c>
      <c r="AL42" s="382">
        <f t="shared" si="14"/>
        <v>16.0851666964939</v>
      </c>
      <c r="AM42" s="382">
        <f t="shared" si="14"/>
        <v>0.28900000000000003</v>
      </c>
      <c r="AN42" s="382">
        <f t="shared" si="14"/>
        <v>0.11111111111111141</v>
      </c>
      <c r="AO42" s="394">
        <f t="shared" si="6"/>
        <v>4.0404179895191881</v>
      </c>
      <c r="AP42" s="395">
        <f t="shared" si="7"/>
        <v>16.0851666964939</v>
      </c>
      <c r="AQ42" s="396">
        <f t="shared" si="8"/>
        <v>16.324977530030278</v>
      </c>
      <c r="AR42" s="396">
        <f t="shared" si="8"/>
        <v>258.73258765399646</v>
      </c>
      <c r="AS42" s="397">
        <f t="shared" si="9"/>
        <v>11.727266629185735</v>
      </c>
      <c r="AT42" s="410" t="str">
        <f t="shared" si="10"/>
        <v>berat</v>
      </c>
      <c r="AW42" s="406">
        <v>1</v>
      </c>
      <c r="AX42" s="407"/>
      <c r="AY42" s="408"/>
      <c r="AZ42" s="409"/>
    </row>
    <row r="43" spans="1:52" x14ac:dyDescent="0.2">
      <c r="A43" s="399">
        <v>30</v>
      </c>
      <c r="B43" s="400" t="s">
        <v>29</v>
      </c>
      <c r="C43" s="348"/>
      <c r="D43" s="348"/>
      <c r="E43" s="348"/>
      <c r="F43" s="329"/>
      <c r="G43" s="418">
        <v>86.8</v>
      </c>
      <c r="H43" s="392">
        <v>2.25</v>
      </c>
      <c r="I43" s="418">
        <v>46.6</v>
      </c>
      <c r="J43" s="418">
        <v>148</v>
      </c>
      <c r="K43" s="392">
        <v>1.7999999999999999E-2</v>
      </c>
      <c r="L43" s="362">
        <v>1420000</v>
      </c>
      <c r="M43" s="393">
        <v>1.95</v>
      </c>
      <c r="N43" s="393">
        <v>7.47</v>
      </c>
      <c r="O43" s="378">
        <v>50</v>
      </c>
      <c r="P43" s="378">
        <v>4</v>
      </c>
      <c r="Q43" s="378">
        <v>3</v>
      </c>
      <c r="R43" s="378">
        <v>25</v>
      </c>
      <c r="S43" s="378">
        <v>0.2</v>
      </c>
      <c r="T43" s="378">
        <v>1000</v>
      </c>
      <c r="U43" s="378">
        <v>10</v>
      </c>
      <c r="V43" s="378">
        <v>6</v>
      </c>
      <c r="W43" s="378" t="s">
        <v>201</v>
      </c>
      <c r="X43" s="378">
        <v>9</v>
      </c>
      <c r="Y43" s="379">
        <f t="shared" si="11"/>
        <v>1.736</v>
      </c>
      <c r="Z43" s="379">
        <f t="shared" si="15"/>
        <v>0.39583333333333331</v>
      </c>
      <c r="AA43" s="379">
        <f t="shared" si="16"/>
        <v>15.533333333333333</v>
      </c>
      <c r="AB43" s="379">
        <f t="shared" si="16"/>
        <v>5.92</v>
      </c>
      <c r="AC43" s="379">
        <f t="shared" si="16"/>
        <v>8.9999999999999983E-2</v>
      </c>
      <c r="AD43" s="379">
        <f t="shared" si="16"/>
        <v>1420</v>
      </c>
      <c r="AE43" s="379">
        <f t="shared" si="12"/>
        <v>0.19500000000000001</v>
      </c>
      <c r="AF43" s="379">
        <f t="shared" si="13"/>
        <v>2.0408163265306294E-2</v>
      </c>
      <c r="AG43" s="382">
        <f t="shared" si="14"/>
        <v>2.1977486042023653</v>
      </c>
      <c r="AH43" s="382">
        <f t="shared" si="14"/>
        <v>0.39583333333333331</v>
      </c>
      <c r="AI43" s="382">
        <f t="shared" si="14"/>
        <v>6.9563233098516886</v>
      </c>
      <c r="AJ43" s="382">
        <f t="shared" si="14"/>
        <v>4.8616085336145991</v>
      </c>
      <c r="AK43" s="382">
        <f t="shared" si="14"/>
        <v>8.9999999999999983E-2</v>
      </c>
      <c r="AL43" s="382">
        <f t="shared" si="14"/>
        <v>16.761441721915283</v>
      </c>
      <c r="AM43" s="382">
        <f t="shared" si="14"/>
        <v>0.19500000000000001</v>
      </c>
      <c r="AN43" s="382">
        <f t="shared" si="14"/>
        <v>2.0408163265306294E-2</v>
      </c>
      <c r="AO43" s="394">
        <f t="shared" si="6"/>
        <v>3.9347954582728217</v>
      </c>
      <c r="AP43" s="395">
        <f t="shared" si="7"/>
        <v>16.761441721915283</v>
      </c>
      <c r="AQ43" s="396">
        <f t="shared" si="8"/>
        <v>15.482615298444426</v>
      </c>
      <c r="AR43" s="396">
        <f t="shared" si="8"/>
        <v>280.94592859716238</v>
      </c>
      <c r="AS43" s="397">
        <f t="shared" si="9"/>
        <v>12.174328398224002</v>
      </c>
      <c r="AT43" s="410" t="str">
        <f t="shared" si="10"/>
        <v>berat</v>
      </c>
      <c r="AW43" s="406">
        <v>1</v>
      </c>
      <c r="AX43" s="407"/>
      <c r="AY43" s="408"/>
      <c r="AZ43" s="409"/>
    </row>
    <row r="44" spans="1:52" x14ac:dyDescent="0.2">
      <c r="A44" s="387" t="s">
        <v>208</v>
      </c>
      <c r="B44" s="400"/>
      <c r="C44" s="400"/>
      <c r="D44" s="414"/>
      <c r="E44" s="414"/>
      <c r="F44" s="391"/>
      <c r="G44" s="392"/>
      <c r="H44" s="392"/>
      <c r="I44" s="392"/>
      <c r="J44" s="392"/>
      <c r="K44" s="392"/>
      <c r="L44" s="460"/>
      <c r="M44" s="393"/>
      <c r="N44" s="393"/>
      <c r="O44" s="378"/>
      <c r="P44" s="378"/>
      <c r="Q44" s="378"/>
      <c r="R44" s="378"/>
      <c r="S44" s="378"/>
      <c r="T44" s="378"/>
      <c r="U44" s="378"/>
      <c r="V44" s="378"/>
      <c r="W44" s="378"/>
      <c r="X44" s="378"/>
      <c r="Y44" s="379"/>
      <c r="Z44" s="379"/>
      <c r="AA44" s="379"/>
      <c r="AB44" s="379"/>
      <c r="AC44" s="379"/>
      <c r="AD44" s="379"/>
      <c r="AE44" s="379"/>
      <c r="AF44" s="379"/>
      <c r="AG44" s="382"/>
      <c r="AH44" s="382"/>
      <c r="AI44" s="382"/>
      <c r="AJ44" s="382"/>
      <c r="AK44" s="382"/>
      <c r="AL44" s="382"/>
      <c r="AM44" s="382"/>
      <c r="AN44" s="382"/>
      <c r="AO44" s="394"/>
      <c r="AP44" s="395"/>
      <c r="AQ44" s="396"/>
      <c r="AR44" s="396"/>
      <c r="AS44" s="397"/>
      <c r="AT44" s="416"/>
      <c r="AW44" s="417"/>
      <c r="AX44" s="417"/>
      <c r="AY44" s="417"/>
      <c r="AZ44" s="417"/>
    </row>
    <row r="45" spans="1:52" x14ac:dyDescent="0.2">
      <c r="A45" s="399">
        <v>31</v>
      </c>
      <c r="B45" s="400" t="s">
        <v>21</v>
      </c>
      <c r="C45" s="348"/>
      <c r="D45" s="348"/>
      <c r="E45" s="348"/>
      <c r="F45" s="391"/>
      <c r="G45" s="422">
        <v>26.7</v>
      </c>
      <c r="H45" s="419">
        <v>4.2300000000000004</v>
      </c>
      <c r="I45" s="419">
        <v>12.2</v>
      </c>
      <c r="J45" s="419">
        <v>40.299999999999997</v>
      </c>
      <c r="K45" s="422">
        <v>1.7999999999999999E-2</v>
      </c>
      <c r="L45" s="481" t="s">
        <v>368</v>
      </c>
      <c r="M45" s="420">
        <v>3.28</v>
      </c>
      <c r="N45" s="420">
        <v>7.26</v>
      </c>
      <c r="O45" s="378">
        <v>50</v>
      </c>
      <c r="P45" s="378">
        <v>4</v>
      </c>
      <c r="Q45" s="378">
        <v>3</v>
      </c>
      <c r="R45" s="378">
        <v>25</v>
      </c>
      <c r="S45" s="378">
        <v>0.2</v>
      </c>
      <c r="T45" s="378">
        <v>1000</v>
      </c>
      <c r="U45" s="378">
        <v>10</v>
      </c>
      <c r="V45" s="378">
        <v>6</v>
      </c>
      <c r="W45" s="378" t="s">
        <v>201</v>
      </c>
      <c r="X45" s="378">
        <v>9</v>
      </c>
      <c r="Y45" s="379">
        <f>G45/O45</f>
        <v>0.53400000000000003</v>
      </c>
      <c r="Z45" s="379">
        <f>((7-H45)/(7-P45))/P45</f>
        <v>0.23083333333333331</v>
      </c>
      <c r="AA45" s="379">
        <f t="shared" ref="AA45:AE59" si="17">I45/Q45</f>
        <v>4.0666666666666664</v>
      </c>
      <c r="AB45" s="379">
        <f t="shared" si="17"/>
        <v>1.6119999999999999</v>
      </c>
      <c r="AC45" s="379">
        <f t="shared" si="17"/>
        <v>8.9999999999999983E-2</v>
      </c>
      <c r="AD45" s="379">
        <f t="shared" si="17"/>
        <v>0</v>
      </c>
      <c r="AE45" s="379">
        <f t="shared" si="17"/>
        <v>0.32799999999999996</v>
      </c>
      <c r="AF45" s="379">
        <f t="shared" si="13"/>
        <v>0.19047619047619069</v>
      </c>
      <c r="AG45" s="382">
        <f t="shared" si="14"/>
        <v>0.53400000000000003</v>
      </c>
      <c r="AH45" s="382">
        <f t="shared" si="14"/>
        <v>0.23083333333333331</v>
      </c>
      <c r="AI45" s="382">
        <f t="shared" si="14"/>
        <v>4.046192879775429</v>
      </c>
      <c r="AJ45" s="382">
        <f t="shared" si="14"/>
        <v>2.0368251873453591</v>
      </c>
      <c r="AK45" s="382">
        <f t="shared" si="14"/>
        <v>8.9999999999999983E-2</v>
      </c>
      <c r="AL45" s="382">
        <f t="shared" si="14"/>
        <v>0</v>
      </c>
      <c r="AM45" s="382">
        <f t="shared" si="14"/>
        <v>0.32799999999999996</v>
      </c>
      <c r="AN45" s="382">
        <f t="shared" si="14"/>
        <v>0.19047619047619069</v>
      </c>
      <c r="AO45" s="394">
        <f t="shared" si="6"/>
        <v>0.93204094886628908</v>
      </c>
      <c r="AP45" s="395">
        <f t="shared" si="7"/>
        <v>4.046192879775429</v>
      </c>
      <c r="AQ45" s="396">
        <f t="shared" si="8"/>
        <v>0.86870033036357253</v>
      </c>
      <c r="AR45" s="396">
        <f t="shared" si="8"/>
        <v>16.371676820345378</v>
      </c>
      <c r="AS45" s="397">
        <f t="shared" si="9"/>
        <v>2.9360157655153141</v>
      </c>
      <c r="AT45" s="404" t="str">
        <f t="shared" si="10"/>
        <v>ringan</v>
      </c>
      <c r="AW45" s="406"/>
      <c r="AX45" s="407"/>
      <c r="AY45" s="408">
        <v>1</v>
      </c>
      <c r="AZ45" s="409"/>
    </row>
    <row r="46" spans="1:52" x14ac:dyDescent="0.2">
      <c r="A46" s="399">
        <v>32</v>
      </c>
      <c r="B46" s="400" t="s">
        <v>61</v>
      </c>
      <c r="C46" s="348"/>
      <c r="D46" s="348"/>
      <c r="E46" s="348"/>
      <c r="F46" s="391"/>
      <c r="G46" s="422">
        <v>14.6</v>
      </c>
      <c r="H46" s="419">
        <v>4.03</v>
      </c>
      <c r="I46" s="419">
        <v>19.399999999999999</v>
      </c>
      <c r="J46" s="419">
        <v>51.7</v>
      </c>
      <c r="K46" s="422">
        <v>1.7999999999999999E-2</v>
      </c>
      <c r="L46" s="358">
        <v>393000</v>
      </c>
      <c r="M46" s="420">
        <v>2.04</v>
      </c>
      <c r="N46" s="420">
        <v>7.6</v>
      </c>
      <c r="O46" s="378">
        <v>50</v>
      </c>
      <c r="P46" s="378">
        <v>4</v>
      </c>
      <c r="Q46" s="378">
        <v>3</v>
      </c>
      <c r="R46" s="378">
        <v>25</v>
      </c>
      <c r="S46" s="378">
        <v>0.2</v>
      </c>
      <c r="T46" s="378">
        <v>1000</v>
      </c>
      <c r="U46" s="378">
        <v>10</v>
      </c>
      <c r="V46" s="378">
        <v>6</v>
      </c>
      <c r="W46" s="378" t="s">
        <v>201</v>
      </c>
      <c r="X46" s="378">
        <v>9</v>
      </c>
      <c r="Y46" s="379">
        <f>G46/O46</f>
        <v>0.29199999999999998</v>
      </c>
      <c r="Z46" s="379">
        <f t="shared" ref="Z46:Z59" si="18">((7-H46)/(7-P46))/P46</f>
        <v>0.24749999999999997</v>
      </c>
      <c r="AA46" s="379">
        <f t="shared" si="17"/>
        <v>6.4666666666666659</v>
      </c>
      <c r="AB46" s="379">
        <f t="shared" si="17"/>
        <v>2.0680000000000001</v>
      </c>
      <c r="AC46" s="379">
        <f t="shared" si="17"/>
        <v>8.9999999999999983E-2</v>
      </c>
      <c r="AD46" s="379">
        <f t="shared" si="17"/>
        <v>393</v>
      </c>
      <c r="AE46" s="379">
        <f t="shared" si="17"/>
        <v>0.20400000000000001</v>
      </c>
      <c r="AF46" s="379">
        <f t="shared" si="13"/>
        <v>7.1428571428571161E-2</v>
      </c>
      <c r="AG46" s="382">
        <f t="shared" si="14"/>
        <v>0.29199999999999998</v>
      </c>
      <c r="AH46" s="382">
        <f t="shared" si="14"/>
        <v>0.24749999999999997</v>
      </c>
      <c r="AI46" s="382">
        <f t="shared" si="14"/>
        <v>5.0534023760528175</v>
      </c>
      <c r="AJ46" s="382">
        <f t="shared" si="14"/>
        <v>2.5777526721095247</v>
      </c>
      <c r="AK46" s="382">
        <f t="shared" si="14"/>
        <v>8.9999999999999983E-2</v>
      </c>
      <c r="AL46" s="382">
        <f t="shared" si="14"/>
        <v>13.971962751877133</v>
      </c>
      <c r="AM46" s="382">
        <f t="shared" si="14"/>
        <v>0.20400000000000001</v>
      </c>
      <c r="AN46" s="382">
        <f t="shared" si="14"/>
        <v>7.1428571428571161E-2</v>
      </c>
      <c r="AO46" s="394">
        <f t="shared" si="6"/>
        <v>2.8135057964335055</v>
      </c>
      <c r="AP46" s="395">
        <f t="shared" si="7"/>
        <v>13.971962751877133</v>
      </c>
      <c r="AQ46" s="396">
        <f t="shared" si="8"/>
        <v>7.9158148665649346</v>
      </c>
      <c r="AR46" s="396">
        <f t="shared" si="8"/>
        <v>195.215743139842</v>
      </c>
      <c r="AS46" s="397">
        <f t="shared" si="9"/>
        <v>10.077984868176944</v>
      </c>
      <c r="AT46" s="410" t="str">
        <f t="shared" si="10"/>
        <v>berat</v>
      </c>
      <c r="AW46" s="406">
        <v>1</v>
      </c>
      <c r="AX46" s="407"/>
      <c r="AY46" s="408"/>
      <c r="AZ46" s="409"/>
    </row>
    <row r="47" spans="1:52" x14ac:dyDescent="0.2">
      <c r="A47" s="399">
        <v>33</v>
      </c>
      <c r="B47" s="400" t="s">
        <v>60</v>
      </c>
      <c r="C47" s="348"/>
      <c r="D47" s="348"/>
      <c r="E47" s="348"/>
      <c r="F47" s="391"/>
      <c r="G47" s="422">
        <v>17.8</v>
      </c>
      <c r="H47" s="422">
        <v>2.25</v>
      </c>
      <c r="I47" s="419">
        <v>40.700000000000003</v>
      </c>
      <c r="J47" s="419">
        <v>110</v>
      </c>
      <c r="K47" s="422">
        <v>2.3E-2</v>
      </c>
      <c r="L47" s="358">
        <v>218000</v>
      </c>
      <c r="M47" s="422">
        <v>1.52</v>
      </c>
      <c r="N47" s="422">
        <v>7.56</v>
      </c>
      <c r="O47" s="378">
        <v>50</v>
      </c>
      <c r="P47" s="378">
        <v>4</v>
      </c>
      <c r="Q47" s="378">
        <v>3</v>
      </c>
      <c r="R47" s="378">
        <v>25</v>
      </c>
      <c r="S47" s="378">
        <v>0.2</v>
      </c>
      <c r="T47" s="378">
        <v>1000</v>
      </c>
      <c r="U47" s="378">
        <v>10</v>
      </c>
      <c r="V47" s="378">
        <v>6</v>
      </c>
      <c r="W47" s="378" t="s">
        <v>201</v>
      </c>
      <c r="X47" s="378">
        <v>9</v>
      </c>
      <c r="Y47" s="379">
        <f t="shared" ref="Y47:Y59" si="19">G47/O47</f>
        <v>0.35600000000000004</v>
      </c>
      <c r="Z47" s="379">
        <f t="shared" si="18"/>
        <v>0.39583333333333331</v>
      </c>
      <c r="AA47" s="379">
        <f t="shared" si="17"/>
        <v>13.566666666666668</v>
      </c>
      <c r="AB47" s="379">
        <f t="shared" si="17"/>
        <v>4.4000000000000004</v>
      </c>
      <c r="AC47" s="379">
        <f t="shared" si="17"/>
        <v>0.11499999999999999</v>
      </c>
      <c r="AD47" s="379">
        <f t="shared" si="17"/>
        <v>218</v>
      </c>
      <c r="AE47" s="379">
        <f t="shared" si="17"/>
        <v>0.152</v>
      </c>
      <c r="AF47" s="379">
        <f t="shared" si="13"/>
        <v>4.1666666666666387E-2</v>
      </c>
      <c r="AG47" s="382">
        <f t="shared" si="14"/>
        <v>0.35600000000000004</v>
      </c>
      <c r="AH47" s="382">
        <f t="shared" si="14"/>
        <v>0.39583333333333331</v>
      </c>
      <c r="AI47" s="382">
        <f t="shared" si="14"/>
        <v>6.6623657725277887</v>
      </c>
      <c r="AJ47" s="382">
        <f t="shared" si="14"/>
        <v>4.2172633824309376</v>
      </c>
      <c r="AK47" s="382">
        <f t="shared" si="14"/>
        <v>0.11499999999999999</v>
      </c>
      <c r="AL47" s="382">
        <f t="shared" si="14"/>
        <v>12.692282468023024</v>
      </c>
      <c r="AM47" s="382">
        <f t="shared" si="14"/>
        <v>0.152</v>
      </c>
      <c r="AN47" s="382">
        <f t="shared" si="14"/>
        <v>4.1666666666666387E-2</v>
      </c>
      <c r="AO47" s="394">
        <f t="shared" si="6"/>
        <v>3.0790514528727191</v>
      </c>
      <c r="AP47" s="395">
        <f t="shared" si="7"/>
        <v>12.692282468023024</v>
      </c>
      <c r="AQ47" s="396">
        <f t="shared" ref="AQ47:AR59" si="20">POWER(AO47,2)</f>
        <v>9.4805578494376022</v>
      </c>
      <c r="AR47" s="396">
        <f t="shared" si="20"/>
        <v>161.09403424808463</v>
      </c>
      <c r="AS47" s="397">
        <f t="shared" si="9"/>
        <v>9.2351121297340573</v>
      </c>
      <c r="AT47" s="411" t="str">
        <f t="shared" si="10"/>
        <v>sedang</v>
      </c>
      <c r="AW47" s="406"/>
      <c r="AX47" s="407">
        <v>1</v>
      </c>
      <c r="AY47" s="408"/>
      <c r="AZ47" s="409"/>
    </row>
    <row r="48" spans="1:52" x14ac:dyDescent="0.2">
      <c r="A48" s="421">
        <v>34</v>
      </c>
      <c r="B48" s="400" t="s">
        <v>30</v>
      </c>
      <c r="C48" s="348"/>
      <c r="D48" s="348"/>
      <c r="E48" s="348"/>
      <c r="F48" s="391"/>
      <c r="G48" s="422">
        <v>24.7</v>
      </c>
      <c r="H48" s="422">
        <v>1.37</v>
      </c>
      <c r="I48" s="419">
        <v>81.2</v>
      </c>
      <c r="J48" s="419">
        <v>223</v>
      </c>
      <c r="K48" s="422">
        <v>2.1999999999999999E-2</v>
      </c>
      <c r="L48" s="358">
        <v>836000</v>
      </c>
      <c r="M48" s="422">
        <v>1.5</v>
      </c>
      <c r="N48" s="422">
        <v>7.24</v>
      </c>
      <c r="O48" s="378">
        <v>50</v>
      </c>
      <c r="P48" s="378">
        <v>4</v>
      </c>
      <c r="Q48" s="378">
        <v>3</v>
      </c>
      <c r="R48" s="378">
        <v>25</v>
      </c>
      <c r="S48" s="378">
        <v>0.2</v>
      </c>
      <c r="T48" s="378">
        <v>1000</v>
      </c>
      <c r="U48" s="378">
        <v>10</v>
      </c>
      <c r="V48" s="378">
        <v>6</v>
      </c>
      <c r="W48" s="378" t="s">
        <v>201</v>
      </c>
      <c r="X48" s="378">
        <v>9</v>
      </c>
      <c r="Y48" s="379">
        <f t="shared" si="19"/>
        <v>0.49399999999999999</v>
      </c>
      <c r="Z48" s="379">
        <f t="shared" si="18"/>
        <v>0.46916666666666668</v>
      </c>
      <c r="AA48" s="379">
        <f t="shared" si="17"/>
        <v>27.066666666666666</v>
      </c>
      <c r="AB48" s="379">
        <f t="shared" si="17"/>
        <v>8.92</v>
      </c>
      <c r="AC48" s="379">
        <f t="shared" si="17"/>
        <v>0.10999999999999999</v>
      </c>
      <c r="AD48" s="379">
        <f t="shared" si="17"/>
        <v>836</v>
      </c>
      <c r="AE48" s="379">
        <f t="shared" si="17"/>
        <v>0.15</v>
      </c>
      <c r="AF48" s="379">
        <f t="shared" si="13"/>
        <v>0.2096774193548385</v>
      </c>
      <c r="AG48" s="382">
        <f t="shared" si="14"/>
        <v>0.49399999999999999</v>
      </c>
      <c r="AH48" s="382">
        <f t="shared" si="14"/>
        <v>0.46916666666666668</v>
      </c>
      <c r="AI48" s="382">
        <f t="shared" si="14"/>
        <v>8.1621738726075641</v>
      </c>
      <c r="AJ48" s="382">
        <f t="shared" si="14"/>
        <v>5.751824271880615</v>
      </c>
      <c r="AK48" s="382">
        <f t="shared" si="14"/>
        <v>0.10999999999999999</v>
      </c>
      <c r="AL48" s="382">
        <f t="shared" si="14"/>
        <v>15.611031387195082</v>
      </c>
      <c r="AM48" s="382">
        <f t="shared" si="14"/>
        <v>0.15</v>
      </c>
      <c r="AN48" s="382">
        <f t="shared" si="14"/>
        <v>0.2096774193548385</v>
      </c>
      <c r="AO48" s="394">
        <f t="shared" si="6"/>
        <v>3.8697342022130954</v>
      </c>
      <c r="AP48" s="395">
        <f t="shared" si="7"/>
        <v>15.611031387195082</v>
      </c>
      <c r="AQ48" s="396">
        <f t="shared" si="20"/>
        <v>14.974842795777821</v>
      </c>
      <c r="AR48" s="396">
        <f t="shared" si="20"/>
        <v>243.70430097198999</v>
      </c>
      <c r="AS48" s="397">
        <f t="shared" si="9"/>
        <v>11.372755685579635</v>
      </c>
      <c r="AT48" s="410" t="str">
        <f t="shared" si="10"/>
        <v>berat</v>
      </c>
      <c r="AW48" s="406">
        <v>1</v>
      </c>
      <c r="AX48" s="407"/>
      <c r="AY48" s="408"/>
      <c r="AZ48" s="409"/>
    </row>
    <row r="49" spans="1:52" x14ac:dyDescent="0.2">
      <c r="A49" s="421">
        <v>35</v>
      </c>
      <c r="B49" s="400" t="s">
        <v>31</v>
      </c>
      <c r="C49" s="348"/>
      <c r="D49" s="348"/>
      <c r="E49" s="348"/>
      <c r="F49" s="391"/>
      <c r="G49" s="422">
        <v>26.9</v>
      </c>
      <c r="H49" s="422">
        <v>1.54</v>
      </c>
      <c r="I49" s="419">
        <v>218</v>
      </c>
      <c r="J49" s="419">
        <v>1192</v>
      </c>
      <c r="K49" s="419">
        <v>0.69499999999999995</v>
      </c>
      <c r="L49" s="358">
        <v>752000</v>
      </c>
      <c r="M49" s="422">
        <v>1.22</v>
      </c>
      <c r="N49" s="422">
        <v>7.93</v>
      </c>
      <c r="O49" s="378">
        <v>50</v>
      </c>
      <c r="P49" s="378">
        <v>4</v>
      </c>
      <c r="Q49" s="378">
        <v>3</v>
      </c>
      <c r="R49" s="378">
        <v>25</v>
      </c>
      <c r="S49" s="378">
        <v>0.2</v>
      </c>
      <c r="T49" s="378">
        <v>1000</v>
      </c>
      <c r="U49" s="378">
        <v>10</v>
      </c>
      <c r="V49" s="378">
        <v>6</v>
      </c>
      <c r="W49" s="378" t="s">
        <v>201</v>
      </c>
      <c r="X49" s="378">
        <v>9</v>
      </c>
      <c r="Y49" s="379">
        <f t="shared" si="19"/>
        <v>0.53799999999999992</v>
      </c>
      <c r="Z49" s="379">
        <f t="shared" si="18"/>
        <v>0.45500000000000002</v>
      </c>
      <c r="AA49" s="379">
        <f t="shared" si="17"/>
        <v>72.666666666666671</v>
      </c>
      <c r="AB49" s="379">
        <f t="shared" si="17"/>
        <v>47.68</v>
      </c>
      <c r="AC49" s="379">
        <f t="shared" si="17"/>
        <v>3.4749999999999996</v>
      </c>
      <c r="AD49" s="379">
        <f t="shared" si="17"/>
        <v>752</v>
      </c>
      <c r="AE49" s="379">
        <f t="shared" si="17"/>
        <v>0.122</v>
      </c>
      <c r="AF49" s="379">
        <f t="shared" si="13"/>
        <v>0.40186915887850427</v>
      </c>
      <c r="AG49" s="382">
        <f t="shared" si="14"/>
        <v>0.53799999999999992</v>
      </c>
      <c r="AH49" s="382">
        <f t="shared" si="14"/>
        <v>0.45500000000000002</v>
      </c>
      <c r="AI49" s="382">
        <f t="shared" si="14"/>
        <v>10.306676194424712</v>
      </c>
      <c r="AJ49" s="382">
        <f t="shared" si="14"/>
        <v>9.3916812336609006</v>
      </c>
      <c r="AK49" s="382">
        <f t="shared" si="14"/>
        <v>3.7047740446306632</v>
      </c>
      <c r="AL49" s="382">
        <f t="shared" si="14"/>
        <v>15.381089202958211</v>
      </c>
      <c r="AM49" s="382">
        <f t="shared" si="14"/>
        <v>0.122</v>
      </c>
      <c r="AN49" s="382">
        <f t="shared" si="14"/>
        <v>0.40186915887850427</v>
      </c>
      <c r="AO49" s="394">
        <f t="shared" si="6"/>
        <v>5.0376362293191237</v>
      </c>
      <c r="AP49" s="395">
        <f t="shared" si="7"/>
        <v>15.381089202958211</v>
      </c>
      <c r="AQ49" s="396">
        <f t="shared" si="20"/>
        <v>25.377778778948599</v>
      </c>
      <c r="AR49" s="396">
        <f t="shared" si="20"/>
        <v>236.57790506935766</v>
      </c>
      <c r="AS49" s="397">
        <f t="shared" si="9"/>
        <v>11.444555121285978</v>
      </c>
      <c r="AT49" s="410" t="str">
        <f t="shared" si="10"/>
        <v>berat</v>
      </c>
      <c r="AW49" s="406">
        <v>1</v>
      </c>
      <c r="AX49" s="407"/>
      <c r="AY49" s="408"/>
      <c r="AZ49" s="409"/>
    </row>
    <row r="50" spans="1:52" x14ac:dyDescent="0.2">
      <c r="A50" s="399">
        <v>36</v>
      </c>
      <c r="B50" s="400" t="s">
        <v>32</v>
      </c>
      <c r="C50" s="348"/>
      <c r="D50" s="348"/>
      <c r="E50" s="348"/>
      <c r="F50" s="391"/>
      <c r="G50" s="422">
        <v>31.6</v>
      </c>
      <c r="H50" s="422">
        <v>0.45</v>
      </c>
      <c r="I50" s="419">
        <v>44.8</v>
      </c>
      <c r="J50" s="419">
        <v>123</v>
      </c>
      <c r="K50" s="422">
        <v>9.0999999999999998E-2</v>
      </c>
      <c r="L50" s="358">
        <v>3448000</v>
      </c>
      <c r="M50" s="422">
        <v>1.97</v>
      </c>
      <c r="N50" s="422">
        <v>7.61</v>
      </c>
      <c r="O50" s="378">
        <v>50</v>
      </c>
      <c r="P50" s="378">
        <v>4</v>
      </c>
      <c r="Q50" s="378">
        <v>3</v>
      </c>
      <c r="R50" s="378">
        <v>25</v>
      </c>
      <c r="S50" s="378">
        <v>0.2</v>
      </c>
      <c r="T50" s="378">
        <v>1000</v>
      </c>
      <c r="U50" s="378">
        <v>10</v>
      </c>
      <c r="V50" s="378">
        <v>6</v>
      </c>
      <c r="W50" s="378" t="s">
        <v>201</v>
      </c>
      <c r="X50" s="378">
        <v>9</v>
      </c>
      <c r="Y50" s="379">
        <f t="shared" si="19"/>
        <v>0.63200000000000001</v>
      </c>
      <c r="Z50" s="379">
        <f t="shared" si="18"/>
        <v>0.54583333333333328</v>
      </c>
      <c r="AA50" s="379">
        <f t="shared" si="17"/>
        <v>14.933333333333332</v>
      </c>
      <c r="AB50" s="379">
        <f t="shared" si="17"/>
        <v>4.92</v>
      </c>
      <c r="AC50" s="379">
        <f t="shared" si="17"/>
        <v>0.45499999999999996</v>
      </c>
      <c r="AD50" s="379">
        <f t="shared" si="17"/>
        <v>3448</v>
      </c>
      <c r="AE50" s="379">
        <f t="shared" si="17"/>
        <v>0.19700000000000001</v>
      </c>
      <c r="AF50" s="379">
        <f t="shared" si="13"/>
        <v>7.9136690647482258E-2</v>
      </c>
      <c r="AG50" s="382">
        <f t="shared" si="14"/>
        <v>0.63200000000000001</v>
      </c>
      <c r="AH50" s="382">
        <f t="shared" si="14"/>
        <v>0.54583333333333328</v>
      </c>
      <c r="AI50" s="382">
        <f t="shared" si="14"/>
        <v>6.8707837963924083</v>
      </c>
      <c r="AJ50" s="382">
        <f t="shared" si="14"/>
        <v>4.4598255138368019</v>
      </c>
      <c r="AK50" s="382">
        <f t="shared" si="14"/>
        <v>0.45499999999999996</v>
      </c>
      <c r="AL50" s="382">
        <f t="shared" si="14"/>
        <v>18.687836285763375</v>
      </c>
      <c r="AM50" s="382">
        <f t="shared" si="14"/>
        <v>0.19700000000000001</v>
      </c>
      <c r="AN50" s="382">
        <f t="shared" si="14"/>
        <v>7.9136690647482258E-2</v>
      </c>
      <c r="AO50" s="394">
        <f t="shared" si="6"/>
        <v>3.9909269524966748</v>
      </c>
      <c r="AP50" s="395">
        <f t="shared" si="7"/>
        <v>18.687836285763375</v>
      </c>
      <c r="AQ50" s="396">
        <f t="shared" si="20"/>
        <v>15.927497940164397</v>
      </c>
      <c r="AR50" s="396">
        <f t="shared" si="20"/>
        <v>349.23522504349427</v>
      </c>
      <c r="AS50" s="397">
        <f t="shared" si="9"/>
        <v>13.512267074470861</v>
      </c>
      <c r="AT50" s="410" t="str">
        <f t="shared" si="10"/>
        <v>berat</v>
      </c>
      <c r="AW50" s="406">
        <v>1</v>
      </c>
      <c r="AX50" s="407"/>
      <c r="AY50" s="408"/>
      <c r="AZ50" s="409"/>
    </row>
    <row r="51" spans="1:52" x14ac:dyDescent="0.2">
      <c r="A51" s="421">
        <v>37</v>
      </c>
      <c r="B51" s="400" t="s">
        <v>320</v>
      </c>
      <c r="C51" s="348"/>
      <c r="D51" s="348"/>
      <c r="E51" s="348"/>
      <c r="F51" s="391"/>
      <c r="G51" s="422">
        <v>40.700000000000003</v>
      </c>
      <c r="H51" s="422">
        <v>1.99</v>
      </c>
      <c r="I51" s="419">
        <v>30.5</v>
      </c>
      <c r="J51" s="419">
        <v>91.2</v>
      </c>
      <c r="K51" s="419">
        <v>0.45700000000000002</v>
      </c>
      <c r="L51" s="358">
        <v>816000</v>
      </c>
      <c r="M51" s="422">
        <v>0.997</v>
      </c>
      <c r="N51" s="422">
        <v>7.52</v>
      </c>
      <c r="O51" s="378">
        <v>50</v>
      </c>
      <c r="P51" s="378">
        <v>4</v>
      </c>
      <c r="Q51" s="378">
        <v>3</v>
      </c>
      <c r="R51" s="378">
        <v>25</v>
      </c>
      <c r="S51" s="378">
        <v>0.2</v>
      </c>
      <c r="T51" s="378">
        <v>1000</v>
      </c>
      <c r="U51" s="378">
        <v>10</v>
      </c>
      <c r="V51" s="378">
        <v>6</v>
      </c>
      <c r="W51" s="378" t="s">
        <v>201</v>
      </c>
      <c r="X51" s="378">
        <v>9</v>
      </c>
      <c r="Y51" s="379">
        <f t="shared" si="19"/>
        <v>0.81400000000000006</v>
      </c>
      <c r="Z51" s="379">
        <f t="shared" si="18"/>
        <v>0.41749999999999998</v>
      </c>
      <c r="AA51" s="379">
        <f t="shared" si="17"/>
        <v>10.166666666666666</v>
      </c>
      <c r="AB51" s="379">
        <f t="shared" si="17"/>
        <v>3.6480000000000001</v>
      </c>
      <c r="AC51" s="379">
        <f t="shared" si="17"/>
        <v>2.2850000000000001</v>
      </c>
      <c r="AD51" s="379">
        <f t="shared" si="17"/>
        <v>816</v>
      </c>
      <c r="AE51" s="379">
        <f t="shared" si="17"/>
        <v>9.9699999999999997E-2</v>
      </c>
      <c r="AF51" s="379">
        <f t="shared" si="13"/>
        <v>1.3513513513513221E-2</v>
      </c>
      <c r="AG51" s="382">
        <f t="shared" si="14"/>
        <v>0.81400000000000006</v>
      </c>
      <c r="AH51" s="382">
        <f t="shared" si="14"/>
        <v>0.41749999999999998</v>
      </c>
      <c r="AI51" s="382">
        <f t="shared" si="14"/>
        <v>6.0358929231356164</v>
      </c>
      <c r="AJ51" s="382">
        <f t="shared" si="14"/>
        <v>3.8102741482818927</v>
      </c>
      <c r="AK51" s="382">
        <f t="shared" si="14"/>
        <v>2.7944310220293453</v>
      </c>
      <c r="AL51" s="382">
        <f t="shared" si="14"/>
        <v>15.558450793769307</v>
      </c>
      <c r="AM51" s="382">
        <f t="shared" si="14"/>
        <v>9.9699999999999997E-2</v>
      </c>
      <c r="AN51" s="382">
        <f t="shared" si="14"/>
        <v>1.3513513513513221E-2</v>
      </c>
      <c r="AO51" s="394">
        <f t="shared" si="6"/>
        <v>3.6929703000912091</v>
      </c>
      <c r="AP51" s="395">
        <f t="shared" si="7"/>
        <v>15.558450793769307</v>
      </c>
      <c r="AQ51" s="396">
        <f t="shared" si="20"/>
        <v>13.638029637355755</v>
      </c>
      <c r="AR51" s="396">
        <f t="shared" si="20"/>
        <v>242.06539110214078</v>
      </c>
      <c r="AS51" s="397">
        <f t="shared" si="9"/>
        <v>11.307153062099596</v>
      </c>
      <c r="AT51" s="410" t="str">
        <f t="shared" si="10"/>
        <v>berat</v>
      </c>
      <c r="AW51" s="406">
        <v>1</v>
      </c>
      <c r="AX51" s="407"/>
      <c r="AY51" s="408"/>
      <c r="AZ51" s="409"/>
    </row>
    <row r="52" spans="1:52" x14ac:dyDescent="0.2">
      <c r="A52" s="399">
        <v>38</v>
      </c>
      <c r="B52" s="400" t="s">
        <v>324</v>
      </c>
      <c r="C52" s="348"/>
      <c r="D52" s="348"/>
      <c r="E52" s="348"/>
      <c r="F52" s="391"/>
      <c r="G52" s="480">
        <v>33.299999999999997</v>
      </c>
      <c r="H52" s="422">
        <v>0.96</v>
      </c>
      <c r="I52" s="419">
        <v>152</v>
      </c>
      <c r="J52" s="419">
        <v>868</v>
      </c>
      <c r="K52" s="422">
        <v>5.3999999999999999E-2</v>
      </c>
      <c r="L52" s="358">
        <v>11199000</v>
      </c>
      <c r="M52" s="422">
        <v>1.59</v>
      </c>
      <c r="N52" s="422">
        <v>7.57</v>
      </c>
      <c r="O52" s="378">
        <v>50</v>
      </c>
      <c r="P52" s="378">
        <v>4</v>
      </c>
      <c r="Q52" s="378">
        <v>3</v>
      </c>
      <c r="R52" s="378">
        <v>25</v>
      </c>
      <c r="S52" s="378">
        <v>0.2</v>
      </c>
      <c r="T52" s="378">
        <v>1000</v>
      </c>
      <c r="U52" s="378">
        <v>10</v>
      </c>
      <c r="V52" s="378">
        <v>6</v>
      </c>
      <c r="W52" s="378" t="s">
        <v>201</v>
      </c>
      <c r="X52" s="378">
        <v>9</v>
      </c>
      <c r="Y52" s="379">
        <f t="shared" si="19"/>
        <v>0.66599999999999993</v>
      </c>
      <c r="Z52" s="379">
        <f t="shared" si="18"/>
        <v>0.5033333333333333</v>
      </c>
      <c r="AA52" s="379">
        <f t="shared" si="17"/>
        <v>50.666666666666664</v>
      </c>
      <c r="AB52" s="379">
        <f t="shared" si="17"/>
        <v>34.72</v>
      </c>
      <c r="AC52" s="379">
        <f t="shared" si="17"/>
        <v>0.26999999999999996</v>
      </c>
      <c r="AD52" s="379">
        <f t="shared" si="17"/>
        <v>11199</v>
      </c>
      <c r="AE52" s="379">
        <f t="shared" si="17"/>
        <v>0.159</v>
      </c>
      <c r="AF52" s="379">
        <f t="shared" si="13"/>
        <v>4.895104895104916E-2</v>
      </c>
      <c r="AG52" s="382">
        <f t="shared" si="14"/>
        <v>0.66599999999999993</v>
      </c>
      <c r="AH52" s="382">
        <f t="shared" si="14"/>
        <v>0.5033333333333333</v>
      </c>
      <c r="AI52" s="382">
        <f t="shared" si="14"/>
        <v>9.5236116661255501</v>
      </c>
      <c r="AJ52" s="382">
        <f t="shared" si="14"/>
        <v>8.7028985825222716</v>
      </c>
      <c r="AK52" s="382">
        <f t="shared" si="14"/>
        <v>0.26999999999999996</v>
      </c>
      <c r="AL52" s="382">
        <f t="shared" si="14"/>
        <v>21.245896223229835</v>
      </c>
      <c r="AM52" s="382">
        <f t="shared" si="14"/>
        <v>0.159</v>
      </c>
      <c r="AN52" s="382">
        <f t="shared" si="14"/>
        <v>4.895104895104916E-2</v>
      </c>
      <c r="AO52" s="394">
        <f t="shared" si="6"/>
        <v>5.1399613567702538</v>
      </c>
      <c r="AP52" s="395">
        <f t="shared" si="7"/>
        <v>21.245896223229835</v>
      </c>
      <c r="AQ52" s="396">
        <f t="shared" si="20"/>
        <v>26.419202749091507</v>
      </c>
      <c r="AR52" s="396">
        <f t="shared" si="20"/>
        <v>451.38810632825175</v>
      </c>
      <c r="AS52" s="397">
        <f t="shared" si="9"/>
        <v>15.456508484734565</v>
      </c>
      <c r="AT52" s="410" t="str">
        <f t="shared" si="10"/>
        <v>berat</v>
      </c>
      <c r="AW52" s="406">
        <v>1</v>
      </c>
      <c r="AX52" s="407"/>
      <c r="AY52" s="408"/>
      <c r="AZ52" s="409"/>
    </row>
    <row r="53" spans="1:52" x14ac:dyDescent="0.2">
      <c r="A53" s="399">
        <v>39</v>
      </c>
      <c r="B53" s="400" t="s">
        <v>328</v>
      </c>
      <c r="C53" s="348"/>
      <c r="D53" s="348"/>
      <c r="E53" s="348"/>
      <c r="F53" s="391"/>
      <c r="G53" s="422">
        <v>39.5</v>
      </c>
      <c r="H53" s="422">
        <v>0.9</v>
      </c>
      <c r="I53" s="419">
        <v>42.7</v>
      </c>
      <c r="J53" s="419">
        <v>119</v>
      </c>
      <c r="K53" s="419">
        <v>0.26800000000000002</v>
      </c>
      <c r="L53" s="358">
        <v>805000</v>
      </c>
      <c r="M53" s="422">
        <v>1.51</v>
      </c>
      <c r="N53" s="422">
        <v>7.73</v>
      </c>
      <c r="O53" s="378">
        <v>50</v>
      </c>
      <c r="P53" s="378">
        <v>4</v>
      </c>
      <c r="Q53" s="378">
        <v>3</v>
      </c>
      <c r="R53" s="378">
        <v>25</v>
      </c>
      <c r="S53" s="378">
        <v>0.2</v>
      </c>
      <c r="T53" s="378">
        <v>1000</v>
      </c>
      <c r="U53" s="378">
        <v>10</v>
      </c>
      <c r="V53" s="378">
        <v>6</v>
      </c>
      <c r="W53" s="378" t="s">
        <v>201</v>
      </c>
      <c r="X53" s="378">
        <v>9</v>
      </c>
      <c r="Y53" s="379">
        <f t="shared" si="19"/>
        <v>0.79</v>
      </c>
      <c r="Z53" s="379">
        <f t="shared" si="18"/>
        <v>0.5083333333333333</v>
      </c>
      <c r="AA53" s="379">
        <f t="shared" si="17"/>
        <v>14.233333333333334</v>
      </c>
      <c r="AB53" s="379">
        <f t="shared" si="17"/>
        <v>4.76</v>
      </c>
      <c r="AC53" s="379">
        <f t="shared" si="17"/>
        <v>1.34</v>
      </c>
      <c r="AD53" s="379">
        <f t="shared" si="17"/>
        <v>805</v>
      </c>
      <c r="AE53" s="379">
        <f t="shared" si="17"/>
        <v>0.151</v>
      </c>
      <c r="AF53" s="379">
        <f t="shared" si="13"/>
        <v>0.18110236220472481</v>
      </c>
      <c r="AG53" s="382">
        <f t="shared" si="14"/>
        <v>0.79</v>
      </c>
      <c r="AH53" s="382">
        <f t="shared" si="14"/>
        <v>0.5083333333333333</v>
      </c>
      <c r="AI53" s="382">
        <f t="shared" si="14"/>
        <v>6.7665331015268073</v>
      </c>
      <c r="AJ53" s="382">
        <f t="shared" si="14"/>
        <v>4.3880347636024659</v>
      </c>
      <c r="AK53" s="382">
        <f t="shared" si="14"/>
        <v>1.6355239918240383</v>
      </c>
      <c r="AL53" s="382">
        <f t="shared" si="14"/>
        <v>15.528979401839344</v>
      </c>
      <c r="AM53" s="382">
        <f t="shared" si="14"/>
        <v>0.151</v>
      </c>
      <c r="AN53" s="382">
        <f t="shared" si="14"/>
        <v>0.18110236220472481</v>
      </c>
      <c r="AO53" s="394">
        <f t="shared" si="6"/>
        <v>3.7436883692913394</v>
      </c>
      <c r="AP53" s="395">
        <f t="shared" si="7"/>
        <v>15.528979401839344</v>
      </c>
      <c r="AQ53" s="396">
        <f t="shared" si="20"/>
        <v>14.015202606367248</v>
      </c>
      <c r="AR53" s="396">
        <f t="shared" si="20"/>
        <v>241.14920126275061</v>
      </c>
      <c r="AS53" s="397">
        <f t="shared" si="9"/>
        <v>11.295229166978372</v>
      </c>
      <c r="AT53" s="410" t="str">
        <f t="shared" si="10"/>
        <v>berat</v>
      </c>
      <c r="AW53" s="406">
        <v>1</v>
      </c>
      <c r="AX53" s="407"/>
      <c r="AY53" s="408"/>
      <c r="AZ53" s="409"/>
    </row>
    <row r="54" spans="1:52" x14ac:dyDescent="0.2">
      <c r="A54" s="399">
        <v>40</v>
      </c>
      <c r="B54" s="400" t="s">
        <v>358</v>
      </c>
      <c r="C54" s="348"/>
      <c r="D54" s="348"/>
      <c r="E54" s="348"/>
      <c r="F54" s="391"/>
      <c r="G54" s="422">
        <v>3.44</v>
      </c>
      <c r="H54" s="419">
        <v>4.07</v>
      </c>
      <c r="I54" s="419">
        <v>13.2</v>
      </c>
      <c r="J54" s="419">
        <v>45.6</v>
      </c>
      <c r="K54" s="422">
        <v>1.7999999999999999E-2</v>
      </c>
      <c r="L54" s="481" t="s">
        <v>368</v>
      </c>
      <c r="M54" s="422">
        <v>2.79</v>
      </c>
      <c r="N54" s="422">
        <v>7.41</v>
      </c>
      <c r="O54" s="378">
        <v>50</v>
      </c>
      <c r="P54" s="378">
        <v>4</v>
      </c>
      <c r="Q54" s="378">
        <v>3</v>
      </c>
      <c r="R54" s="378">
        <v>25</v>
      </c>
      <c r="S54" s="378">
        <v>0.2</v>
      </c>
      <c r="T54" s="378">
        <v>1000</v>
      </c>
      <c r="U54" s="378">
        <v>10</v>
      </c>
      <c r="V54" s="378">
        <v>6</v>
      </c>
      <c r="W54" s="378" t="s">
        <v>201</v>
      </c>
      <c r="X54" s="378">
        <v>9</v>
      </c>
      <c r="Y54" s="379">
        <f t="shared" si="19"/>
        <v>6.88E-2</v>
      </c>
      <c r="Z54" s="379">
        <f t="shared" si="18"/>
        <v>0.24416666666666664</v>
      </c>
      <c r="AA54" s="379">
        <f t="shared" si="17"/>
        <v>4.3999999999999995</v>
      </c>
      <c r="AB54" s="379">
        <f t="shared" si="17"/>
        <v>1.8240000000000001</v>
      </c>
      <c r="AC54" s="379">
        <f t="shared" si="17"/>
        <v>8.9999999999999983E-2</v>
      </c>
      <c r="AD54" s="379">
        <f t="shared" si="17"/>
        <v>0</v>
      </c>
      <c r="AE54" s="379">
        <f t="shared" si="17"/>
        <v>0.27900000000000003</v>
      </c>
      <c r="AF54" s="379">
        <f t="shared" si="13"/>
        <v>6.3829787234042451E-2</v>
      </c>
      <c r="AG54" s="382">
        <f t="shared" si="14"/>
        <v>6.88E-2</v>
      </c>
      <c r="AH54" s="382">
        <f t="shared" si="14"/>
        <v>0.24416666666666664</v>
      </c>
      <c r="AI54" s="382">
        <f t="shared" si="14"/>
        <v>4.2172633824309376</v>
      </c>
      <c r="AJ54" s="382">
        <f t="shared" si="14"/>
        <v>2.3051241699619869</v>
      </c>
      <c r="AK54" s="382">
        <f t="shared" si="14"/>
        <v>8.9999999999999983E-2</v>
      </c>
      <c r="AL54" s="382">
        <f t="shared" si="14"/>
        <v>0</v>
      </c>
      <c r="AM54" s="382">
        <f t="shared" si="14"/>
        <v>0.27900000000000003</v>
      </c>
      <c r="AN54" s="382">
        <f t="shared" si="14"/>
        <v>6.3829787234042451E-2</v>
      </c>
      <c r="AO54" s="394">
        <f t="shared" si="6"/>
        <v>0.90852300078670412</v>
      </c>
      <c r="AP54" s="395">
        <f t="shared" si="7"/>
        <v>4.2172633824309376</v>
      </c>
      <c r="AQ54" s="396">
        <f t="shared" si="20"/>
        <v>0.82541404295847753</v>
      </c>
      <c r="AR54" s="396">
        <f t="shared" si="20"/>
        <v>17.785310436792834</v>
      </c>
      <c r="AS54" s="397">
        <f t="shared" si="9"/>
        <v>3.0504691835643341</v>
      </c>
      <c r="AT54" s="404" t="str">
        <f t="shared" si="10"/>
        <v>ringan</v>
      </c>
      <c r="AW54" s="406"/>
      <c r="AX54" s="407"/>
      <c r="AY54" s="408">
        <v>1</v>
      </c>
      <c r="AZ54" s="409"/>
    </row>
    <row r="55" spans="1:52" x14ac:dyDescent="0.2">
      <c r="A55" s="399">
        <v>41</v>
      </c>
      <c r="B55" s="400" t="s">
        <v>359</v>
      </c>
      <c r="C55" s="348"/>
      <c r="D55" s="348"/>
      <c r="E55" s="348"/>
      <c r="F55" s="391"/>
      <c r="G55" s="422">
        <v>18.8</v>
      </c>
      <c r="H55" s="419">
        <v>4.07</v>
      </c>
      <c r="I55" s="419">
        <v>26.5</v>
      </c>
      <c r="J55" s="419">
        <v>61.4</v>
      </c>
      <c r="K55" s="419">
        <v>0.255</v>
      </c>
      <c r="L55" s="358">
        <v>987000</v>
      </c>
      <c r="M55" s="422">
        <v>1.67</v>
      </c>
      <c r="N55" s="422">
        <v>7.67</v>
      </c>
      <c r="O55" s="378">
        <v>50</v>
      </c>
      <c r="P55" s="378">
        <v>4</v>
      </c>
      <c r="Q55" s="378">
        <v>3</v>
      </c>
      <c r="R55" s="378">
        <v>25</v>
      </c>
      <c r="S55" s="378">
        <v>0.2</v>
      </c>
      <c r="T55" s="378">
        <v>1000</v>
      </c>
      <c r="U55" s="378">
        <v>10</v>
      </c>
      <c r="V55" s="378">
        <v>6</v>
      </c>
      <c r="W55" s="378" t="s">
        <v>201</v>
      </c>
      <c r="X55" s="378">
        <v>9</v>
      </c>
      <c r="Y55" s="379">
        <f t="shared" si="19"/>
        <v>0.376</v>
      </c>
      <c r="Z55" s="379">
        <f t="shared" si="18"/>
        <v>0.24416666666666664</v>
      </c>
      <c r="AA55" s="379">
        <f t="shared" si="17"/>
        <v>8.8333333333333339</v>
      </c>
      <c r="AB55" s="379">
        <f t="shared" si="17"/>
        <v>2.456</v>
      </c>
      <c r="AC55" s="379">
        <f t="shared" si="17"/>
        <v>1.2749999999999999</v>
      </c>
      <c r="AD55" s="379">
        <f t="shared" si="17"/>
        <v>987</v>
      </c>
      <c r="AE55" s="379">
        <f t="shared" si="17"/>
        <v>0.16699999999999998</v>
      </c>
      <c r="AF55" s="379">
        <f t="shared" si="13"/>
        <v>0.12781954887218039</v>
      </c>
      <c r="AG55" s="382">
        <f t="shared" si="14"/>
        <v>0.376</v>
      </c>
      <c r="AH55" s="382">
        <f t="shared" si="14"/>
        <v>0.24416666666666664</v>
      </c>
      <c r="AI55" s="382">
        <f t="shared" si="14"/>
        <v>5.7306230960857274</v>
      </c>
      <c r="AJ55" s="382">
        <f t="shared" si="14"/>
        <v>2.9511418123456501</v>
      </c>
      <c r="AK55" s="382">
        <f t="shared" si="14"/>
        <v>1.5275509238498697</v>
      </c>
      <c r="AL55" s="382">
        <f t="shared" si="14"/>
        <v>15.971585763348184</v>
      </c>
      <c r="AM55" s="382">
        <f t="shared" si="14"/>
        <v>0.16699999999999998</v>
      </c>
      <c r="AN55" s="382">
        <f t="shared" si="14"/>
        <v>0.12781954887218039</v>
      </c>
      <c r="AO55" s="394">
        <f t="shared" si="6"/>
        <v>3.3869859763960353</v>
      </c>
      <c r="AP55" s="395">
        <f t="shared" si="7"/>
        <v>15.971585763348184</v>
      </c>
      <c r="AQ55" s="396">
        <f t="shared" si="20"/>
        <v>11.471674004303404</v>
      </c>
      <c r="AR55" s="396">
        <f t="shared" si="20"/>
        <v>255.09155179598639</v>
      </c>
      <c r="AS55" s="397">
        <f t="shared" si="9"/>
        <v>11.544765606115392</v>
      </c>
      <c r="AT55" s="410" t="str">
        <f t="shared" si="10"/>
        <v>berat</v>
      </c>
      <c r="AW55" s="406">
        <v>1</v>
      </c>
      <c r="AX55" s="407"/>
      <c r="AY55" s="408"/>
      <c r="AZ55" s="409"/>
    </row>
    <row r="56" spans="1:52" x14ac:dyDescent="0.2">
      <c r="A56" s="399">
        <v>42</v>
      </c>
      <c r="B56" s="400" t="s">
        <v>360</v>
      </c>
      <c r="C56" s="348"/>
      <c r="D56" s="348"/>
      <c r="E56" s="348"/>
      <c r="F56" s="391"/>
      <c r="G56" s="422">
        <v>9.14</v>
      </c>
      <c r="H56" s="419">
        <v>4.68</v>
      </c>
      <c r="I56" s="419">
        <v>42.7</v>
      </c>
      <c r="J56" s="419">
        <v>133</v>
      </c>
      <c r="K56" s="480">
        <v>2.5000000000000001E-2</v>
      </c>
      <c r="L56" s="358">
        <v>73000</v>
      </c>
      <c r="M56" s="422">
        <v>2.42</v>
      </c>
      <c r="N56" s="422">
        <v>7.85</v>
      </c>
      <c r="O56" s="378">
        <v>50</v>
      </c>
      <c r="P56" s="378">
        <v>4</v>
      </c>
      <c r="Q56" s="378">
        <v>3</v>
      </c>
      <c r="R56" s="378">
        <v>25</v>
      </c>
      <c r="S56" s="378">
        <v>0.2</v>
      </c>
      <c r="T56" s="378">
        <v>1000</v>
      </c>
      <c r="U56" s="378">
        <v>10</v>
      </c>
      <c r="V56" s="378">
        <v>6</v>
      </c>
      <c r="W56" s="378" t="s">
        <v>201</v>
      </c>
      <c r="X56" s="378">
        <v>9</v>
      </c>
      <c r="Y56" s="379">
        <f t="shared" si="19"/>
        <v>0.18280000000000002</v>
      </c>
      <c r="Z56" s="379">
        <f t="shared" si="18"/>
        <v>0.19333333333333336</v>
      </c>
      <c r="AA56" s="379">
        <f t="shared" si="17"/>
        <v>14.233333333333334</v>
      </c>
      <c r="AB56" s="379">
        <f t="shared" si="17"/>
        <v>5.32</v>
      </c>
      <c r="AC56" s="379">
        <f t="shared" si="17"/>
        <v>0.125</v>
      </c>
      <c r="AD56" s="379">
        <f t="shared" si="17"/>
        <v>73</v>
      </c>
      <c r="AE56" s="379">
        <f t="shared" si="17"/>
        <v>0.24199999999999999</v>
      </c>
      <c r="AF56" s="379">
        <f t="shared" si="13"/>
        <v>0.3043478260869561</v>
      </c>
      <c r="AG56" s="382">
        <f t="shared" si="14"/>
        <v>0.18280000000000002</v>
      </c>
      <c r="AH56" s="382">
        <f t="shared" si="14"/>
        <v>0.19333333333333336</v>
      </c>
      <c r="AI56" s="382">
        <f t="shared" si="14"/>
        <v>6.7665331015268073</v>
      </c>
      <c r="AJ56" s="382">
        <f t="shared" si="14"/>
        <v>4.6295581614752415</v>
      </c>
      <c r="AK56" s="382">
        <f t="shared" si="14"/>
        <v>0.125</v>
      </c>
      <c r="AL56" s="382">
        <f t="shared" si="14"/>
        <v>10.316614300602279</v>
      </c>
      <c r="AM56" s="382">
        <f t="shared" si="14"/>
        <v>0.24199999999999999</v>
      </c>
      <c r="AN56" s="382">
        <f t="shared" si="14"/>
        <v>0.3043478260869561</v>
      </c>
      <c r="AO56" s="394">
        <f t="shared" si="6"/>
        <v>2.8450233403780771</v>
      </c>
      <c r="AP56" s="395">
        <f t="shared" si="7"/>
        <v>10.316614300602279</v>
      </c>
      <c r="AQ56" s="396">
        <f t="shared" si="20"/>
        <v>8.0941578072960318</v>
      </c>
      <c r="AR56" s="396">
        <f t="shared" si="20"/>
        <v>106.43253062739144</v>
      </c>
      <c r="AS56" s="397">
        <f t="shared" si="9"/>
        <v>7.5672547345350898</v>
      </c>
      <c r="AT56" s="411" t="str">
        <f t="shared" si="10"/>
        <v>sedang</v>
      </c>
      <c r="AW56" s="406"/>
      <c r="AX56" s="407">
        <v>1</v>
      </c>
      <c r="AY56" s="408"/>
      <c r="AZ56" s="409"/>
    </row>
    <row r="57" spans="1:52" x14ac:dyDescent="0.2">
      <c r="A57" s="399">
        <v>43</v>
      </c>
      <c r="B57" s="400" t="s">
        <v>27</v>
      </c>
      <c r="C57" s="348"/>
      <c r="D57" s="348"/>
      <c r="E57" s="348"/>
      <c r="F57" s="391"/>
      <c r="G57" s="422">
        <v>20.7</v>
      </c>
      <c r="H57" s="419">
        <v>4.16</v>
      </c>
      <c r="I57" s="419">
        <v>14.2</v>
      </c>
      <c r="J57" s="419">
        <v>42.1</v>
      </c>
      <c r="K57" s="422">
        <v>0.06</v>
      </c>
      <c r="L57" s="358">
        <v>809000</v>
      </c>
      <c r="M57" s="422">
        <v>4.51</v>
      </c>
      <c r="N57" s="422">
        <v>7.51</v>
      </c>
      <c r="O57" s="378">
        <v>50</v>
      </c>
      <c r="P57" s="378">
        <v>4</v>
      </c>
      <c r="Q57" s="378">
        <v>3</v>
      </c>
      <c r="R57" s="378">
        <v>25</v>
      </c>
      <c r="S57" s="378">
        <v>0.2</v>
      </c>
      <c r="T57" s="378">
        <v>1000</v>
      </c>
      <c r="U57" s="378">
        <v>10</v>
      </c>
      <c r="V57" s="378">
        <v>6</v>
      </c>
      <c r="W57" s="378" t="s">
        <v>201</v>
      </c>
      <c r="X57" s="378">
        <v>9</v>
      </c>
      <c r="Y57" s="379">
        <f t="shared" si="19"/>
        <v>0.41399999999999998</v>
      </c>
      <c r="Z57" s="379">
        <f t="shared" si="18"/>
        <v>0.23666666666666666</v>
      </c>
      <c r="AA57" s="379">
        <f t="shared" si="17"/>
        <v>4.7333333333333334</v>
      </c>
      <c r="AB57" s="379">
        <f t="shared" si="17"/>
        <v>1.6840000000000002</v>
      </c>
      <c r="AC57" s="379">
        <f t="shared" si="17"/>
        <v>0.3</v>
      </c>
      <c r="AD57" s="379">
        <f t="shared" si="17"/>
        <v>809</v>
      </c>
      <c r="AE57" s="379">
        <f t="shared" si="17"/>
        <v>0.45099999999999996</v>
      </c>
      <c r="AF57" s="379">
        <f t="shared" si="13"/>
        <v>6.7114093959730102E-3</v>
      </c>
      <c r="AG57" s="382">
        <f t="shared" si="14"/>
        <v>0.41399999999999998</v>
      </c>
      <c r="AH57" s="382">
        <f t="shared" si="14"/>
        <v>0.23666666666666666</v>
      </c>
      <c r="AI57" s="382">
        <f t="shared" si="14"/>
        <v>4.3758354483169697</v>
      </c>
      <c r="AJ57" s="382">
        <f t="shared" si="14"/>
        <v>2.131710435818154</v>
      </c>
      <c r="AK57" s="382">
        <f t="shared" si="14"/>
        <v>0.3</v>
      </c>
      <c r="AL57" s="382">
        <f t="shared" si="14"/>
        <v>15.539742608061362</v>
      </c>
      <c r="AM57" s="382">
        <f t="shared" si="14"/>
        <v>0.45099999999999996</v>
      </c>
      <c r="AN57" s="382">
        <f t="shared" si="14"/>
        <v>6.7114093959730102E-3</v>
      </c>
      <c r="AO57" s="394">
        <f t="shared" si="6"/>
        <v>2.9319583210323907</v>
      </c>
      <c r="AP57" s="395">
        <f t="shared" si="7"/>
        <v>15.539742608061362</v>
      </c>
      <c r="AQ57" s="396">
        <f t="shared" si="20"/>
        <v>8.5963795962710758</v>
      </c>
      <c r="AR57" s="396">
        <f t="shared" si="20"/>
        <v>241.48360032479772</v>
      </c>
      <c r="AS57" s="397">
        <f t="shared" si="9"/>
        <v>11.182128149888751</v>
      </c>
      <c r="AT57" s="410" t="str">
        <f t="shared" si="10"/>
        <v>berat</v>
      </c>
      <c r="AW57" s="406">
        <v>1</v>
      </c>
      <c r="AX57" s="407"/>
      <c r="AY57" s="408"/>
      <c r="AZ57" s="409"/>
    </row>
    <row r="58" spans="1:52" x14ac:dyDescent="0.2">
      <c r="A58" s="399">
        <v>44</v>
      </c>
      <c r="B58" s="400" t="s">
        <v>28</v>
      </c>
      <c r="C58" s="348"/>
      <c r="D58" s="348"/>
      <c r="E58" s="348"/>
      <c r="F58" s="391"/>
      <c r="G58" s="422">
        <v>27.3</v>
      </c>
      <c r="H58" s="422">
        <v>3.47</v>
      </c>
      <c r="I58" s="419">
        <v>173</v>
      </c>
      <c r="J58" s="419">
        <v>964</v>
      </c>
      <c r="K58" s="422">
        <v>2.1000000000000001E-2</v>
      </c>
      <c r="L58" s="358">
        <v>1143000</v>
      </c>
      <c r="M58" s="422">
        <v>3.93</v>
      </c>
      <c r="N58" s="422">
        <v>7.55</v>
      </c>
      <c r="O58" s="378">
        <v>50</v>
      </c>
      <c r="P58" s="378">
        <v>4</v>
      </c>
      <c r="Q58" s="378">
        <v>3</v>
      </c>
      <c r="R58" s="378">
        <v>25</v>
      </c>
      <c r="S58" s="378">
        <v>0.2</v>
      </c>
      <c r="T58" s="378">
        <v>1000</v>
      </c>
      <c r="U58" s="378">
        <v>10</v>
      </c>
      <c r="V58" s="378">
        <v>6</v>
      </c>
      <c r="W58" s="378" t="s">
        <v>201</v>
      </c>
      <c r="X58" s="378">
        <v>9</v>
      </c>
      <c r="Y58" s="379">
        <f t="shared" si="19"/>
        <v>0.54600000000000004</v>
      </c>
      <c r="Z58" s="379">
        <f t="shared" si="18"/>
        <v>0.29416666666666663</v>
      </c>
      <c r="AA58" s="379">
        <f t="shared" si="17"/>
        <v>57.666666666666664</v>
      </c>
      <c r="AB58" s="379">
        <f t="shared" si="17"/>
        <v>38.56</v>
      </c>
      <c r="AC58" s="379">
        <f t="shared" si="17"/>
        <v>0.105</v>
      </c>
      <c r="AD58" s="379">
        <f t="shared" si="17"/>
        <v>1143</v>
      </c>
      <c r="AE58" s="379">
        <f t="shared" si="17"/>
        <v>0.39300000000000002</v>
      </c>
      <c r="AF58" s="379">
        <f t="shared" si="13"/>
        <v>3.448275862068953E-2</v>
      </c>
      <c r="AG58" s="382">
        <f t="shared" si="14"/>
        <v>0.54600000000000004</v>
      </c>
      <c r="AH58" s="382">
        <f t="shared" si="14"/>
        <v>0.29416666666666663</v>
      </c>
      <c r="AI58" s="382">
        <f t="shared" si="14"/>
        <v>9.804624242045664</v>
      </c>
      <c r="AJ58" s="382">
        <f t="shared" si="14"/>
        <v>8.9306851261539659</v>
      </c>
      <c r="AK58" s="382">
        <f t="shared" si="14"/>
        <v>0.105</v>
      </c>
      <c r="AL58" s="382">
        <f t="shared" si="14"/>
        <v>16.290231151976407</v>
      </c>
      <c r="AM58" s="382">
        <f t="shared" si="14"/>
        <v>0.39300000000000002</v>
      </c>
      <c r="AN58" s="382">
        <f t="shared" si="14"/>
        <v>3.448275862068953E-2</v>
      </c>
      <c r="AO58" s="394">
        <f t="shared" si="6"/>
        <v>4.5497737431829242</v>
      </c>
      <c r="AP58" s="395">
        <f t="shared" si="7"/>
        <v>16.290231151976407</v>
      </c>
      <c r="AQ58" s="396">
        <f t="shared" si="20"/>
        <v>20.700441114156757</v>
      </c>
      <c r="AR58" s="396">
        <f t="shared" si="20"/>
        <v>265.37163098482256</v>
      </c>
      <c r="AS58" s="397">
        <f t="shared" si="9"/>
        <v>11.95976739111132</v>
      </c>
      <c r="AT58" s="410" t="str">
        <f t="shared" si="10"/>
        <v>berat</v>
      </c>
      <c r="AW58" s="406">
        <v>1</v>
      </c>
      <c r="AX58" s="407"/>
      <c r="AY58" s="408"/>
      <c r="AZ58" s="409"/>
    </row>
    <row r="59" spans="1:52" x14ac:dyDescent="0.2">
      <c r="A59" s="399">
        <v>45</v>
      </c>
      <c r="B59" s="400" t="s">
        <v>29</v>
      </c>
      <c r="C59" s="348"/>
      <c r="D59" s="348"/>
      <c r="E59" s="348"/>
      <c r="F59" s="391"/>
      <c r="G59" s="422">
        <v>29.5</v>
      </c>
      <c r="H59" s="422">
        <v>3.2</v>
      </c>
      <c r="I59" s="419">
        <v>18.3</v>
      </c>
      <c r="J59" s="419">
        <v>59.6</v>
      </c>
      <c r="K59" s="422">
        <v>1.7999999999999999E-2</v>
      </c>
      <c r="L59" s="358">
        <v>1935000</v>
      </c>
      <c r="M59" s="422">
        <v>1.86</v>
      </c>
      <c r="N59" s="422">
        <v>7.63</v>
      </c>
      <c r="O59" s="378">
        <v>50</v>
      </c>
      <c r="P59" s="378">
        <v>4</v>
      </c>
      <c r="Q59" s="378">
        <v>3</v>
      </c>
      <c r="R59" s="378">
        <v>25</v>
      </c>
      <c r="S59" s="378">
        <v>0.2</v>
      </c>
      <c r="T59" s="378">
        <v>1000</v>
      </c>
      <c r="U59" s="378">
        <v>10</v>
      </c>
      <c r="V59" s="378">
        <v>6</v>
      </c>
      <c r="W59" s="378" t="s">
        <v>201</v>
      </c>
      <c r="X59" s="378">
        <v>9</v>
      </c>
      <c r="Y59" s="379">
        <f t="shared" si="19"/>
        <v>0.59</v>
      </c>
      <c r="Z59" s="379">
        <f t="shared" si="18"/>
        <v>0.31666666666666665</v>
      </c>
      <c r="AA59" s="379">
        <f t="shared" si="17"/>
        <v>6.1000000000000005</v>
      </c>
      <c r="AB59" s="379">
        <f t="shared" si="17"/>
        <v>2.3839999999999999</v>
      </c>
      <c r="AC59" s="379">
        <f t="shared" si="17"/>
        <v>8.9999999999999983E-2</v>
      </c>
      <c r="AD59" s="379">
        <f t="shared" si="17"/>
        <v>1935</v>
      </c>
      <c r="AE59" s="379">
        <f t="shared" si="17"/>
        <v>0.186</v>
      </c>
      <c r="AF59" s="379">
        <f t="shared" si="13"/>
        <v>9.4890510948905021E-2</v>
      </c>
      <c r="AG59" s="382">
        <f t="shared" si="14"/>
        <v>0.59</v>
      </c>
      <c r="AH59" s="382">
        <f t="shared" si="14"/>
        <v>0.31666666666666665</v>
      </c>
      <c r="AI59" s="382">
        <f t="shared" si="14"/>
        <v>4.9266491750538357</v>
      </c>
      <c r="AJ59" s="382">
        <f t="shared" si="14"/>
        <v>2.8865312553409943</v>
      </c>
      <c r="AK59" s="382">
        <f t="shared" si="14"/>
        <v>8.9999999999999983E-2</v>
      </c>
      <c r="AL59" s="382">
        <f t="shared" si="14"/>
        <v>17.43340484677465</v>
      </c>
      <c r="AM59" s="382">
        <f t="shared" si="14"/>
        <v>0.186</v>
      </c>
      <c r="AN59" s="382">
        <f>IF(AF59&lt;1,AF59,(1+(5*(LOG10(AF59)))))</f>
        <v>9.4890510948905021E-2</v>
      </c>
      <c r="AO59" s="394">
        <f t="shared" si="6"/>
        <v>3.3155178068481312</v>
      </c>
      <c r="AP59" s="395">
        <f t="shared" si="7"/>
        <v>17.43340484677465</v>
      </c>
      <c r="AQ59" s="396">
        <f t="shared" si="20"/>
        <v>10.992658327527042</v>
      </c>
      <c r="AR59" s="396">
        <f t="shared" si="20"/>
        <v>303.92360455154585</v>
      </c>
      <c r="AS59" s="397">
        <f t="shared" si="9"/>
        <v>12.548232203762268</v>
      </c>
      <c r="AT59" s="410" t="str">
        <f t="shared" si="10"/>
        <v>berat</v>
      </c>
      <c r="AW59" s="406">
        <v>1</v>
      </c>
      <c r="AX59" s="407"/>
      <c r="AY59" s="408"/>
      <c r="AZ59" s="409"/>
    </row>
    <row r="60" spans="1:52" x14ac:dyDescent="0.2">
      <c r="L60" s="482"/>
      <c r="AR60" s="484" t="s">
        <v>369</v>
      </c>
      <c r="AS60" s="485">
        <f>AVERAGE(AS13:AS59)</f>
        <v>10.679002104167587</v>
      </c>
      <c r="AV60" s="399" t="s">
        <v>202</v>
      </c>
      <c r="AW60" s="406">
        <f>SUM(AW13:AW59)</f>
        <v>33</v>
      </c>
      <c r="AX60" s="407">
        <f>SUM(AX13:AX59)</f>
        <v>9</v>
      </c>
      <c r="AY60" s="408">
        <f>SUM(AY13:AY59)</f>
        <v>3</v>
      </c>
      <c r="AZ60" s="409">
        <f>SUM(AZ13:AZ59)</f>
        <v>0</v>
      </c>
    </row>
    <row r="62" spans="1:52" x14ac:dyDescent="0.2">
      <c r="A62" s="371" t="s">
        <v>37</v>
      </c>
      <c r="B62" s="366" t="s">
        <v>203</v>
      </c>
    </row>
    <row r="63" spans="1:52" x14ac:dyDescent="0.2">
      <c r="A63" s="371" t="s">
        <v>39</v>
      </c>
      <c r="B63" s="366" t="s">
        <v>356</v>
      </c>
    </row>
    <row r="65" spans="1:15" x14ac:dyDescent="0.2">
      <c r="A65" s="423" t="s">
        <v>41</v>
      </c>
      <c r="B65" s="424" t="s">
        <v>205</v>
      </c>
      <c r="C65" s="424"/>
      <c r="F65" s="425"/>
    </row>
    <row r="66" spans="1:15" ht="14.65" customHeight="1" x14ac:dyDescent="0.2">
      <c r="B66" s="426" t="s">
        <v>43</v>
      </c>
      <c r="C66" s="552" t="s">
        <v>44</v>
      </c>
      <c r="D66" s="553"/>
      <c r="E66" s="427"/>
      <c r="F66" s="428" t="s">
        <v>45</v>
      </c>
      <c r="G66" s="428" t="s">
        <v>46</v>
      </c>
      <c r="H66" s="428" t="s">
        <v>47</v>
      </c>
    </row>
    <row r="67" spans="1:15" x14ac:dyDescent="0.2">
      <c r="B67" s="409" t="s">
        <v>206</v>
      </c>
      <c r="C67" s="429"/>
      <c r="D67" s="430">
        <f>AZ60</f>
        <v>0</v>
      </c>
      <c r="E67" s="431"/>
      <c r="F67" s="432">
        <f>D67/D71</f>
        <v>0</v>
      </c>
      <c r="G67" s="399">
        <v>70</v>
      </c>
      <c r="H67" s="433">
        <f>G67*F67</f>
        <v>0</v>
      </c>
    </row>
    <row r="68" spans="1:15" x14ac:dyDescent="0.2">
      <c r="B68" s="408" t="s">
        <v>49</v>
      </c>
      <c r="C68" s="434"/>
      <c r="D68" s="435">
        <f>AY60</f>
        <v>3</v>
      </c>
      <c r="E68" s="436"/>
      <c r="F68" s="437">
        <f>D68/D71</f>
        <v>6.6666666666666666E-2</v>
      </c>
      <c r="G68" s="399">
        <v>50</v>
      </c>
      <c r="H68" s="433">
        <f>F68*G68</f>
        <v>3.3333333333333335</v>
      </c>
    </row>
    <row r="69" spans="1:15" x14ac:dyDescent="0.2">
      <c r="B69" s="407" t="s">
        <v>50</v>
      </c>
      <c r="C69" s="438"/>
      <c r="D69" s="439">
        <f>AX60</f>
        <v>9</v>
      </c>
      <c r="E69" s="440"/>
      <c r="F69" s="441">
        <f>D69/D71</f>
        <v>0.2</v>
      </c>
      <c r="G69" s="399">
        <v>30</v>
      </c>
      <c r="H69" s="433">
        <f>G69*F69</f>
        <v>6</v>
      </c>
    </row>
    <row r="70" spans="1:15" x14ac:dyDescent="0.2">
      <c r="B70" s="406" t="s">
        <v>51</v>
      </c>
      <c r="C70" s="442"/>
      <c r="D70" s="443">
        <f>AW60</f>
        <v>33</v>
      </c>
      <c r="E70" s="444"/>
      <c r="F70" s="445">
        <f>D70/D71</f>
        <v>0.73333333333333328</v>
      </c>
      <c r="G70" s="399">
        <v>10</v>
      </c>
      <c r="H70" s="433">
        <f>G70*F70</f>
        <v>7.333333333333333</v>
      </c>
    </row>
    <row r="71" spans="1:15" x14ac:dyDescent="0.2">
      <c r="B71" s="399"/>
      <c r="C71" s="446"/>
      <c r="D71" s="447">
        <f>SUM(D67:D70)</f>
        <v>45</v>
      </c>
      <c r="E71" s="448"/>
      <c r="F71" s="449"/>
      <c r="G71" s="399"/>
      <c r="H71" s="450"/>
      <c r="J71" s="540" t="s">
        <v>116</v>
      </c>
      <c r="K71" s="540"/>
      <c r="L71" s="540"/>
      <c r="M71" s="540"/>
      <c r="N71" s="540"/>
      <c r="O71" s="540"/>
    </row>
    <row r="72" spans="1:15" x14ac:dyDescent="0.2">
      <c r="B72" s="451" t="s">
        <v>207</v>
      </c>
      <c r="C72" s="452"/>
      <c r="D72" s="453"/>
      <c r="E72" s="454"/>
      <c r="F72" s="453"/>
      <c r="G72" s="453"/>
      <c r="H72" s="455">
        <f>SUM(H67:H71)</f>
        <v>16.666666666666668</v>
      </c>
      <c r="J72" s="371" t="s">
        <v>370</v>
      </c>
      <c r="K72" s="366">
        <v>2022</v>
      </c>
      <c r="L72" s="366">
        <v>2023</v>
      </c>
      <c r="M72" s="366">
        <v>2024</v>
      </c>
      <c r="N72" s="366">
        <v>2025</v>
      </c>
      <c r="O72" s="366">
        <v>2026</v>
      </c>
    </row>
    <row r="73" spans="1:15" x14ac:dyDescent="0.2">
      <c r="J73" s="371" t="s">
        <v>371</v>
      </c>
      <c r="K73" s="405">
        <f>H72</f>
        <v>16.666666666666668</v>
      </c>
      <c r="L73" s="483">
        <f>K73+K73*0.5%</f>
        <v>16.75</v>
      </c>
      <c r="M73" s="483">
        <f t="shared" ref="M73:O73" si="21">L73+L73*0.5%</f>
        <v>16.833749999999998</v>
      </c>
      <c r="N73" s="483">
        <f t="shared" si="21"/>
        <v>16.917918749999998</v>
      </c>
      <c r="O73" s="483">
        <f t="shared" si="21"/>
        <v>17.002508343749998</v>
      </c>
    </row>
    <row r="76" spans="1:15" x14ac:dyDescent="0.2">
      <c r="J76" s="540" t="s">
        <v>372</v>
      </c>
      <c r="K76" s="540"/>
      <c r="L76" s="540"/>
      <c r="M76" s="540"/>
      <c r="N76" s="540"/>
      <c r="O76" s="540"/>
    </row>
    <row r="77" spans="1:15" x14ac:dyDescent="0.2">
      <c r="J77" s="371" t="s">
        <v>370</v>
      </c>
      <c r="K77" s="366">
        <v>2022</v>
      </c>
      <c r="L77" s="366">
        <v>2023</v>
      </c>
      <c r="M77" s="366">
        <v>2024</v>
      </c>
      <c r="N77" s="366">
        <v>2025</v>
      </c>
      <c r="O77" s="366">
        <v>2026</v>
      </c>
    </row>
    <row r="78" spans="1:15" x14ac:dyDescent="0.2">
      <c r="J78" s="371" t="s">
        <v>371</v>
      </c>
      <c r="K78" s="405">
        <f>AS60</f>
        <v>10.679002104167587</v>
      </c>
      <c r="L78" s="483">
        <f>K78-K78*0.5%</f>
        <v>10.625607093646749</v>
      </c>
      <c r="M78" s="483">
        <f t="shared" ref="M78:O78" si="22">L78-L78*0.5%</f>
        <v>10.572479058178516</v>
      </c>
      <c r="N78" s="483">
        <f t="shared" si="22"/>
        <v>10.519616662887623</v>
      </c>
      <c r="O78" s="483">
        <f t="shared" si="22"/>
        <v>10.467018579573185</v>
      </c>
    </row>
    <row r="87" spans="11:14" x14ac:dyDescent="0.2">
      <c r="K87" s="428" t="s">
        <v>307</v>
      </c>
      <c r="L87" s="428" t="s">
        <v>47</v>
      </c>
      <c r="M87" s="428" t="s">
        <v>46</v>
      </c>
      <c r="N87" s="428" t="s">
        <v>306</v>
      </c>
    </row>
    <row r="88" spans="11:14" x14ac:dyDescent="0.2">
      <c r="K88" s="399" t="s">
        <v>308</v>
      </c>
      <c r="L88" s="399">
        <v>68.91</v>
      </c>
      <c r="M88" s="399">
        <v>0.376</v>
      </c>
      <c r="N88" s="399">
        <f>L88*M88</f>
        <v>25.910159999999998</v>
      </c>
    </row>
    <row r="89" spans="11:14" x14ac:dyDescent="0.2">
      <c r="K89" s="399" t="s">
        <v>116</v>
      </c>
      <c r="L89" s="399">
        <v>14</v>
      </c>
      <c r="M89" s="399">
        <v>0.40500000000000003</v>
      </c>
      <c r="N89" s="399">
        <f>L89*M89</f>
        <v>5.67</v>
      </c>
    </row>
    <row r="90" spans="11:14" x14ac:dyDescent="0.2">
      <c r="K90" s="399" t="s">
        <v>309</v>
      </c>
      <c r="L90" s="399">
        <v>22.996500000000001</v>
      </c>
      <c r="M90" s="399">
        <v>0.219</v>
      </c>
      <c r="N90" s="399">
        <f>L90*M90</f>
        <v>5.0362334999999998</v>
      </c>
    </row>
    <row r="91" spans="11:14" x14ac:dyDescent="0.2">
      <c r="K91" s="446"/>
      <c r="L91" s="453"/>
      <c r="M91" s="456" t="s">
        <v>303</v>
      </c>
      <c r="N91" s="387">
        <f>SUM(N88:N90)</f>
        <v>36.616393500000001</v>
      </c>
    </row>
    <row r="93" spans="11:14" x14ac:dyDescent="0.2">
      <c r="K93" s="366" t="s">
        <v>302</v>
      </c>
    </row>
    <row r="95" spans="11:14" x14ac:dyDescent="0.2">
      <c r="K95" s="457" t="s">
        <v>304</v>
      </c>
    </row>
    <row r="97" spans="11:11" x14ac:dyDescent="0.2">
      <c r="K97" s="457" t="s">
        <v>305</v>
      </c>
    </row>
  </sheetData>
  <mergeCells count="18">
    <mergeCell ref="AX11:AX12"/>
    <mergeCell ref="AY11:AY12"/>
    <mergeCell ref="AZ11:AZ12"/>
    <mergeCell ref="C66:D66"/>
    <mergeCell ref="O10:X10"/>
    <mergeCell ref="Y10:AF10"/>
    <mergeCell ref="AG10:AN10"/>
    <mergeCell ref="AT10:AT11"/>
    <mergeCell ref="V11:X11"/>
    <mergeCell ref="AW11:AW12"/>
    <mergeCell ref="G10:N10"/>
    <mergeCell ref="J71:O71"/>
    <mergeCell ref="J76:O76"/>
    <mergeCell ref="A10:A11"/>
    <mergeCell ref="B10:B11"/>
    <mergeCell ref="C10:D11"/>
    <mergeCell ref="E10:E11"/>
    <mergeCell ref="F10:F11"/>
  </mergeCells>
  <pageMargins left="0.25" right="0.2" top="1.26" bottom="0.75" header="0.3" footer="0.3"/>
  <pageSetup paperSize="256" scale="55" orientation="landscape" horizontalDpi="4294967293" vertic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U17"/>
  <sheetViews>
    <sheetView zoomScale="85" zoomScaleNormal="85" workbookViewId="0">
      <selection activeCell="P27" sqref="P27"/>
    </sheetView>
  </sheetViews>
  <sheetFormatPr defaultColWidth="8.7109375" defaultRowHeight="15" x14ac:dyDescent="0.25"/>
  <cols>
    <col min="4" max="4" width="23.7109375" customWidth="1"/>
    <col min="5" max="8" width="9.140625" style="39"/>
    <col min="13" max="14" width="9.140625" style="39"/>
    <col min="17" max="18" width="9.140625" style="39"/>
  </cols>
  <sheetData>
    <row r="1" spans="1:21" x14ac:dyDescent="0.25">
      <c r="E1" s="505">
        <v>2016</v>
      </c>
      <c r="F1" s="505"/>
      <c r="G1" s="505"/>
      <c r="H1" s="505"/>
      <c r="I1" s="571">
        <v>2017</v>
      </c>
      <c r="J1" s="571"/>
      <c r="K1" s="571"/>
      <c r="L1" s="571"/>
      <c r="M1" s="572">
        <v>2016</v>
      </c>
      <c r="N1" s="573"/>
      <c r="O1" s="570">
        <v>2017</v>
      </c>
      <c r="P1" s="570"/>
      <c r="Q1" s="573">
        <v>2016</v>
      </c>
      <c r="R1" s="573"/>
      <c r="S1" s="570">
        <v>2017</v>
      </c>
      <c r="T1" s="570"/>
    </row>
    <row r="2" spans="1:21" ht="51" x14ac:dyDescent="0.35">
      <c r="A2" s="506" t="s">
        <v>4</v>
      </c>
      <c r="B2" s="506" t="s">
        <v>90</v>
      </c>
      <c r="C2" s="506" t="s">
        <v>89</v>
      </c>
      <c r="D2" s="507" t="s">
        <v>88</v>
      </c>
      <c r="E2" s="105" t="s">
        <v>87</v>
      </c>
      <c r="F2" s="105" t="s">
        <v>86</v>
      </c>
      <c r="G2" s="105" t="s">
        <v>85</v>
      </c>
      <c r="H2" s="52" t="s">
        <v>84</v>
      </c>
      <c r="I2" s="105" t="s">
        <v>87</v>
      </c>
      <c r="J2" s="105" t="s">
        <v>86</v>
      </c>
      <c r="K2" s="105" t="s">
        <v>85</v>
      </c>
      <c r="L2" s="52" t="s">
        <v>84</v>
      </c>
      <c r="M2" s="105" t="s">
        <v>83</v>
      </c>
      <c r="N2" s="105" t="s">
        <v>82</v>
      </c>
      <c r="O2" s="105" t="s">
        <v>83</v>
      </c>
      <c r="P2" s="105" t="s">
        <v>82</v>
      </c>
      <c r="Q2" s="105" t="s">
        <v>81</v>
      </c>
      <c r="R2" s="119" t="s">
        <v>80</v>
      </c>
      <c r="S2" s="105" t="s">
        <v>81</v>
      </c>
      <c r="T2" s="119" t="s">
        <v>80</v>
      </c>
      <c r="U2" s="39"/>
    </row>
    <row r="3" spans="1:21" ht="18" x14ac:dyDescent="0.3">
      <c r="A3" s="506"/>
      <c r="B3" s="506"/>
      <c r="C3" s="506"/>
      <c r="D3" s="507"/>
      <c r="E3" s="48" t="s">
        <v>79</v>
      </c>
      <c r="F3" s="48" t="s">
        <v>79</v>
      </c>
      <c r="G3" s="48" t="s">
        <v>79</v>
      </c>
      <c r="H3" s="49" t="s">
        <v>79</v>
      </c>
      <c r="I3" s="48" t="s">
        <v>79</v>
      </c>
      <c r="J3" s="48" t="s">
        <v>79</v>
      </c>
      <c r="K3" s="48" t="s">
        <v>79</v>
      </c>
      <c r="L3" s="49" t="s">
        <v>79</v>
      </c>
      <c r="M3" s="48" t="s">
        <v>79</v>
      </c>
      <c r="N3" s="48" t="s">
        <v>79</v>
      </c>
      <c r="O3" s="48" t="s">
        <v>79</v>
      </c>
      <c r="P3" s="48" t="s">
        <v>79</v>
      </c>
      <c r="Q3" s="47" t="s">
        <v>78</v>
      </c>
      <c r="R3" s="46" t="s">
        <v>78</v>
      </c>
      <c r="S3" s="47" t="s">
        <v>78</v>
      </c>
      <c r="T3" s="46" t="s">
        <v>78</v>
      </c>
      <c r="U3" s="39"/>
    </row>
    <row r="4" spans="1:21" ht="16.5" x14ac:dyDescent="0.3">
      <c r="A4" s="508">
        <v>1</v>
      </c>
      <c r="B4" s="509" t="s">
        <v>77</v>
      </c>
      <c r="C4" s="509" t="s">
        <v>76</v>
      </c>
      <c r="D4" s="106" t="s">
        <v>75</v>
      </c>
      <c r="E4" s="41">
        <v>18.399999999999999</v>
      </c>
      <c r="F4" s="41">
        <v>20.8</v>
      </c>
      <c r="G4" s="41">
        <v>103.7</v>
      </c>
      <c r="H4" s="41">
        <v>112.5</v>
      </c>
      <c r="I4" s="41">
        <v>37</v>
      </c>
      <c r="J4" s="41"/>
      <c r="K4" s="41">
        <v>35</v>
      </c>
      <c r="L4" s="41"/>
      <c r="M4" s="45">
        <f>AVERAGE(E4:F11)</f>
        <v>15.047083333333335</v>
      </c>
      <c r="N4" s="45">
        <f>AVERAGE(G4:H11)</f>
        <v>66.029166666666669</v>
      </c>
      <c r="O4" s="45">
        <f>AVERAGE(I4:I11)</f>
        <v>28.625</v>
      </c>
      <c r="P4" s="45">
        <f>AVERAGE(K4:K11)</f>
        <v>28.375</v>
      </c>
      <c r="Q4" s="44">
        <f>((M4/20)+(N4/40))/2</f>
        <v>1.2015416666666667</v>
      </c>
      <c r="R4" s="43">
        <f>100-(50/0.9*(Q4-0.1))</f>
        <v>38.80324074074074</v>
      </c>
      <c r="S4" s="44">
        <f>((O4/20)+(P4/40))/2</f>
        <v>1.0703125</v>
      </c>
      <c r="T4" s="43">
        <f>100-(50/0.9*(S4-0.1))</f>
        <v>46.09375</v>
      </c>
      <c r="U4" s="39"/>
    </row>
    <row r="5" spans="1:21" ht="16.5" x14ac:dyDescent="0.3">
      <c r="A5" s="508"/>
      <c r="B5" s="509"/>
      <c r="C5" s="509"/>
      <c r="D5" s="106" t="s">
        <v>74</v>
      </c>
      <c r="E5" s="41">
        <f>(12.8+17.1+10.2)/3</f>
        <v>13.366666666666667</v>
      </c>
      <c r="F5" s="41">
        <v>9.8000000000000007</v>
      </c>
      <c r="G5" s="41">
        <f>(86.6+104.7+57.1)/3</f>
        <v>82.8</v>
      </c>
      <c r="H5" s="41">
        <v>73.2</v>
      </c>
      <c r="I5" s="41">
        <v>30</v>
      </c>
      <c r="J5" s="41"/>
      <c r="K5" s="41">
        <v>30</v>
      </c>
      <c r="L5" s="41"/>
      <c r="M5" s="108"/>
      <c r="N5" s="109"/>
      <c r="O5" s="109"/>
      <c r="P5" s="109"/>
      <c r="Q5" s="109"/>
      <c r="R5" s="109"/>
      <c r="S5" s="109"/>
      <c r="T5" s="110"/>
      <c r="U5" s="39"/>
    </row>
    <row r="6" spans="1:21" ht="16.5" x14ac:dyDescent="0.3">
      <c r="A6" s="508"/>
      <c r="B6" s="509"/>
      <c r="C6" s="509"/>
      <c r="D6" s="106" t="s">
        <v>73</v>
      </c>
      <c r="E6" s="41">
        <v>10.7</v>
      </c>
      <c r="F6" s="41">
        <v>10</v>
      </c>
      <c r="G6" s="41">
        <v>59.3</v>
      </c>
      <c r="H6" s="41">
        <v>51.2</v>
      </c>
      <c r="I6" s="41">
        <v>25</v>
      </c>
      <c r="J6" s="41"/>
      <c r="K6" s="41">
        <v>25</v>
      </c>
      <c r="L6" s="41"/>
      <c r="M6" s="111"/>
      <c r="N6" s="112"/>
      <c r="O6" s="112"/>
      <c r="P6" s="112"/>
      <c r="Q6" s="112"/>
      <c r="R6" s="112"/>
      <c r="S6" s="112"/>
      <c r="T6" s="113"/>
      <c r="U6" s="39"/>
    </row>
    <row r="7" spans="1:21" ht="34.5" customHeight="1" x14ac:dyDescent="0.3">
      <c r="A7" s="508"/>
      <c r="B7" s="509"/>
      <c r="C7" s="509"/>
      <c r="D7" s="106" t="s">
        <v>72</v>
      </c>
      <c r="E7" s="41">
        <v>11.2</v>
      </c>
      <c r="F7" s="41">
        <v>20.8</v>
      </c>
      <c r="G7" s="41">
        <v>72.900000000000006</v>
      </c>
      <c r="H7" s="41">
        <v>57.2</v>
      </c>
      <c r="I7" s="41">
        <v>28</v>
      </c>
      <c r="J7" s="41"/>
      <c r="K7" s="41">
        <v>27</v>
      </c>
      <c r="L7" s="41"/>
      <c r="M7" s="111"/>
      <c r="N7" s="112"/>
      <c r="O7" s="112"/>
      <c r="P7" s="112"/>
      <c r="Q7" s="112"/>
      <c r="R7" s="112"/>
      <c r="S7" s="112"/>
      <c r="T7" s="113"/>
      <c r="U7" s="39"/>
    </row>
    <row r="8" spans="1:21" ht="16.5" x14ac:dyDescent="0.3">
      <c r="A8" s="508"/>
      <c r="B8" s="509"/>
      <c r="C8" s="509"/>
      <c r="D8" s="106" t="s">
        <v>71</v>
      </c>
      <c r="E8" s="41">
        <f>(10.4+13.4+10)/3</f>
        <v>11.266666666666666</v>
      </c>
      <c r="F8" s="41">
        <v>11.78</v>
      </c>
      <c r="G8" s="41">
        <f>(56.1+83.7+28.1)/3</f>
        <v>55.966666666666669</v>
      </c>
      <c r="H8" s="41">
        <v>59.65</v>
      </c>
      <c r="I8" s="41">
        <v>29</v>
      </c>
      <c r="J8" s="41"/>
      <c r="K8" s="41">
        <v>29</v>
      </c>
      <c r="L8" s="41"/>
      <c r="M8" s="111"/>
      <c r="N8" s="112"/>
      <c r="O8" s="112"/>
      <c r="P8" s="112"/>
      <c r="Q8" s="112"/>
      <c r="R8" s="112"/>
      <c r="S8" s="112"/>
      <c r="T8" s="113"/>
      <c r="U8" s="39"/>
    </row>
    <row r="9" spans="1:21" ht="16.5" x14ac:dyDescent="0.3">
      <c r="A9" s="508"/>
      <c r="B9" s="509"/>
      <c r="C9" s="509"/>
      <c r="D9" s="106" t="s">
        <v>70</v>
      </c>
      <c r="E9" s="41">
        <v>31.5</v>
      </c>
      <c r="F9" s="41">
        <v>29.2</v>
      </c>
      <c r="G9" s="41">
        <v>68.3</v>
      </c>
      <c r="H9" s="41">
        <v>63.7</v>
      </c>
      <c r="I9" s="41">
        <v>25</v>
      </c>
      <c r="J9" s="41"/>
      <c r="K9" s="41">
        <v>25</v>
      </c>
      <c r="L9" s="41"/>
      <c r="M9" s="111"/>
      <c r="N9" s="112"/>
      <c r="O9" s="112"/>
      <c r="P9" s="112"/>
      <c r="Q9" s="112"/>
      <c r="R9" s="112"/>
      <c r="S9" s="112"/>
      <c r="T9" s="113"/>
      <c r="U9" s="39"/>
    </row>
    <row r="10" spans="1:21" ht="34.5" customHeight="1" x14ac:dyDescent="0.3">
      <c r="A10" s="508"/>
      <c r="B10" s="509"/>
      <c r="C10" s="509"/>
      <c r="D10" s="106" t="s">
        <v>69</v>
      </c>
      <c r="E10" s="41">
        <v>14.8</v>
      </c>
      <c r="F10" s="41">
        <v>12.5</v>
      </c>
      <c r="G10" s="41">
        <v>58.1</v>
      </c>
      <c r="H10" s="41">
        <v>60.3</v>
      </c>
      <c r="I10" s="41">
        <v>25</v>
      </c>
      <c r="J10" s="41"/>
      <c r="K10" s="41">
        <v>26</v>
      </c>
      <c r="L10" s="41"/>
      <c r="M10" s="111"/>
      <c r="N10" s="112"/>
      <c r="O10" s="112"/>
      <c r="P10" s="112"/>
      <c r="Q10" s="112"/>
      <c r="R10" s="112"/>
      <c r="S10" s="112"/>
      <c r="T10" s="113"/>
      <c r="U10" s="39"/>
    </row>
    <row r="11" spans="1:21" ht="28.5" customHeight="1" x14ac:dyDescent="0.3">
      <c r="A11" s="508"/>
      <c r="B11" s="509"/>
      <c r="C11" s="509"/>
      <c r="D11" s="106" t="s">
        <v>68</v>
      </c>
      <c r="E11" s="41">
        <v>2.84</v>
      </c>
      <c r="F11" s="41">
        <v>11.8</v>
      </c>
      <c r="G11" s="41">
        <v>14.25</v>
      </c>
      <c r="H11" s="41">
        <v>63.4</v>
      </c>
      <c r="I11" s="41">
        <v>30</v>
      </c>
      <c r="J11" s="41"/>
      <c r="K11" s="41">
        <v>30</v>
      </c>
      <c r="L11" s="41"/>
      <c r="M11" s="117"/>
      <c r="N11" s="118"/>
      <c r="O11" s="115"/>
      <c r="P11" s="115"/>
      <c r="Q11" s="118"/>
      <c r="R11" s="118"/>
      <c r="S11" s="115"/>
      <c r="T11" s="116"/>
      <c r="U11" s="39"/>
    </row>
    <row r="12" spans="1:21" ht="16.5" x14ac:dyDescent="0.3">
      <c r="A12" s="40"/>
      <c r="B12" s="40"/>
      <c r="C12" s="40"/>
      <c r="D12" s="40"/>
      <c r="E12" s="40"/>
      <c r="F12" s="40"/>
      <c r="G12" s="40"/>
      <c r="H12" s="40"/>
      <c r="I12" s="40"/>
      <c r="J12" s="40"/>
      <c r="K12" s="40"/>
      <c r="L12" s="40"/>
      <c r="O12" s="39"/>
      <c r="P12" s="39"/>
      <c r="S12" s="39"/>
      <c r="T12" s="39"/>
      <c r="U12" s="39"/>
    </row>
    <row r="13" spans="1:21" ht="16.5" x14ac:dyDescent="0.3">
      <c r="A13" s="40"/>
      <c r="B13" s="40"/>
      <c r="C13" s="40"/>
      <c r="D13" s="40"/>
      <c r="E13" s="40"/>
      <c r="F13" s="40"/>
      <c r="G13" s="40"/>
      <c r="H13" s="40"/>
      <c r="I13" s="40"/>
      <c r="J13" s="40"/>
      <c r="K13" s="40"/>
      <c r="L13" s="40"/>
      <c r="O13" s="39"/>
      <c r="P13" s="39"/>
      <c r="S13" s="39"/>
      <c r="T13" s="39"/>
      <c r="U13" s="39"/>
    </row>
    <row r="14" spans="1:21" ht="16.5" x14ac:dyDescent="0.3">
      <c r="A14" s="40"/>
      <c r="B14" s="40"/>
      <c r="C14" s="40"/>
      <c r="D14" s="40"/>
      <c r="E14" s="40"/>
      <c r="F14" s="40"/>
      <c r="G14" s="40"/>
      <c r="H14" s="40"/>
      <c r="I14" s="40"/>
      <c r="J14" s="40"/>
      <c r="K14" s="40"/>
      <c r="L14" s="40"/>
      <c r="O14" s="39"/>
      <c r="P14" s="39"/>
      <c r="S14" s="39"/>
      <c r="T14" s="39"/>
      <c r="U14" s="39"/>
    </row>
    <row r="15" spans="1:21" x14ac:dyDescent="0.25">
      <c r="A15" s="39"/>
      <c r="B15" s="39"/>
      <c r="C15" s="39"/>
      <c r="D15" s="39"/>
      <c r="I15" s="39"/>
      <c r="J15" s="39"/>
      <c r="K15" s="39"/>
      <c r="L15" s="39"/>
      <c r="O15" s="39"/>
      <c r="P15" s="39"/>
      <c r="S15" s="39"/>
      <c r="T15" s="39"/>
      <c r="U15" s="39"/>
    </row>
    <row r="16" spans="1:21" x14ac:dyDescent="0.25">
      <c r="A16" s="39"/>
      <c r="B16" s="39"/>
      <c r="C16" s="39"/>
      <c r="D16" s="39"/>
      <c r="I16" s="39"/>
      <c r="J16" s="39"/>
      <c r="K16" s="39"/>
      <c r="L16" s="39"/>
      <c r="O16" s="39"/>
      <c r="P16" s="39"/>
      <c r="S16" s="39"/>
      <c r="T16" s="39"/>
      <c r="U16" s="39"/>
    </row>
    <row r="17" spans="1:21" x14ac:dyDescent="0.25">
      <c r="A17" s="39"/>
      <c r="B17" s="39"/>
      <c r="C17" s="39"/>
      <c r="D17" s="39"/>
      <c r="I17" s="39"/>
      <c r="J17" s="39"/>
      <c r="K17" s="39"/>
      <c r="L17" s="39"/>
      <c r="O17" s="39"/>
      <c r="P17" s="39"/>
      <c r="S17" s="39"/>
      <c r="T17" s="39"/>
      <c r="U17" s="39"/>
    </row>
  </sheetData>
  <mergeCells count="13">
    <mergeCell ref="A2:A3"/>
    <mergeCell ref="B2:B3"/>
    <mergeCell ref="C2:C3"/>
    <mergeCell ref="D2:D3"/>
    <mergeCell ref="A4:A11"/>
    <mergeCell ref="B4:B11"/>
    <mergeCell ref="C4:C11"/>
    <mergeCell ref="S1:T1"/>
    <mergeCell ref="E1:H1"/>
    <mergeCell ref="I1:L1"/>
    <mergeCell ref="M1:N1"/>
    <mergeCell ref="O1:P1"/>
    <mergeCell ref="Q1:R1"/>
  </mergeCells>
  <pageMargins left="0.7" right="0.7" top="0.75" bottom="0.75" header="0.3" footer="0.3"/>
  <pageSetup paperSize="5"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81"/>
  <sheetViews>
    <sheetView topLeftCell="A62" zoomScaleNormal="100" workbookViewId="0">
      <selection activeCell="J8" sqref="J8"/>
    </sheetView>
  </sheetViews>
  <sheetFormatPr defaultColWidth="9.140625" defaultRowHeight="15" x14ac:dyDescent="0.25"/>
  <cols>
    <col min="1" max="1" width="4.140625" style="53" bestFit="1" customWidth="1"/>
    <col min="2" max="2" width="38.28515625" style="53" customWidth="1"/>
    <col min="3" max="3" width="21.28515625" style="53" customWidth="1"/>
    <col min="4" max="4" width="14.140625" style="53" customWidth="1"/>
    <col min="5" max="5" width="10.42578125" style="121" customWidth="1"/>
    <col min="6" max="6" width="10.140625" style="121" customWidth="1"/>
    <col min="7" max="9" width="13.42578125" style="121" bestFit="1" customWidth="1"/>
    <col min="10" max="11" width="12" style="122" customWidth="1"/>
    <col min="12" max="14" width="9" style="53" customWidth="1"/>
    <col min="15" max="15" width="14.140625" style="53" customWidth="1"/>
    <col min="16" max="16" width="5.7109375" style="53" customWidth="1"/>
    <col min="17" max="17" width="9.140625" style="53" customWidth="1"/>
    <col min="18" max="18" width="7.7109375" style="53" customWidth="1"/>
    <col min="19" max="19" width="6.28515625" style="53" customWidth="1"/>
    <col min="20" max="20" width="5.28515625" style="53" customWidth="1"/>
    <col min="21" max="22" width="6.28515625" style="53" customWidth="1"/>
    <col min="23" max="23" width="8.28515625" style="53" customWidth="1"/>
    <col min="24" max="24" width="8.7109375" style="53" customWidth="1"/>
    <col min="25" max="25" width="9.7109375" style="53" customWidth="1"/>
    <col min="26" max="26" width="6.28515625" style="53" customWidth="1"/>
    <col min="27" max="27" width="6" style="53" customWidth="1"/>
    <col min="28" max="28" width="6.28515625" style="53" customWidth="1"/>
    <col min="29" max="29" width="5.42578125" style="53" customWidth="1"/>
    <col min="30" max="30" width="6.28515625" style="53" customWidth="1"/>
    <col min="31" max="31" width="8.7109375" style="53" customWidth="1"/>
    <col min="32" max="32" width="7.7109375" style="53" customWidth="1"/>
    <col min="33" max="33" width="9.140625" style="53"/>
    <col min="34" max="34" width="18.28515625" style="53" customWidth="1"/>
    <col min="35" max="35" width="9.140625" style="53"/>
    <col min="36" max="36" width="10.42578125" style="53" bestFit="1" customWidth="1"/>
    <col min="37" max="37" width="9.140625" style="53"/>
    <col min="38" max="38" width="10.7109375" style="53" bestFit="1" customWidth="1"/>
    <col min="39" max="16384" width="9.140625" style="53"/>
  </cols>
  <sheetData>
    <row r="1" spans="1:38" x14ac:dyDescent="0.25">
      <c r="B1" s="54" t="s">
        <v>0</v>
      </c>
    </row>
    <row r="3" spans="1:38" x14ac:dyDescent="0.25">
      <c r="B3" s="54" t="s">
        <v>1</v>
      </c>
    </row>
    <row r="4" spans="1:38" x14ac:dyDescent="0.25">
      <c r="B4" s="54" t="s">
        <v>2</v>
      </c>
    </row>
    <row r="6" spans="1:38" x14ac:dyDescent="0.25">
      <c r="B6" s="54" t="s">
        <v>3</v>
      </c>
      <c r="E6" s="575" t="s">
        <v>128</v>
      </c>
      <c r="F6" s="575"/>
      <c r="G6" s="575"/>
      <c r="H6" s="575"/>
      <c r="I6" s="575"/>
      <c r="J6" s="575"/>
      <c r="K6" s="575"/>
      <c r="L6" s="574" t="s">
        <v>127</v>
      </c>
      <c r="M6" s="574"/>
      <c r="N6" s="574"/>
      <c r="O6" s="574"/>
      <c r="P6" s="574"/>
      <c r="Q6" s="574"/>
      <c r="R6" s="574"/>
      <c r="S6" s="574" t="s">
        <v>129</v>
      </c>
      <c r="T6" s="574"/>
      <c r="U6" s="574"/>
      <c r="V6" s="574"/>
      <c r="W6" s="574"/>
      <c r="X6" s="574"/>
      <c r="Y6" s="574"/>
      <c r="Z6" s="574" t="s">
        <v>130</v>
      </c>
      <c r="AA6" s="574"/>
      <c r="AB6" s="574"/>
      <c r="AC6" s="574"/>
      <c r="AD6" s="574"/>
      <c r="AE6" s="574"/>
      <c r="AF6" s="574"/>
      <c r="AG6" s="130" t="s">
        <v>131</v>
      </c>
      <c r="AH6" s="131" t="s">
        <v>132</v>
      </c>
      <c r="AI6" s="131"/>
      <c r="AJ6" s="131"/>
      <c r="AK6" s="131"/>
    </row>
    <row r="7" spans="1:38" ht="33.75" thickBot="1" x14ac:dyDescent="0.3">
      <c r="A7" s="56" t="s">
        <v>4</v>
      </c>
      <c r="B7" s="57" t="s">
        <v>5</v>
      </c>
      <c r="C7" s="57" t="s">
        <v>6</v>
      </c>
      <c r="D7" s="57" t="s">
        <v>7</v>
      </c>
      <c r="E7" s="58" t="s">
        <v>8</v>
      </c>
      <c r="F7" s="58" t="s">
        <v>9</v>
      </c>
      <c r="G7" s="58" t="s">
        <v>10</v>
      </c>
      <c r="H7" s="58" t="s">
        <v>11</v>
      </c>
      <c r="I7" s="58" t="s">
        <v>12</v>
      </c>
      <c r="J7" s="120" t="s">
        <v>13</v>
      </c>
      <c r="K7" s="120" t="s">
        <v>14</v>
      </c>
      <c r="L7" s="59" t="s">
        <v>8</v>
      </c>
      <c r="M7" s="59" t="s">
        <v>9</v>
      </c>
      <c r="N7" s="59" t="s">
        <v>10</v>
      </c>
      <c r="O7" s="59" t="s">
        <v>11</v>
      </c>
      <c r="P7" s="59" t="s">
        <v>12</v>
      </c>
      <c r="Q7" s="59" t="s">
        <v>13</v>
      </c>
      <c r="R7" s="59"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60" t="s">
        <v>15</v>
      </c>
      <c r="AH7" s="60" t="s">
        <v>16</v>
      </c>
      <c r="AI7" s="60" t="s">
        <v>17</v>
      </c>
      <c r="AJ7" s="60" t="s">
        <v>18</v>
      </c>
      <c r="AK7" s="60" t="s">
        <v>19</v>
      </c>
      <c r="AL7" s="61" t="s">
        <v>20</v>
      </c>
    </row>
    <row r="8" spans="1:38" ht="17.25" thickBot="1" x14ac:dyDescent="0.35">
      <c r="A8" s="62">
        <v>1</v>
      </c>
      <c r="B8" s="132" t="s">
        <v>21</v>
      </c>
      <c r="C8" s="63"/>
      <c r="D8" s="87">
        <v>42991</v>
      </c>
      <c r="E8" s="135">
        <v>30</v>
      </c>
      <c r="F8" s="136">
        <v>6</v>
      </c>
      <c r="G8" s="136">
        <v>4</v>
      </c>
      <c r="H8" s="136">
        <v>17</v>
      </c>
      <c r="I8" s="136">
        <v>0.1</v>
      </c>
      <c r="J8" s="137">
        <v>1200</v>
      </c>
      <c r="K8" s="137">
        <v>1500</v>
      </c>
      <c r="L8" s="59">
        <v>50</v>
      </c>
      <c r="M8" s="59">
        <v>4</v>
      </c>
      <c r="N8" s="59">
        <v>3</v>
      </c>
      <c r="O8" s="59">
        <v>25</v>
      </c>
      <c r="P8" s="59">
        <v>0.2</v>
      </c>
      <c r="Q8" s="59">
        <v>1000</v>
      </c>
      <c r="R8" s="59">
        <v>5000</v>
      </c>
      <c r="S8" s="7">
        <f>E8/L8</f>
        <v>0.6</v>
      </c>
      <c r="T8" s="7">
        <f t="shared" ref="T8:T37" si="0">((7-F8)/(7-M8))/M8</f>
        <v>8.3333333333333329E-2</v>
      </c>
      <c r="U8" s="7">
        <f t="shared" ref="U8:Y23" si="1">G8/N8</f>
        <v>1.3333333333333333</v>
      </c>
      <c r="V8" s="7">
        <f t="shared" si="1"/>
        <v>0.68</v>
      </c>
      <c r="W8" s="8">
        <f t="shared" si="1"/>
        <v>0.5</v>
      </c>
      <c r="X8" s="7">
        <f t="shared" si="1"/>
        <v>1.2</v>
      </c>
      <c r="Y8" s="7">
        <f t="shared" si="1"/>
        <v>0.3</v>
      </c>
      <c r="Z8" s="9">
        <f>S8</f>
        <v>0.6</v>
      </c>
      <c r="AA8" s="9">
        <f t="shared" ref="Z8:AF23" si="2">T8</f>
        <v>8.3333333333333329E-2</v>
      </c>
      <c r="AB8" s="9">
        <f t="shared" ref="AB8:AC23" si="3">1+(5*(LOG10(G8/N8)))</f>
        <v>1.6246936830414995</v>
      </c>
      <c r="AC8" s="9">
        <f t="shared" si="2"/>
        <v>0.68</v>
      </c>
      <c r="AD8" s="9">
        <f t="shared" si="2"/>
        <v>0.5</v>
      </c>
      <c r="AE8" s="9">
        <f t="shared" ref="AE8:AF37" si="4">1+(5*(LOG10(J8/Q8)))</f>
        <v>1.3959062302381242</v>
      </c>
      <c r="AF8" s="9">
        <f t="shared" si="2"/>
        <v>0.3</v>
      </c>
      <c r="AG8" s="68">
        <f>AVERAGE(Z8:AF8)</f>
        <v>0.74056189237327963</v>
      </c>
      <c r="AH8" s="69">
        <f>MAX(Z8:AG8)</f>
        <v>1.6246936830414995</v>
      </c>
      <c r="AI8" s="70">
        <f>POWER(AG8,2)</f>
        <v>0.54843191643549305</v>
      </c>
      <c r="AJ8" s="70">
        <f>POWER(AH8,2)</f>
        <v>2.6396295637149527</v>
      </c>
      <c r="AK8" s="71">
        <f>SQRT((AI8+AJ8)/2)</f>
        <v>1.2625493020374385</v>
      </c>
      <c r="AL8" s="90" t="str">
        <f>IF(ISNUMBER(AK8),IF(AK8&lt;=1,"memenuhi",IF(AK8&lt;=5,"ringan",IF(AK8&lt;=10,"sedang","berat"))),"")</f>
        <v>ringan</v>
      </c>
    </row>
    <row r="9" spans="1:38" ht="17.25" thickBot="1" x14ac:dyDescent="0.35">
      <c r="A9" s="62">
        <v>2</v>
      </c>
      <c r="B9" s="134" t="s">
        <v>22</v>
      </c>
      <c r="C9" s="63"/>
      <c r="D9" s="87">
        <v>42989</v>
      </c>
      <c r="E9" s="139">
        <v>28</v>
      </c>
      <c r="F9" s="140">
        <v>3</v>
      </c>
      <c r="G9" s="140">
        <v>6</v>
      </c>
      <c r="H9" s="140">
        <v>25</v>
      </c>
      <c r="I9" s="140">
        <v>0.4</v>
      </c>
      <c r="J9" s="141">
        <v>3100</v>
      </c>
      <c r="K9" s="141">
        <v>4300</v>
      </c>
      <c r="L9" s="59">
        <v>50</v>
      </c>
      <c r="M9" s="59">
        <v>4</v>
      </c>
      <c r="N9" s="59">
        <v>3</v>
      </c>
      <c r="O9" s="59">
        <v>25</v>
      </c>
      <c r="P9" s="59">
        <v>0.2</v>
      </c>
      <c r="Q9" s="59">
        <v>1000</v>
      </c>
      <c r="R9" s="59">
        <v>5000</v>
      </c>
      <c r="S9" s="7">
        <f t="shared" ref="S9:S37" si="5">E9/L9</f>
        <v>0.56000000000000005</v>
      </c>
      <c r="T9" s="7">
        <f t="shared" si="0"/>
        <v>0.33333333333333331</v>
      </c>
      <c r="U9" s="7">
        <f t="shared" si="1"/>
        <v>2</v>
      </c>
      <c r="V9" s="7">
        <f t="shared" si="1"/>
        <v>1</v>
      </c>
      <c r="W9" s="8">
        <f t="shared" si="1"/>
        <v>2</v>
      </c>
      <c r="X9" s="7">
        <f t="shared" si="1"/>
        <v>3.1</v>
      </c>
      <c r="Y9" s="7">
        <f t="shared" si="1"/>
        <v>0.86</v>
      </c>
      <c r="Z9" s="9">
        <f t="shared" si="2"/>
        <v>0.56000000000000005</v>
      </c>
      <c r="AA9" s="9">
        <f t="shared" si="2"/>
        <v>0.33333333333333331</v>
      </c>
      <c r="AB9" s="9">
        <f t="shared" si="3"/>
        <v>2.5051499783199063</v>
      </c>
      <c r="AC9" s="9">
        <f>1+(5*(LOG10(H9/O9)))</f>
        <v>1</v>
      </c>
      <c r="AD9" s="9">
        <f>1+(5*(LOG10(I9/P9)))</f>
        <v>2.5051499783199063</v>
      </c>
      <c r="AE9" s="9">
        <f t="shared" si="4"/>
        <v>3.4568084691713636</v>
      </c>
      <c r="AF9" s="9">
        <f t="shared" si="4"/>
        <v>0.67249225621783859</v>
      </c>
      <c r="AG9" s="68">
        <f t="shared" ref="AG9:AG37" si="6">AVERAGE(Z9:AF9)</f>
        <v>1.5761334307660497</v>
      </c>
      <c r="AH9" s="69">
        <f t="shared" ref="AH9:AH37" si="7">MAX(Z9:AG9)</f>
        <v>3.4568084691713636</v>
      </c>
      <c r="AI9" s="70">
        <f t="shared" ref="AI9:AJ37" si="8">POWER(AG9,2)</f>
        <v>2.4841965915783581</v>
      </c>
      <c r="AJ9" s="70">
        <f t="shared" si="8"/>
        <v>11.949524792534866</v>
      </c>
      <c r="AK9" s="71">
        <f t="shared" ref="AK9:AK37" si="9">SQRT((AI9+AJ9)/2)</f>
        <v>2.6864215402755787</v>
      </c>
      <c r="AL9" s="90" t="str">
        <f>IF(ISNUMBER(AK9),IF(AK9&lt;=1,"memenuhi",IF(AK9&lt;=5,"ringan",IF(AK9&lt;=10,"sedang","berat"))),"")</f>
        <v>ringan</v>
      </c>
    </row>
    <row r="10" spans="1:38" ht="17.25" thickBot="1" x14ac:dyDescent="0.35">
      <c r="A10" s="62">
        <v>3</v>
      </c>
      <c r="B10" s="133" t="s">
        <v>23</v>
      </c>
      <c r="C10" s="63"/>
      <c r="D10" s="87">
        <v>42989</v>
      </c>
      <c r="E10" s="142">
        <v>164</v>
      </c>
      <c r="F10" s="143">
        <v>0.9</v>
      </c>
      <c r="G10" s="143">
        <v>46</v>
      </c>
      <c r="H10" s="143">
        <v>139</v>
      </c>
      <c r="I10" s="143">
        <v>0.03</v>
      </c>
      <c r="J10" s="144">
        <v>130000</v>
      </c>
      <c r="K10" s="144">
        <v>240000</v>
      </c>
      <c r="L10" s="59">
        <v>50</v>
      </c>
      <c r="M10" s="59">
        <v>4</v>
      </c>
      <c r="N10" s="59">
        <v>3</v>
      </c>
      <c r="O10" s="59">
        <v>25</v>
      </c>
      <c r="P10" s="59">
        <v>0.2</v>
      </c>
      <c r="Q10" s="59">
        <v>1000</v>
      </c>
      <c r="R10" s="59">
        <v>5000</v>
      </c>
      <c r="S10" s="7">
        <f t="shared" si="5"/>
        <v>3.28</v>
      </c>
      <c r="T10" s="7">
        <f t="shared" si="0"/>
        <v>0.5083333333333333</v>
      </c>
      <c r="U10" s="7">
        <f t="shared" si="1"/>
        <v>15.333333333333334</v>
      </c>
      <c r="V10" s="7">
        <f t="shared" si="1"/>
        <v>5.56</v>
      </c>
      <c r="W10" s="8">
        <f t="shared" si="1"/>
        <v>0.15</v>
      </c>
      <c r="X10" s="7">
        <f t="shared" si="1"/>
        <v>130</v>
      </c>
      <c r="Y10" s="7">
        <f t="shared" si="1"/>
        <v>48</v>
      </c>
      <c r="Z10" s="9">
        <f>1+(5*(LOG10(E10/L10)))</f>
        <v>3.5793692185583956</v>
      </c>
      <c r="AA10" s="9">
        <f t="shared" si="2"/>
        <v>0.5083333333333333</v>
      </c>
      <c r="AB10" s="9">
        <f t="shared" si="3"/>
        <v>6.9281828848095586</v>
      </c>
      <c r="AC10" s="9">
        <f t="shared" si="3"/>
        <v>4.7253739579102874</v>
      </c>
      <c r="AD10" s="9">
        <f t="shared" si="2"/>
        <v>0.15</v>
      </c>
      <c r="AE10" s="9">
        <f t="shared" si="4"/>
        <v>11.569716761534185</v>
      </c>
      <c r="AF10" s="9">
        <f t="shared" si="4"/>
        <v>9.4062061868779363</v>
      </c>
      <c r="AG10" s="68">
        <f t="shared" si="6"/>
        <v>5.2667403347176718</v>
      </c>
      <c r="AH10" s="69">
        <f t="shared" si="7"/>
        <v>11.569716761534185</v>
      </c>
      <c r="AI10" s="70">
        <f t="shared" si="8"/>
        <v>27.738553753342014</v>
      </c>
      <c r="AJ10" s="70">
        <f t="shared" si="8"/>
        <v>133.85834594212506</v>
      </c>
      <c r="AK10" s="71">
        <f t="shared" si="9"/>
        <v>8.9887957951960136</v>
      </c>
      <c r="AL10" s="91" t="str">
        <f>IF(ISNUMBER(AK10),IF(AK10&lt;=1,"memenuhi",IF(AK10&lt;=5,"ringan",IF(AK10&lt;=10,"sedang","berat"))),"")</f>
        <v>sedang</v>
      </c>
    </row>
    <row r="11" spans="1:38" ht="17.25" thickBot="1" x14ac:dyDescent="0.35">
      <c r="A11" s="62">
        <v>4</v>
      </c>
      <c r="B11" s="132" t="s">
        <v>24</v>
      </c>
      <c r="C11" s="63"/>
      <c r="D11" s="87">
        <v>42990</v>
      </c>
      <c r="E11" s="135">
        <v>27</v>
      </c>
      <c r="F11" s="136">
        <v>4</v>
      </c>
      <c r="G11" s="136">
        <v>11</v>
      </c>
      <c r="H11" s="136">
        <v>45</v>
      </c>
      <c r="I11" s="136">
        <v>0.18</v>
      </c>
      <c r="J11" s="137">
        <v>4900</v>
      </c>
      <c r="K11" s="137">
        <v>7900</v>
      </c>
      <c r="L11" s="59">
        <v>50</v>
      </c>
      <c r="M11" s="59">
        <v>4</v>
      </c>
      <c r="N11" s="59">
        <v>3</v>
      </c>
      <c r="O11" s="59">
        <v>25</v>
      </c>
      <c r="P11" s="59">
        <v>0.2</v>
      </c>
      <c r="Q11" s="59">
        <v>1000</v>
      </c>
      <c r="R11" s="59">
        <v>5000</v>
      </c>
      <c r="S11" s="7">
        <f t="shared" si="5"/>
        <v>0.54</v>
      </c>
      <c r="T11" s="7">
        <f t="shared" si="0"/>
        <v>0.25</v>
      </c>
      <c r="U11" s="7">
        <f t="shared" si="1"/>
        <v>3.6666666666666665</v>
      </c>
      <c r="V11" s="7">
        <f t="shared" si="1"/>
        <v>1.8</v>
      </c>
      <c r="W11" s="8">
        <f t="shared" si="1"/>
        <v>0.89999999999999991</v>
      </c>
      <c r="X11" s="7">
        <f t="shared" si="1"/>
        <v>4.9000000000000004</v>
      </c>
      <c r="Y11" s="7">
        <f t="shared" si="1"/>
        <v>1.58</v>
      </c>
      <c r="Z11" s="9">
        <f t="shared" si="2"/>
        <v>0.54</v>
      </c>
      <c r="AA11" s="9">
        <f t="shared" si="2"/>
        <v>0.25</v>
      </c>
      <c r="AB11" s="9">
        <f t="shared" si="3"/>
        <v>3.8213571521928129</v>
      </c>
      <c r="AC11" s="9">
        <f t="shared" si="3"/>
        <v>2.2763625255165305</v>
      </c>
      <c r="AD11" s="9">
        <f t="shared" si="2"/>
        <v>0.89999999999999991</v>
      </c>
      <c r="AE11" s="9">
        <f t="shared" si="4"/>
        <v>4.4509804001425692</v>
      </c>
      <c r="AF11" s="9">
        <f t="shared" si="4"/>
        <v>1.9932854347721132</v>
      </c>
      <c r="AG11" s="68">
        <f t="shared" si="6"/>
        <v>2.0331407875177181</v>
      </c>
      <c r="AH11" s="69">
        <f t="shared" si="7"/>
        <v>4.4509804001425692</v>
      </c>
      <c r="AI11" s="70">
        <f t="shared" si="8"/>
        <v>4.1336614618681669</v>
      </c>
      <c r="AJ11" s="70">
        <f t="shared" si="8"/>
        <v>19.811226522453307</v>
      </c>
      <c r="AK11" s="71">
        <f t="shared" si="9"/>
        <v>3.460121962035549</v>
      </c>
      <c r="AL11" s="90" t="str">
        <f>IF(ISNUMBER(AK11),IF(AK11&lt;=1,"memenuhi",IF(AK11&lt;=5,"ringan",IF(AK11&lt;=10,"sedang","berat"))),"")</f>
        <v>ringan</v>
      </c>
    </row>
    <row r="12" spans="1:38" ht="17.25" thickBot="1" x14ac:dyDescent="0.35">
      <c r="A12" s="62">
        <v>5</v>
      </c>
      <c r="B12" s="134" t="s">
        <v>25</v>
      </c>
      <c r="C12" s="63"/>
      <c r="D12" s="87">
        <v>42990</v>
      </c>
      <c r="E12" s="139">
        <v>119</v>
      </c>
      <c r="F12" s="140">
        <v>2</v>
      </c>
      <c r="G12" s="140">
        <v>33</v>
      </c>
      <c r="H12" s="140">
        <v>104</v>
      </c>
      <c r="I12" s="140">
        <v>1</v>
      </c>
      <c r="J12" s="141">
        <v>13000</v>
      </c>
      <c r="K12" s="141">
        <v>24000</v>
      </c>
      <c r="L12" s="59">
        <v>50</v>
      </c>
      <c r="M12" s="59">
        <v>4</v>
      </c>
      <c r="N12" s="59">
        <v>3</v>
      </c>
      <c r="O12" s="59">
        <v>25</v>
      </c>
      <c r="P12" s="59">
        <v>0.2</v>
      </c>
      <c r="Q12" s="59">
        <v>1000</v>
      </c>
      <c r="R12" s="59">
        <v>5000</v>
      </c>
      <c r="S12" s="7">
        <f t="shared" si="5"/>
        <v>2.38</v>
      </c>
      <c r="T12" s="7">
        <f t="shared" si="0"/>
        <v>0.41666666666666669</v>
      </c>
      <c r="U12" s="7">
        <f t="shared" si="1"/>
        <v>11</v>
      </c>
      <c r="V12" s="7">
        <f t="shared" si="1"/>
        <v>4.16</v>
      </c>
      <c r="W12" s="8">
        <f t="shared" si="1"/>
        <v>5</v>
      </c>
      <c r="X12" s="7">
        <f t="shared" si="1"/>
        <v>13</v>
      </c>
      <c r="Y12" s="7">
        <f t="shared" si="1"/>
        <v>4.8</v>
      </c>
      <c r="Z12" s="9">
        <f>1+(5*(LOG10(E12/L12)))</f>
        <v>2.8828847852825596</v>
      </c>
      <c r="AA12" s="9">
        <f t="shared" si="2"/>
        <v>0.41666666666666669</v>
      </c>
      <c r="AB12" s="9">
        <f t="shared" si="3"/>
        <v>6.2069634257911259</v>
      </c>
      <c r="AC12" s="9">
        <f t="shared" si="3"/>
        <v>4.0954666531337143</v>
      </c>
      <c r="AD12" s="9">
        <f>1+(5*(LOG10(I12/P12)))</f>
        <v>4.4948500216800937</v>
      </c>
      <c r="AE12" s="9">
        <f t="shared" si="4"/>
        <v>6.5697167615341838</v>
      </c>
      <c r="AF12" s="9">
        <f t="shared" si="4"/>
        <v>4.4062061868779363</v>
      </c>
      <c r="AG12" s="68">
        <f t="shared" si="6"/>
        <v>4.1532506429951832</v>
      </c>
      <c r="AH12" s="69">
        <f t="shared" si="7"/>
        <v>6.5697167615341838</v>
      </c>
      <c r="AI12" s="70">
        <f t="shared" si="8"/>
        <v>17.249490903539904</v>
      </c>
      <c r="AJ12" s="70">
        <f t="shared" si="8"/>
        <v>43.161178326783201</v>
      </c>
      <c r="AK12" s="71">
        <f t="shared" si="9"/>
        <v>5.4959380104911624</v>
      </c>
      <c r="AL12" s="91" t="str">
        <f>IF(ISNUMBER(AK12),IF(AK12&lt;=1,"memenuhi",IF(AK12&lt;=5,"ringan",IF(AK12&lt;=10,"sedang","berat"))),"")</f>
        <v>sedang</v>
      </c>
    </row>
    <row r="13" spans="1:38" ht="17.25" thickBot="1" x14ac:dyDescent="0.35">
      <c r="A13" s="62">
        <v>6</v>
      </c>
      <c r="B13" s="133" t="s">
        <v>26</v>
      </c>
      <c r="C13" s="63"/>
      <c r="D13" s="87">
        <v>42990</v>
      </c>
      <c r="E13" s="142">
        <v>72</v>
      </c>
      <c r="F13" s="143">
        <v>2</v>
      </c>
      <c r="G13" s="143">
        <v>78</v>
      </c>
      <c r="H13" s="143">
        <v>269</v>
      </c>
      <c r="I13" s="143">
        <v>0.5</v>
      </c>
      <c r="J13" s="148">
        <v>130000</v>
      </c>
      <c r="K13" s="148">
        <v>200000</v>
      </c>
      <c r="L13" s="59">
        <v>50</v>
      </c>
      <c r="M13" s="59">
        <v>4</v>
      </c>
      <c r="N13" s="59">
        <v>3</v>
      </c>
      <c r="O13" s="59">
        <v>25</v>
      </c>
      <c r="P13" s="59">
        <v>0.2</v>
      </c>
      <c r="Q13" s="59">
        <v>1000</v>
      </c>
      <c r="R13" s="59">
        <v>5000</v>
      </c>
      <c r="S13" s="7">
        <f t="shared" si="5"/>
        <v>1.44</v>
      </c>
      <c r="T13" s="7">
        <f t="shared" si="0"/>
        <v>0.41666666666666669</v>
      </c>
      <c r="U13" s="7">
        <f t="shared" si="1"/>
        <v>26</v>
      </c>
      <c r="V13" s="7">
        <f t="shared" si="1"/>
        <v>10.76</v>
      </c>
      <c r="W13" s="8">
        <f t="shared" si="1"/>
        <v>2.5</v>
      </c>
      <c r="X13" s="7">
        <f t="shared" si="1"/>
        <v>130</v>
      </c>
      <c r="Y13" s="7">
        <f t="shared" si="1"/>
        <v>40</v>
      </c>
      <c r="Z13" s="9">
        <f>1+(5*(LOG10(E13/L13)))</f>
        <v>1.7918124604762482</v>
      </c>
      <c r="AA13" s="9">
        <f t="shared" si="2"/>
        <v>0.41666666666666669</v>
      </c>
      <c r="AB13" s="9">
        <f t="shared" si="3"/>
        <v>8.074866739854091</v>
      </c>
      <c r="AC13" s="9">
        <f t="shared" si="3"/>
        <v>6.1590613566518515</v>
      </c>
      <c r="AD13" s="9">
        <f>1+(5*(LOG10(I13/P13)))</f>
        <v>2.9897000433601879</v>
      </c>
      <c r="AE13" s="9">
        <f t="shared" si="4"/>
        <v>11.569716761534185</v>
      </c>
      <c r="AF13" s="9">
        <f t="shared" si="4"/>
        <v>9.0102999566398108</v>
      </c>
      <c r="AG13" s="68">
        <f t="shared" si="6"/>
        <v>5.7160177121690054</v>
      </c>
      <c r="AH13" s="69">
        <f t="shared" si="7"/>
        <v>11.569716761534185</v>
      </c>
      <c r="AI13" s="70">
        <f t="shared" si="8"/>
        <v>32.672858485829792</v>
      </c>
      <c r="AJ13" s="70">
        <f t="shared" si="8"/>
        <v>133.85834594212506</v>
      </c>
      <c r="AK13" s="71">
        <f t="shared" si="9"/>
        <v>9.1249987514507325</v>
      </c>
      <c r="AL13" s="92" t="str">
        <f t="shared" ref="AL13:AL37" si="10">IF(ISNUMBER(AK13),IF(AK13&lt;=1,"memenuhi",IF(AK13&lt;=5,"ringan",IF(AK13&lt;=10,"sedang","berat"))),"")</f>
        <v>sedang</v>
      </c>
    </row>
    <row r="14" spans="1:38" ht="17.25" thickBot="1" x14ac:dyDescent="0.35">
      <c r="A14" s="62">
        <v>7</v>
      </c>
      <c r="B14" s="132" t="s">
        <v>27</v>
      </c>
      <c r="C14" s="63"/>
      <c r="D14" s="87">
        <v>42990</v>
      </c>
      <c r="E14" s="135">
        <v>141</v>
      </c>
      <c r="F14" s="136">
        <v>6</v>
      </c>
      <c r="G14" s="136">
        <v>23</v>
      </c>
      <c r="H14" s="136">
        <v>72</v>
      </c>
      <c r="I14" s="136">
        <v>0.7</v>
      </c>
      <c r="J14" s="137">
        <v>13000</v>
      </c>
      <c r="K14" s="137">
        <v>24000</v>
      </c>
      <c r="L14" s="59">
        <v>50</v>
      </c>
      <c r="M14" s="59">
        <v>4</v>
      </c>
      <c r="N14" s="59">
        <v>3</v>
      </c>
      <c r="O14" s="59">
        <v>25</v>
      </c>
      <c r="P14" s="59">
        <v>0.2</v>
      </c>
      <c r="Q14" s="59">
        <v>1000</v>
      </c>
      <c r="R14" s="59">
        <v>5000</v>
      </c>
      <c r="S14" s="7">
        <f t="shared" si="5"/>
        <v>2.82</v>
      </c>
      <c r="T14" s="7">
        <f t="shared" si="0"/>
        <v>8.3333333333333329E-2</v>
      </c>
      <c r="U14" s="7">
        <f t="shared" si="1"/>
        <v>7.666666666666667</v>
      </c>
      <c r="V14" s="7">
        <f t="shared" si="1"/>
        <v>2.88</v>
      </c>
      <c r="W14" s="8">
        <f t="shared" si="1"/>
        <v>3.4999999999999996</v>
      </c>
      <c r="X14" s="7">
        <f t="shared" si="1"/>
        <v>13</v>
      </c>
      <c r="Y14" s="7">
        <f t="shared" si="1"/>
        <v>4.8</v>
      </c>
      <c r="Z14" s="9">
        <f>1+(5*(LOG10(E14/L14)))</f>
        <v>3.2512455415968051</v>
      </c>
      <c r="AA14" s="9">
        <f t="shared" si="2"/>
        <v>8.3333333333333329E-2</v>
      </c>
      <c r="AB14" s="9">
        <f t="shared" si="3"/>
        <v>5.4230329064896523</v>
      </c>
      <c r="AC14" s="9">
        <f t="shared" si="3"/>
        <v>3.2969624387961542</v>
      </c>
      <c r="AD14" s="9">
        <f>1+(5*(LOG10(I14/P14)))</f>
        <v>3.7203402217513779</v>
      </c>
      <c r="AE14" s="9">
        <f t="shared" si="4"/>
        <v>6.5697167615341838</v>
      </c>
      <c r="AF14" s="9">
        <f t="shared" si="4"/>
        <v>4.4062061868779363</v>
      </c>
      <c r="AG14" s="68">
        <f t="shared" si="6"/>
        <v>3.821548198625635</v>
      </c>
      <c r="AH14" s="69">
        <f t="shared" si="7"/>
        <v>6.5697167615341838</v>
      </c>
      <c r="AI14" s="70">
        <f t="shared" si="8"/>
        <v>14.604230634418835</v>
      </c>
      <c r="AJ14" s="70">
        <f t="shared" si="8"/>
        <v>43.161178326783201</v>
      </c>
      <c r="AK14" s="71">
        <f t="shared" si="9"/>
        <v>5.3742631569919439</v>
      </c>
      <c r="AL14" s="91" t="str">
        <f t="shared" si="10"/>
        <v>sedang</v>
      </c>
    </row>
    <row r="15" spans="1:38" ht="17.25" thickBot="1" x14ac:dyDescent="0.35">
      <c r="A15" s="62">
        <v>8</v>
      </c>
      <c r="B15" s="134" t="s">
        <v>28</v>
      </c>
      <c r="C15" s="63"/>
      <c r="D15" s="87">
        <v>42990</v>
      </c>
      <c r="E15" s="139">
        <v>98</v>
      </c>
      <c r="F15" s="140">
        <v>4</v>
      </c>
      <c r="G15" s="140">
        <v>50</v>
      </c>
      <c r="H15" s="140">
        <v>156</v>
      </c>
      <c r="I15" s="140">
        <v>0.1</v>
      </c>
      <c r="J15" s="141">
        <v>22000</v>
      </c>
      <c r="K15" s="141">
        <v>28000</v>
      </c>
      <c r="L15" s="59">
        <v>50</v>
      </c>
      <c r="M15" s="59">
        <v>4</v>
      </c>
      <c r="N15" s="59">
        <v>3</v>
      </c>
      <c r="O15" s="59">
        <v>25</v>
      </c>
      <c r="P15" s="59">
        <v>0.2</v>
      </c>
      <c r="Q15" s="59">
        <v>1000</v>
      </c>
      <c r="R15" s="59">
        <v>5000</v>
      </c>
      <c r="S15" s="7">
        <f t="shared" si="5"/>
        <v>1.96</v>
      </c>
      <c r="T15" s="7">
        <f t="shared" si="0"/>
        <v>0.25</v>
      </c>
      <c r="U15" s="7">
        <f t="shared" si="1"/>
        <v>16.666666666666668</v>
      </c>
      <c r="V15" s="7">
        <f t="shared" si="1"/>
        <v>6.24</v>
      </c>
      <c r="W15" s="8">
        <f t="shared" si="1"/>
        <v>0.5</v>
      </c>
      <c r="X15" s="7">
        <f t="shared" si="1"/>
        <v>22</v>
      </c>
      <c r="Y15" s="7">
        <f t="shared" si="1"/>
        <v>5.6</v>
      </c>
      <c r="Z15" s="9">
        <f>1+(5*(LOG10(E15/L15)))</f>
        <v>2.46128035678238</v>
      </c>
      <c r="AA15" s="9">
        <f t="shared" si="2"/>
        <v>0.25</v>
      </c>
      <c r="AB15" s="9">
        <f t="shared" si="3"/>
        <v>7.1092437480817816</v>
      </c>
      <c r="AC15" s="9">
        <f t="shared" si="3"/>
        <v>4.9759229484121201</v>
      </c>
      <c r="AD15" s="9">
        <f t="shared" si="2"/>
        <v>0.5</v>
      </c>
      <c r="AE15" s="9">
        <f t="shared" si="4"/>
        <v>7.7121134041110313</v>
      </c>
      <c r="AF15" s="9">
        <f t="shared" si="4"/>
        <v>4.7409401350310016</v>
      </c>
      <c r="AG15" s="68">
        <f t="shared" si="6"/>
        <v>3.9642143703454735</v>
      </c>
      <c r="AH15" s="69">
        <f t="shared" si="7"/>
        <v>7.7121134041110313</v>
      </c>
      <c r="AI15" s="70">
        <f t="shared" si="8"/>
        <v>15.714995574053559</v>
      </c>
      <c r="AJ15" s="70">
        <f t="shared" si="8"/>
        <v>59.476693157869036</v>
      </c>
      <c r="AK15" s="71">
        <f t="shared" si="9"/>
        <v>6.1315450227460042</v>
      </c>
      <c r="AL15" s="91" t="str">
        <f t="shared" si="10"/>
        <v>sedang</v>
      </c>
    </row>
    <row r="16" spans="1:38" ht="17.25" thickBot="1" x14ac:dyDescent="0.35">
      <c r="A16" s="62">
        <v>9</v>
      </c>
      <c r="B16" s="133" t="s">
        <v>29</v>
      </c>
      <c r="C16" s="63"/>
      <c r="D16" s="87">
        <v>42990</v>
      </c>
      <c r="E16" s="142">
        <v>38</v>
      </c>
      <c r="F16" s="143">
        <v>3</v>
      </c>
      <c r="G16" s="143">
        <v>20</v>
      </c>
      <c r="H16" s="143">
        <v>77</v>
      </c>
      <c r="I16" s="143">
        <v>0.17</v>
      </c>
      <c r="J16" s="144">
        <v>28000</v>
      </c>
      <c r="K16" s="144">
        <v>35000</v>
      </c>
      <c r="L16" s="59">
        <v>50</v>
      </c>
      <c r="M16" s="59">
        <v>4</v>
      </c>
      <c r="N16" s="59">
        <v>3</v>
      </c>
      <c r="O16" s="59">
        <v>25</v>
      </c>
      <c r="P16" s="59">
        <v>0.2</v>
      </c>
      <c r="Q16" s="59">
        <v>1000</v>
      </c>
      <c r="R16" s="59">
        <v>5000</v>
      </c>
      <c r="S16" s="7">
        <f t="shared" si="5"/>
        <v>0.76</v>
      </c>
      <c r="T16" s="7">
        <f t="shared" si="0"/>
        <v>0.33333333333333331</v>
      </c>
      <c r="U16" s="7">
        <f t="shared" si="1"/>
        <v>6.666666666666667</v>
      </c>
      <c r="V16" s="7">
        <f t="shared" si="1"/>
        <v>3.08</v>
      </c>
      <c r="W16" s="8">
        <f t="shared" si="1"/>
        <v>0.85</v>
      </c>
      <c r="X16" s="7">
        <f t="shared" si="1"/>
        <v>28</v>
      </c>
      <c r="Y16" s="7">
        <f t="shared" si="1"/>
        <v>7</v>
      </c>
      <c r="Z16" s="9">
        <f t="shared" si="2"/>
        <v>0.76</v>
      </c>
      <c r="AA16" s="9">
        <f t="shared" si="2"/>
        <v>0.33333333333333331</v>
      </c>
      <c r="AB16" s="9">
        <f t="shared" si="3"/>
        <v>5.1195437047215941</v>
      </c>
      <c r="AC16" s="9">
        <f t="shared" si="3"/>
        <v>3.4427535825022213</v>
      </c>
      <c r="AD16" s="9">
        <f t="shared" si="2"/>
        <v>0.85</v>
      </c>
      <c r="AE16" s="9">
        <f t="shared" si="4"/>
        <v>8.2357901567110972</v>
      </c>
      <c r="AF16" s="9">
        <f t="shared" si="4"/>
        <v>5.2254902000712837</v>
      </c>
      <c r="AG16" s="68">
        <f t="shared" si="6"/>
        <v>3.4238444253342188</v>
      </c>
      <c r="AH16" s="69">
        <f t="shared" si="7"/>
        <v>8.2357901567110972</v>
      </c>
      <c r="AI16" s="70">
        <f t="shared" si="8"/>
        <v>11.722710648892207</v>
      </c>
      <c r="AJ16" s="70">
        <f t="shared" si="8"/>
        <v>67.8282395053794</v>
      </c>
      <c r="AK16" s="71">
        <f t="shared" si="9"/>
        <v>6.3067800879003064</v>
      </c>
      <c r="AL16" s="91" t="str">
        <f t="shared" si="10"/>
        <v>sedang</v>
      </c>
    </row>
    <row r="17" spans="1:38" ht="17.25" thickBot="1" x14ac:dyDescent="0.35">
      <c r="A17" s="62">
        <v>10</v>
      </c>
      <c r="B17" s="132" t="s">
        <v>30</v>
      </c>
      <c r="C17" s="63"/>
      <c r="D17" s="87">
        <v>42991</v>
      </c>
      <c r="E17" s="135">
        <v>42</v>
      </c>
      <c r="F17" s="136">
        <v>5</v>
      </c>
      <c r="G17" s="136">
        <v>21</v>
      </c>
      <c r="H17" s="136">
        <v>28</v>
      </c>
      <c r="I17" s="136">
        <v>0.9</v>
      </c>
      <c r="J17" s="137">
        <v>13000</v>
      </c>
      <c r="K17" s="137">
        <v>24000</v>
      </c>
      <c r="L17" s="59">
        <v>50</v>
      </c>
      <c r="M17" s="59">
        <v>4</v>
      </c>
      <c r="N17" s="59">
        <v>3</v>
      </c>
      <c r="O17" s="59">
        <v>25</v>
      </c>
      <c r="P17" s="59">
        <v>0.2</v>
      </c>
      <c r="Q17" s="59">
        <v>1000</v>
      </c>
      <c r="R17" s="59">
        <v>5000</v>
      </c>
      <c r="S17" s="7">
        <f t="shared" si="5"/>
        <v>0.84</v>
      </c>
      <c r="T17" s="7">
        <f t="shared" si="0"/>
        <v>0.16666666666666666</v>
      </c>
      <c r="U17" s="7">
        <f t="shared" si="1"/>
        <v>7</v>
      </c>
      <c r="V17" s="7">
        <f t="shared" si="1"/>
        <v>1.1200000000000001</v>
      </c>
      <c r="W17" s="8">
        <f t="shared" si="1"/>
        <v>4.5</v>
      </c>
      <c r="X17" s="7">
        <f t="shared" si="1"/>
        <v>13</v>
      </c>
      <c r="Y17" s="7">
        <f t="shared" si="1"/>
        <v>4.8</v>
      </c>
      <c r="Z17" s="9">
        <f t="shared" si="2"/>
        <v>0.84</v>
      </c>
      <c r="AA17" s="9">
        <f t="shared" si="2"/>
        <v>0.16666666666666666</v>
      </c>
      <c r="AB17" s="9">
        <f t="shared" si="3"/>
        <v>5.2254902000712837</v>
      </c>
      <c r="AC17" s="9">
        <f t="shared" si="3"/>
        <v>1.2460901133509084</v>
      </c>
      <c r="AD17" s="9">
        <f>1+(5*(LOG10(I17/P17)))</f>
        <v>4.2660625688767189</v>
      </c>
      <c r="AE17" s="9">
        <f t="shared" si="4"/>
        <v>6.5697167615341838</v>
      </c>
      <c r="AF17" s="9">
        <f t="shared" si="4"/>
        <v>4.4062061868779363</v>
      </c>
      <c r="AG17" s="68">
        <f t="shared" si="6"/>
        <v>3.2457474996253857</v>
      </c>
      <c r="AH17" s="69">
        <f t="shared" si="7"/>
        <v>6.5697167615341838</v>
      </c>
      <c r="AI17" s="70">
        <f t="shared" si="8"/>
        <v>10.534876831324443</v>
      </c>
      <c r="AJ17" s="70">
        <f t="shared" si="8"/>
        <v>43.161178326783201</v>
      </c>
      <c r="AK17" s="71">
        <f t="shared" si="9"/>
        <v>5.181508234004248</v>
      </c>
      <c r="AL17" s="91" t="str">
        <f t="shared" si="10"/>
        <v>sedang</v>
      </c>
    </row>
    <row r="18" spans="1:38" ht="17.25" thickBot="1" x14ac:dyDescent="0.35">
      <c r="A18" s="62">
        <v>11</v>
      </c>
      <c r="B18" s="134" t="s">
        <v>31</v>
      </c>
      <c r="C18" s="63"/>
      <c r="D18" s="87">
        <v>42991</v>
      </c>
      <c r="E18" s="139">
        <v>40</v>
      </c>
      <c r="F18" s="140">
        <v>2</v>
      </c>
      <c r="G18" s="140">
        <v>28</v>
      </c>
      <c r="H18" s="140">
        <v>109</v>
      </c>
      <c r="I18" s="140">
        <v>3</v>
      </c>
      <c r="J18" s="141">
        <v>130000</v>
      </c>
      <c r="K18" s="141">
        <v>240000</v>
      </c>
      <c r="L18" s="59">
        <v>50</v>
      </c>
      <c r="M18" s="59">
        <v>4</v>
      </c>
      <c r="N18" s="59">
        <v>3</v>
      </c>
      <c r="O18" s="59">
        <v>25</v>
      </c>
      <c r="P18" s="59">
        <v>0.2</v>
      </c>
      <c r="Q18" s="59">
        <v>1000</v>
      </c>
      <c r="R18" s="59">
        <v>5000</v>
      </c>
      <c r="S18" s="7">
        <f t="shared" si="5"/>
        <v>0.8</v>
      </c>
      <c r="T18" s="7">
        <f t="shared" si="0"/>
        <v>0.41666666666666669</v>
      </c>
      <c r="U18" s="7">
        <f t="shared" si="1"/>
        <v>9.3333333333333339</v>
      </c>
      <c r="V18" s="7">
        <f t="shared" si="1"/>
        <v>4.3600000000000003</v>
      </c>
      <c r="W18" s="8">
        <f t="shared" si="1"/>
        <v>15</v>
      </c>
      <c r="X18" s="7">
        <f t="shared" si="1"/>
        <v>130</v>
      </c>
      <c r="Y18" s="7">
        <f t="shared" si="1"/>
        <v>48</v>
      </c>
      <c r="Z18" s="9">
        <f t="shared" si="2"/>
        <v>0.8</v>
      </c>
      <c r="AA18" s="9">
        <f t="shared" si="2"/>
        <v>0.41666666666666669</v>
      </c>
      <c r="AB18" s="9">
        <f t="shared" si="3"/>
        <v>5.8501838831127841</v>
      </c>
      <c r="AC18" s="9">
        <f t="shared" si="3"/>
        <v>4.1974324463429307</v>
      </c>
      <c r="AD18" s="9">
        <f>1+(5*(LOG10(I18/P18)))</f>
        <v>6.8804562952784067</v>
      </c>
      <c r="AE18" s="9">
        <f t="shared" si="4"/>
        <v>11.569716761534185</v>
      </c>
      <c r="AF18" s="9">
        <f t="shared" si="4"/>
        <v>9.4062061868779363</v>
      </c>
      <c r="AG18" s="68">
        <f t="shared" si="6"/>
        <v>5.5886660342589867</v>
      </c>
      <c r="AH18" s="69">
        <f t="shared" si="7"/>
        <v>11.569716761534185</v>
      </c>
      <c r="AI18" s="70">
        <f t="shared" si="8"/>
        <v>31.233188042480069</v>
      </c>
      <c r="AJ18" s="70">
        <f t="shared" si="8"/>
        <v>133.85834594212506</v>
      </c>
      <c r="AK18" s="71">
        <f t="shared" si="9"/>
        <v>9.0854701029887579</v>
      </c>
      <c r="AL18" s="91" t="str">
        <f t="shared" si="10"/>
        <v>sedang</v>
      </c>
    </row>
    <row r="19" spans="1:38" ht="17.25" thickBot="1" x14ac:dyDescent="0.35">
      <c r="A19" s="62">
        <v>12</v>
      </c>
      <c r="B19" s="133" t="s">
        <v>32</v>
      </c>
      <c r="C19" s="63"/>
      <c r="D19" s="87">
        <v>42990</v>
      </c>
      <c r="E19" s="147">
        <v>200</v>
      </c>
      <c r="F19" s="143">
        <v>0.4</v>
      </c>
      <c r="G19" s="146">
        <v>200</v>
      </c>
      <c r="H19" s="146">
        <v>500</v>
      </c>
      <c r="I19" s="143">
        <v>0.18</v>
      </c>
      <c r="J19" s="144">
        <v>130000</v>
      </c>
      <c r="K19" s="144">
        <v>240000</v>
      </c>
      <c r="L19" s="59">
        <v>50</v>
      </c>
      <c r="M19" s="59">
        <v>4</v>
      </c>
      <c r="N19" s="59">
        <v>3</v>
      </c>
      <c r="O19" s="59">
        <v>25</v>
      </c>
      <c r="P19" s="59">
        <v>0.2</v>
      </c>
      <c r="Q19" s="59">
        <v>1000</v>
      </c>
      <c r="R19" s="59">
        <v>5000</v>
      </c>
      <c r="S19" s="7">
        <f t="shared" si="5"/>
        <v>4</v>
      </c>
      <c r="T19" s="7">
        <f t="shared" si="0"/>
        <v>0.54999999999999993</v>
      </c>
      <c r="U19" s="7">
        <f t="shared" si="1"/>
        <v>66.666666666666671</v>
      </c>
      <c r="V19" s="7">
        <f t="shared" si="1"/>
        <v>20</v>
      </c>
      <c r="W19" s="8">
        <f t="shared" si="1"/>
        <v>0.89999999999999991</v>
      </c>
      <c r="X19" s="7">
        <f t="shared" si="1"/>
        <v>130</v>
      </c>
      <c r="Y19" s="7">
        <f t="shared" si="1"/>
        <v>48</v>
      </c>
      <c r="Z19" s="9">
        <f>1+(5*(LOG10(E19/L19)))</f>
        <v>4.0102999566398125</v>
      </c>
      <c r="AA19" s="9">
        <f t="shared" si="2"/>
        <v>0.54999999999999993</v>
      </c>
      <c r="AB19" s="9">
        <f t="shared" si="3"/>
        <v>10.119543704721595</v>
      </c>
      <c r="AC19" s="9">
        <f t="shared" si="3"/>
        <v>7.5051499783199063</v>
      </c>
      <c r="AD19" s="9">
        <f>W19</f>
        <v>0.89999999999999991</v>
      </c>
      <c r="AE19" s="9">
        <f t="shared" si="4"/>
        <v>11.569716761534185</v>
      </c>
      <c r="AF19" s="9">
        <f t="shared" si="4"/>
        <v>9.4062061868779363</v>
      </c>
      <c r="AG19" s="68">
        <f t="shared" si="6"/>
        <v>6.2944166554419194</v>
      </c>
      <c r="AH19" s="69">
        <f t="shared" si="7"/>
        <v>11.569716761534185</v>
      </c>
      <c r="AI19" s="70">
        <f t="shared" si="8"/>
        <v>39.619681032304641</v>
      </c>
      <c r="AJ19" s="70">
        <f t="shared" si="8"/>
        <v>133.85834594212506</v>
      </c>
      <c r="AK19" s="71">
        <f t="shared" si="9"/>
        <v>9.3133781995157285</v>
      </c>
      <c r="AL19" s="91" t="str">
        <f t="shared" si="10"/>
        <v>sedang</v>
      </c>
    </row>
    <row r="20" spans="1:38" ht="17.25" thickBot="1" x14ac:dyDescent="0.35">
      <c r="A20" s="62">
        <v>13</v>
      </c>
      <c r="B20" s="132" t="s">
        <v>33</v>
      </c>
      <c r="C20" s="63"/>
      <c r="D20" s="87">
        <v>42989</v>
      </c>
      <c r="E20" s="135">
        <v>13</v>
      </c>
      <c r="F20" s="136">
        <v>0.9</v>
      </c>
      <c r="G20" s="136">
        <v>8</v>
      </c>
      <c r="H20" s="136">
        <v>39</v>
      </c>
      <c r="I20" s="136">
        <v>0.3</v>
      </c>
      <c r="J20" s="137">
        <v>4900</v>
      </c>
      <c r="K20" s="137">
        <v>7000</v>
      </c>
      <c r="L20" s="59">
        <v>50</v>
      </c>
      <c r="M20" s="59">
        <v>4</v>
      </c>
      <c r="N20" s="59">
        <v>3</v>
      </c>
      <c r="O20" s="59">
        <v>25</v>
      </c>
      <c r="P20" s="59">
        <v>0.2</v>
      </c>
      <c r="Q20" s="59">
        <v>1000</v>
      </c>
      <c r="R20" s="59">
        <v>5000</v>
      </c>
      <c r="S20" s="7">
        <f t="shared" si="5"/>
        <v>0.26</v>
      </c>
      <c r="T20" s="7">
        <f t="shared" si="0"/>
        <v>0.5083333333333333</v>
      </c>
      <c r="U20" s="7">
        <f t="shared" si="1"/>
        <v>2.6666666666666665</v>
      </c>
      <c r="V20" s="7">
        <f t="shared" si="1"/>
        <v>1.56</v>
      </c>
      <c r="W20" s="8">
        <f t="shared" si="1"/>
        <v>1.4999999999999998</v>
      </c>
      <c r="X20" s="7">
        <f t="shared" si="1"/>
        <v>4.9000000000000004</v>
      </c>
      <c r="Y20" s="7">
        <f t="shared" si="1"/>
        <v>1.4</v>
      </c>
      <c r="Z20" s="9">
        <f t="shared" si="2"/>
        <v>0.26</v>
      </c>
      <c r="AA20" s="9">
        <f t="shared" si="2"/>
        <v>0.5083333333333333</v>
      </c>
      <c r="AB20" s="9">
        <f t="shared" si="3"/>
        <v>3.1298436613614053</v>
      </c>
      <c r="AC20" s="9">
        <f t="shared" si="3"/>
        <v>1.965622991772308</v>
      </c>
      <c r="AD20" s="9">
        <f>1+(5*(LOG10(I20/P20)))</f>
        <v>1.8804562952784059</v>
      </c>
      <c r="AE20" s="9">
        <f t="shared" si="4"/>
        <v>4.4509804001425692</v>
      </c>
      <c r="AF20" s="9">
        <f t="shared" si="4"/>
        <v>1.73064017839119</v>
      </c>
      <c r="AG20" s="68">
        <f t="shared" si="6"/>
        <v>1.9894109800398876</v>
      </c>
      <c r="AH20" s="69">
        <f t="shared" si="7"/>
        <v>4.4509804001425692</v>
      </c>
      <c r="AI20" s="70">
        <f t="shared" si="8"/>
        <v>3.957756047503266</v>
      </c>
      <c r="AJ20" s="70">
        <f t="shared" si="8"/>
        <v>19.811226522453307</v>
      </c>
      <c r="AK20" s="71">
        <f t="shared" si="9"/>
        <v>3.4473890533240206</v>
      </c>
      <c r="AL20" s="90" t="str">
        <f t="shared" si="10"/>
        <v>ringan</v>
      </c>
    </row>
    <row r="21" spans="1:38" ht="17.25" thickBot="1" x14ac:dyDescent="0.35">
      <c r="A21" s="62">
        <v>14</v>
      </c>
      <c r="B21" s="134" t="s">
        <v>34</v>
      </c>
      <c r="C21" s="63"/>
      <c r="D21" s="87">
        <v>42989</v>
      </c>
      <c r="E21" s="139">
        <v>161</v>
      </c>
      <c r="F21" s="140">
        <v>0.9</v>
      </c>
      <c r="G21" s="140">
        <v>28</v>
      </c>
      <c r="H21" s="140">
        <v>253</v>
      </c>
      <c r="I21" s="140">
        <v>0.5</v>
      </c>
      <c r="J21" s="141">
        <v>280000</v>
      </c>
      <c r="K21" s="141">
        <v>350000</v>
      </c>
      <c r="L21" s="59">
        <v>50</v>
      </c>
      <c r="M21" s="59">
        <v>4</v>
      </c>
      <c r="N21" s="59">
        <v>3</v>
      </c>
      <c r="O21" s="59">
        <v>25</v>
      </c>
      <c r="P21" s="59">
        <v>0.2</v>
      </c>
      <c r="Q21" s="59">
        <v>1000</v>
      </c>
      <c r="R21" s="59">
        <v>5000</v>
      </c>
      <c r="S21" s="7">
        <f t="shared" si="5"/>
        <v>3.22</v>
      </c>
      <c r="T21" s="7">
        <f t="shared" si="0"/>
        <v>0.5083333333333333</v>
      </c>
      <c r="U21" s="7">
        <f t="shared" si="1"/>
        <v>9.3333333333333339</v>
      </c>
      <c r="V21" s="7">
        <f t="shared" si="1"/>
        <v>10.119999999999999</v>
      </c>
      <c r="W21" s="8">
        <f t="shared" si="1"/>
        <v>2.5</v>
      </c>
      <c r="X21" s="7">
        <f t="shared" si="1"/>
        <v>280</v>
      </c>
      <c r="Y21" s="7">
        <f t="shared" si="1"/>
        <v>70</v>
      </c>
      <c r="Z21" s="9">
        <f t="shared" ref="Z21:Z26" si="11">1+(5*(LOG10(E21/L21)))</f>
        <v>3.5392793584791544</v>
      </c>
      <c r="AA21" s="9">
        <f t="shared" si="2"/>
        <v>0.5083333333333333</v>
      </c>
      <c r="AB21" s="9">
        <f t="shared" si="3"/>
        <v>5.8501838831127841</v>
      </c>
      <c r="AC21" s="9">
        <f t="shared" si="3"/>
        <v>6.0259025625189011</v>
      </c>
      <c r="AD21" s="9">
        <f>1+(5*(LOG10(I21/P21)))</f>
        <v>2.9897000433601879</v>
      </c>
      <c r="AE21" s="9">
        <f t="shared" si="4"/>
        <v>13.235790156711097</v>
      </c>
      <c r="AF21" s="9">
        <f t="shared" si="4"/>
        <v>10.225490200071285</v>
      </c>
      <c r="AG21" s="68">
        <f t="shared" si="6"/>
        <v>6.0535256482266773</v>
      </c>
      <c r="AH21" s="69">
        <f t="shared" si="7"/>
        <v>13.235790156711097</v>
      </c>
      <c r="AI21" s="70">
        <f t="shared" si="8"/>
        <v>36.64517277373821</v>
      </c>
      <c r="AJ21" s="70">
        <f t="shared" si="8"/>
        <v>175.18614107249036</v>
      </c>
      <c r="AK21" s="71">
        <f t="shared" si="9"/>
        <v>10.291533263956071</v>
      </c>
      <c r="AL21" s="92" t="str">
        <f t="shared" si="10"/>
        <v>berat</v>
      </c>
    </row>
    <row r="22" spans="1:38" ht="17.25" thickBot="1" x14ac:dyDescent="0.35">
      <c r="A22" s="62">
        <v>15</v>
      </c>
      <c r="B22" s="133" t="s">
        <v>35</v>
      </c>
      <c r="C22" s="63"/>
      <c r="D22" s="87">
        <v>42989</v>
      </c>
      <c r="E22" s="142">
        <v>730</v>
      </c>
      <c r="F22" s="143">
        <v>0.4</v>
      </c>
      <c r="G22" s="146">
        <v>200</v>
      </c>
      <c r="H22" s="146">
        <v>300</v>
      </c>
      <c r="I22" s="143">
        <v>0.8</v>
      </c>
      <c r="J22" s="144">
        <v>350000</v>
      </c>
      <c r="K22" s="144">
        <v>430000</v>
      </c>
      <c r="L22" s="59">
        <v>50</v>
      </c>
      <c r="M22" s="59">
        <v>4</v>
      </c>
      <c r="N22" s="59">
        <v>3</v>
      </c>
      <c r="O22" s="59">
        <v>25</v>
      </c>
      <c r="P22" s="59">
        <v>0.2</v>
      </c>
      <c r="Q22" s="59">
        <v>1000</v>
      </c>
      <c r="R22" s="59">
        <v>5000</v>
      </c>
      <c r="S22" s="7">
        <f t="shared" si="5"/>
        <v>14.6</v>
      </c>
      <c r="T22" s="7">
        <f t="shared" si="0"/>
        <v>0.54999999999999993</v>
      </c>
      <c r="U22" s="7">
        <f t="shared" si="1"/>
        <v>66.666666666666671</v>
      </c>
      <c r="V22" s="7">
        <f t="shared" si="1"/>
        <v>12</v>
      </c>
      <c r="W22" s="8">
        <f t="shared" si="1"/>
        <v>4</v>
      </c>
      <c r="X22" s="7">
        <f t="shared" si="1"/>
        <v>350</v>
      </c>
      <c r="Y22" s="7">
        <f t="shared" si="1"/>
        <v>86</v>
      </c>
      <c r="Z22" s="9">
        <f t="shared" si="11"/>
        <v>6.8217642789221857</v>
      </c>
      <c r="AA22" s="9">
        <f>T22</f>
        <v>0.54999999999999993</v>
      </c>
      <c r="AB22" s="9">
        <f t="shared" si="3"/>
        <v>10.119543704721595</v>
      </c>
      <c r="AC22" s="9">
        <f t="shared" si="3"/>
        <v>6.3959062302381247</v>
      </c>
      <c r="AD22" s="9">
        <f>1+(5*(LOG10(I22/P22)))</f>
        <v>4.0102999566398125</v>
      </c>
      <c r="AE22" s="9">
        <f t="shared" si="4"/>
        <v>13.720340221751378</v>
      </c>
      <c r="AF22" s="9">
        <f t="shared" si="4"/>
        <v>10.672492256217838</v>
      </c>
      <c r="AG22" s="68">
        <f t="shared" si="6"/>
        <v>7.4700495212129905</v>
      </c>
      <c r="AH22" s="69">
        <f t="shared" si="7"/>
        <v>13.720340221751378</v>
      </c>
      <c r="AI22" s="70">
        <f t="shared" si="8"/>
        <v>55.801639849374432</v>
      </c>
      <c r="AJ22" s="70">
        <f t="shared" si="8"/>
        <v>188.24773580060867</v>
      </c>
      <c r="AK22" s="71">
        <f t="shared" si="9"/>
        <v>11.046478525982456</v>
      </c>
      <c r="AL22" s="92" t="str">
        <f t="shared" si="10"/>
        <v>berat</v>
      </c>
    </row>
    <row r="23" spans="1:38" ht="17.25" thickBot="1" x14ac:dyDescent="0.35">
      <c r="A23" s="62">
        <v>16</v>
      </c>
      <c r="B23" s="132" t="s">
        <v>21</v>
      </c>
      <c r="C23" s="63"/>
      <c r="D23" s="87">
        <v>43067</v>
      </c>
      <c r="E23" s="135">
        <v>84.67</v>
      </c>
      <c r="F23" s="136">
        <v>4.53</v>
      </c>
      <c r="G23" s="136">
        <v>2.31</v>
      </c>
      <c r="H23" s="136">
        <v>85.65</v>
      </c>
      <c r="I23" s="136">
        <v>0.1</v>
      </c>
      <c r="J23" s="137">
        <v>20000</v>
      </c>
      <c r="K23" s="137">
        <v>220000</v>
      </c>
      <c r="L23" s="59">
        <v>50</v>
      </c>
      <c r="M23" s="59">
        <v>4</v>
      </c>
      <c r="N23" s="59">
        <v>3</v>
      </c>
      <c r="O23" s="59">
        <v>25</v>
      </c>
      <c r="P23" s="59">
        <v>0.2</v>
      </c>
      <c r="Q23" s="59">
        <v>1000</v>
      </c>
      <c r="R23" s="59">
        <v>5000</v>
      </c>
      <c r="S23" s="7">
        <f t="shared" si="5"/>
        <v>1.6934</v>
      </c>
      <c r="T23" s="7">
        <f t="shared" si="0"/>
        <v>0.20583333333333331</v>
      </c>
      <c r="U23" s="7">
        <f t="shared" si="1"/>
        <v>0.77</v>
      </c>
      <c r="V23" s="7">
        <f t="shared" si="1"/>
        <v>3.4260000000000002</v>
      </c>
      <c r="W23" s="8">
        <f t="shared" si="1"/>
        <v>0.5</v>
      </c>
      <c r="X23" s="7">
        <f t="shared" si="1"/>
        <v>20</v>
      </c>
      <c r="Y23" s="7">
        <f t="shared" si="1"/>
        <v>44</v>
      </c>
      <c r="Z23" s="9">
        <f t="shared" si="11"/>
        <v>2.1437977771781784</v>
      </c>
      <c r="AA23" s="9">
        <f>1+(5*(LOG10(F23/M23)))</f>
        <v>1.2701910534243475</v>
      </c>
      <c r="AB23" s="9">
        <f t="shared" si="2"/>
        <v>0.77</v>
      </c>
      <c r="AC23" s="9">
        <f t="shared" si="3"/>
        <v>3.6739367931474582</v>
      </c>
      <c r="AD23" s="9">
        <f t="shared" si="2"/>
        <v>0.5</v>
      </c>
      <c r="AE23" s="9">
        <f t="shared" si="4"/>
        <v>7.5051499783199063</v>
      </c>
      <c r="AF23" s="9">
        <f t="shared" si="4"/>
        <v>9.2172633824309376</v>
      </c>
      <c r="AG23" s="68">
        <f t="shared" si="6"/>
        <v>3.5829055692144038</v>
      </c>
      <c r="AH23" s="69">
        <f t="shared" si="7"/>
        <v>9.2172633824309376</v>
      </c>
      <c r="AI23" s="70">
        <f t="shared" si="8"/>
        <v>12.837212317907591</v>
      </c>
      <c r="AJ23" s="70">
        <f t="shared" si="8"/>
        <v>84.957944261102213</v>
      </c>
      <c r="AK23" s="71">
        <f t="shared" si="9"/>
        <v>6.9926803365737307</v>
      </c>
      <c r="AL23" s="91" t="str">
        <f t="shared" si="10"/>
        <v>sedang</v>
      </c>
    </row>
    <row r="24" spans="1:38" ht="17.25" thickBot="1" x14ac:dyDescent="0.35">
      <c r="A24" s="62">
        <v>17</v>
      </c>
      <c r="B24" s="134" t="s">
        <v>22</v>
      </c>
      <c r="C24" s="63"/>
      <c r="D24" s="87">
        <v>43067</v>
      </c>
      <c r="E24" s="139">
        <v>109.33</v>
      </c>
      <c r="F24" s="140">
        <v>3.77</v>
      </c>
      <c r="G24" s="140">
        <v>15.19</v>
      </c>
      <c r="H24" s="140">
        <v>39.28</v>
      </c>
      <c r="I24" s="140">
        <v>0.13</v>
      </c>
      <c r="J24" s="141">
        <v>710000</v>
      </c>
      <c r="K24" s="141">
        <v>4200000</v>
      </c>
      <c r="L24" s="59">
        <v>50</v>
      </c>
      <c r="M24" s="59">
        <v>4</v>
      </c>
      <c r="N24" s="59">
        <v>3</v>
      </c>
      <c r="O24" s="59">
        <v>25</v>
      </c>
      <c r="P24" s="59">
        <v>0.2</v>
      </c>
      <c r="Q24" s="59">
        <v>1000</v>
      </c>
      <c r="R24" s="59">
        <v>5000</v>
      </c>
      <c r="S24" s="7">
        <f t="shared" si="5"/>
        <v>2.1865999999999999</v>
      </c>
      <c r="T24" s="7">
        <f t="shared" si="0"/>
        <v>0.26916666666666667</v>
      </c>
      <c r="U24" s="7">
        <f t="shared" ref="U24:Y37" si="12">G24/N24</f>
        <v>5.0633333333333335</v>
      </c>
      <c r="V24" s="7">
        <f t="shared" si="12"/>
        <v>1.5712000000000002</v>
      </c>
      <c r="W24" s="8">
        <f t="shared" si="12"/>
        <v>0.65</v>
      </c>
      <c r="X24" s="7">
        <f t="shared" si="12"/>
        <v>710</v>
      </c>
      <c r="Y24" s="7">
        <f t="shared" si="12"/>
        <v>840</v>
      </c>
      <c r="Z24" s="9">
        <f t="shared" si="11"/>
        <v>2.6988467188436509</v>
      </c>
      <c r="AA24" s="9">
        <f t="shared" ref="Z24:AD37" si="13">T24</f>
        <v>0.26916666666666667</v>
      </c>
      <c r="AB24" s="9">
        <f t="shared" si="13"/>
        <v>5.0633333333333335</v>
      </c>
      <c r="AC24" s="9">
        <f t="shared" ref="AC24:AC25" si="14">1+(5*(LOG10(H24/O24)))</f>
        <v>1.9811573522143724</v>
      </c>
      <c r="AD24" s="9">
        <f t="shared" si="13"/>
        <v>0.65</v>
      </c>
      <c r="AE24" s="9">
        <f t="shared" si="4"/>
        <v>15.256291743595376</v>
      </c>
      <c r="AF24" s="9">
        <f t="shared" si="4"/>
        <v>15.621396430309408</v>
      </c>
      <c r="AG24" s="68">
        <f t="shared" si="6"/>
        <v>5.9343131778518297</v>
      </c>
      <c r="AH24" s="69">
        <f t="shared" si="7"/>
        <v>15.621396430309408</v>
      </c>
      <c r="AI24" s="70">
        <f t="shared" si="8"/>
        <v>35.216072892825878</v>
      </c>
      <c r="AJ24" s="70">
        <f t="shared" si="8"/>
        <v>244.02802643288354</v>
      </c>
      <c r="AK24" s="71">
        <f t="shared" si="9"/>
        <v>11.816177455626447</v>
      </c>
      <c r="AL24" s="92" t="str">
        <f t="shared" si="10"/>
        <v>berat</v>
      </c>
    </row>
    <row r="25" spans="1:38" ht="17.25" thickBot="1" x14ac:dyDescent="0.35">
      <c r="A25" s="62">
        <v>18</v>
      </c>
      <c r="B25" s="133" t="s">
        <v>23</v>
      </c>
      <c r="C25" s="63"/>
      <c r="D25" s="87">
        <v>43067</v>
      </c>
      <c r="E25" s="142">
        <v>147</v>
      </c>
      <c r="F25" s="143">
        <v>4.04</v>
      </c>
      <c r="G25" s="143">
        <v>15.28</v>
      </c>
      <c r="H25" s="143">
        <v>52.08</v>
      </c>
      <c r="I25" s="143">
        <v>0.09</v>
      </c>
      <c r="J25" s="144">
        <v>610000</v>
      </c>
      <c r="K25" s="144">
        <v>6600000</v>
      </c>
      <c r="L25" s="59">
        <v>50</v>
      </c>
      <c r="M25" s="59">
        <v>4</v>
      </c>
      <c r="N25" s="59">
        <v>3</v>
      </c>
      <c r="O25" s="59">
        <v>25</v>
      </c>
      <c r="P25" s="59">
        <v>0.2</v>
      </c>
      <c r="Q25" s="59">
        <v>1000</v>
      </c>
      <c r="R25" s="59">
        <v>5000</v>
      </c>
      <c r="S25" s="7">
        <f t="shared" si="5"/>
        <v>2.94</v>
      </c>
      <c r="T25" s="7">
        <f t="shared" si="0"/>
        <v>0.24666666666666667</v>
      </c>
      <c r="U25" s="7">
        <f t="shared" si="12"/>
        <v>5.0933333333333328</v>
      </c>
      <c r="V25" s="7">
        <f t="shared" si="12"/>
        <v>2.0831999999999997</v>
      </c>
      <c r="W25" s="8">
        <f t="shared" si="12"/>
        <v>0.44999999999999996</v>
      </c>
      <c r="X25" s="7">
        <f t="shared" si="12"/>
        <v>610</v>
      </c>
      <c r="Y25" s="7">
        <f t="shared" si="12"/>
        <v>1320</v>
      </c>
      <c r="Z25" s="9">
        <f t="shared" si="11"/>
        <v>3.3417366520607863</v>
      </c>
      <c r="AA25" s="9">
        <f t="shared" si="13"/>
        <v>0.24666666666666667</v>
      </c>
      <c r="AB25" s="9">
        <f t="shared" si="13"/>
        <v>5.0933333333333328</v>
      </c>
      <c r="AC25" s="9">
        <f t="shared" si="14"/>
        <v>2.5936548344404895</v>
      </c>
      <c r="AD25" s="9">
        <f t="shared" si="13"/>
        <v>0.44999999999999996</v>
      </c>
      <c r="AE25" s="9">
        <f t="shared" si="4"/>
        <v>14.926649175053836</v>
      </c>
      <c r="AF25" s="9">
        <f t="shared" si="4"/>
        <v>16.602869656029249</v>
      </c>
      <c r="AG25" s="68">
        <f t="shared" si="6"/>
        <v>6.1792729025120519</v>
      </c>
      <c r="AH25" s="69">
        <f t="shared" si="7"/>
        <v>16.602869656029249</v>
      </c>
      <c r="AI25" s="70">
        <f t="shared" si="8"/>
        <v>38.183413603719721</v>
      </c>
      <c r="AJ25" s="70">
        <f t="shared" si="8"/>
        <v>275.65528081509677</v>
      </c>
      <c r="AK25" s="71">
        <f t="shared" si="9"/>
        <v>12.52674527598483</v>
      </c>
      <c r="AL25" s="92" t="str">
        <f t="shared" si="10"/>
        <v>berat</v>
      </c>
    </row>
    <row r="26" spans="1:38" ht="17.25" thickBot="1" x14ac:dyDescent="0.35">
      <c r="A26" s="62">
        <v>19</v>
      </c>
      <c r="B26" s="132" t="s">
        <v>24</v>
      </c>
      <c r="C26" s="63"/>
      <c r="D26" s="87">
        <v>43066</v>
      </c>
      <c r="E26" s="135">
        <v>65.83</v>
      </c>
      <c r="F26" s="136">
        <v>3.05</v>
      </c>
      <c r="G26" s="136">
        <v>14.19</v>
      </c>
      <c r="H26" s="136">
        <v>24.99</v>
      </c>
      <c r="I26" s="136">
        <v>0.31</v>
      </c>
      <c r="J26" s="137">
        <v>230000</v>
      </c>
      <c r="K26" s="137">
        <v>2150000</v>
      </c>
      <c r="L26" s="59">
        <v>50</v>
      </c>
      <c r="M26" s="59">
        <v>4</v>
      </c>
      <c r="N26" s="59">
        <v>3</v>
      </c>
      <c r="O26" s="59">
        <v>25</v>
      </c>
      <c r="P26" s="59">
        <v>0.2</v>
      </c>
      <c r="Q26" s="59">
        <v>1000</v>
      </c>
      <c r="R26" s="59">
        <v>5000</v>
      </c>
      <c r="S26" s="7">
        <f t="shared" si="5"/>
        <v>1.3166</v>
      </c>
      <c r="T26" s="7">
        <f t="shared" si="0"/>
        <v>0.32916666666666666</v>
      </c>
      <c r="U26" s="7">
        <f t="shared" si="12"/>
        <v>4.7299999999999995</v>
      </c>
      <c r="V26" s="7">
        <f>H26/O26</f>
        <v>0.99959999999999993</v>
      </c>
      <c r="W26" s="8">
        <f t="shared" si="12"/>
        <v>1.5499999999999998</v>
      </c>
      <c r="X26" s="7">
        <f t="shared" si="12"/>
        <v>230</v>
      </c>
      <c r="Y26" s="7">
        <f t="shared" si="12"/>
        <v>430</v>
      </c>
      <c r="Z26" s="9">
        <f t="shared" si="11"/>
        <v>1.5972692537803002</v>
      </c>
      <c r="AA26" s="9">
        <f t="shared" si="13"/>
        <v>0.32916666666666666</v>
      </c>
      <c r="AB26" s="9">
        <f t="shared" si="13"/>
        <v>4.7299999999999995</v>
      </c>
      <c r="AC26" s="9">
        <f t="shared" si="13"/>
        <v>0.99959999999999993</v>
      </c>
      <c r="AD26" s="9">
        <f>1+(5*(LOG10(I26/P26)))</f>
        <v>1.9516584908514572</v>
      </c>
      <c r="AE26" s="9">
        <f t="shared" si="4"/>
        <v>12.808639180087965</v>
      </c>
      <c r="AF26" s="9">
        <f t="shared" si="4"/>
        <v>14.167342277897934</v>
      </c>
      <c r="AG26" s="68">
        <f t="shared" si="6"/>
        <v>5.2262394098977598</v>
      </c>
      <c r="AH26" s="69">
        <f t="shared" si="7"/>
        <v>14.167342277897934</v>
      </c>
      <c r="AI26" s="70">
        <f t="shared" si="8"/>
        <v>27.313578369568486</v>
      </c>
      <c r="AJ26" s="70">
        <f t="shared" si="8"/>
        <v>200.7135872191142</v>
      </c>
      <c r="AK26" s="71">
        <f t="shared" si="9"/>
        <v>10.677714305708939</v>
      </c>
      <c r="AL26" s="92" t="str">
        <f t="shared" si="10"/>
        <v>berat</v>
      </c>
    </row>
    <row r="27" spans="1:38" ht="17.25" thickBot="1" x14ac:dyDescent="0.35">
      <c r="A27" s="62">
        <v>20</v>
      </c>
      <c r="B27" s="134" t="s">
        <v>25</v>
      </c>
      <c r="C27" s="63"/>
      <c r="D27" s="87">
        <v>43066</v>
      </c>
      <c r="E27" s="139">
        <v>19.329999999999998</v>
      </c>
      <c r="F27" s="140">
        <v>1.9</v>
      </c>
      <c r="G27" s="140">
        <v>32.47</v>
      </c>
      <c r="H27" s="140">
        <v>98.71</v>
      </c>
      <c r="I27" s="140">
        <v>1</v>
      </c>
      <c r="J27" s="141">
        <v>5500000</v>
      </c>
      <c r="K27" s="141">
        <v>125000000</v>
      </c>
      <c r="L27" s="59">
        <v>50</v>
      </c>
      <c r="M27" s="59">
        <v>4</v>
      </c>
      <c r="N27" s="59">
        <v>3</v>
      </c>
      <c r="O27" s="59">
        <v>25</v>
      </c>
      <c r="P27" s="59">
        <v>0.2</v>
      </c>
      <c r="Q27" s="59">
        <v>1000</v>
      </c>
      <c r="R27" s="59">
        <v>5000</v>
      </c>
      <c r="S27" s="7">
        <f t="shared" si="5"/>
        <v>0.38659999999999994</v>
      </c>
      <c r="T27" s="7">
        <f t="shared" si="0"/>
        <v>0.42499999999999999</v>
      </c>
      <c r="U27" s="7">
        <f t="shared" si="12"/>
        <v>10.823333333333332</v>
      </c>
      <c r="V27" s="7">
        <f>H27/O27</f>
        <v>3.9483999999999999</v>
      </c>
      <c r="W27" s="8">
        <f t="shared" si="12"/>
        <v>5</v>
      </c>
      <c r="X27" s="7">
        <f t="shared" si="12"/>
        <v>5500</v>
      </c>
      <c r="Y27" s="7">
        <f t="shared" si="12"/>
        <v>25000</v>
      </c>
      <c r="Z27" s="9">
        <f t="shared" si="13"/>
        <v>0.38659999999999994</v>
      </c>
      <c r="AA27" s="9">
        <f t="shared" si="13"/>
        <v>0.42499999999999999</v>
      </c>
      <c r="AB27" s="9">
        <f t="shared" si="13"/>
        <v>10.823333333333332</v>
      </c>
      <c r="AC27" s="9">
        <f>1+(5*(LOG10(H27/O27)))</f>
        <v>3.982105716179817</v>
      </c>
      <c r="AD27" s="9">
        <f>1+(5*(LOG10(I27/P27)))</f>
        <v>4.4948500216800937</v>
      </c>
      <c r="AE27" s="9">
        <f t="shared" si="4"/>
        <v>19.701813447471217</v>
      </c>
      <c r="AF27" s="9">
        <f t="shared" si="4"/>
        <v>22.989700043360187</v>
      </c>
      <c r="AG27" s="68">
        <f t="shared" si="6"/>
        <v>8.9719146517178068</v>
      </c>
      <c r="AH27" s="69">
        <f t="shared" si="7"/>
        <v>22.989700043360187</v>
      </c>
      <c r="AI27" s="70">
        <f t="shared" si="8"/>
        <v>80.49525251770865</v>
      </c>
      <c r="AJ27" s="70">
        <f t="shared" si="8"/>
        <v>528.52630808367542</v>
      </c>
      <c r="AK27" s="71">
        <f t="shared" si="9"/>
        <v>17.450237256286577</v>
      </c>
      <c r="AL27" s="92" t="str">
        <f t="shared" si="10"/>
        <v>berat</v>
      </c>
    </row>
    <row r="28" spans="1:38" ht="17.25" thickBot="1" x14ac:dyDescent="0.35">
      <c r="A28" s="62">
        <v>21</v>
      </c>
      <c r="B28" s="133" t="s">
        <v>26</v>
      </c>
      <c r="C28" s="63"/>
      <c r="D28" s="87">
        <v>43066</v>
      </c>
      <c r="E28" s="142">
        <v>28.67</v>
      </c>
      <c r="F28" s="143">
        <v>1.59</v>
      </c>
      <c r="G28" s="143">
        <v>48.93</v>
      </c>
      <c r="H28" s="143">
        <v>1.6456</v>
      </c>
      <c r="I28" s="143">
        <v>0.56999999999999995</v>
      </c>
      <c r="J28" s="144">
        <v>6400000</v>
      </c>
      <c r="K28" s="144">
        <v>148000000</v>
      </c>
      <c r="L28" s="59">
        <v>50</v>
      </c>
      <c r="M28" s="59">
        <v>4</v>
      </c>
      <c r="N28" s="59">
        <v>3</v>
      </c>
      <c r="O28" s="59">
        <v>25</v>
      </c>
      <c r="P28" s="59">
        <v>0.2</v>
      </c>
      <c r="Q28" s="59">
        <v>1000</v>
      </c>
      <c r="R28" s="59">
        <v>5000</v>
      </c>
      <c r="S28" s="7">
        <f t="shared" si="5"/>
        <v>0.57340000000000002</v>
      </c>
      <c r="T28" s="7">
        <f t="shared" si="0"/>
        <v>0.45083333333333336</v>
      </c>
      <c r="U28" s="7">
        <f t="shared" si="12"/>
        <v>16.309999999999999</v>
      </c>
      <c r="V28" s="7">
        <f t="shared" si="12"/>
        <v>6.5823999999999994E-2</v>
      </c>
      <c r="W28" s="8">
        <f t="shared" si="12"/>
        <v>2.8499999999999996</v>
      </c>
      <c r="X28" s="7">
        <f t="shared" si="12"/>
        <v>6400</v>
      </c>
      <c r="Y28" s="7">
        <f t="shared" si="12"/>
        <v>29600</v>
      </c>
      <c r="Z28" s="9">
        <f t="shared" si="13"/>
        <v>0.57340000000000002</v>
      </c>
      <c r="AA28" s="9">
        <f t="shared" si="13"/>
        <v>0.45083333333333336</v>
      </c>
      <c r="AB28" s="9">
        <f t="shared" si="13"/>
        <v>16.309999999999999</v>
      </c>
      <c r="AC28" s="9">
        <f t="shared" si="13"/>
        <v>6.5823999999999994E-2</v>
      </c>
      <c r="AD28" s="9">
        <f>1+(5*(LOG10(I28/P28)))</f>
        <v>3.2742243000425506</v>
      </c>
      <c r="AE28" s="9">
        <f t="shared" si="4"/>
        <v>20.030899869919434</v>
      </c>
      <c r="AF28" s="9">
        <f t="shared" si="4"/>
        <v>23.356458555294694</v>
      </c>
      <c r="AG28" s="68">
        <f t="shared" si="6"/>
        <v>9.1516628655128596</v>
      </c>
      <c r="AH28" s="69">
        <f t="shared" si="7"/>
        <v>23.356458555294694</v>
      </c>
      <c r="AI28" s="70">
        <f t="shared" si="8"/>
        <v>83.75293320400705</v>
      </c>
      <c r="AJ28" s="70">
        <f t="shared" si="8"/>
        <v>545.5241562451987</v>
      </c>
      <c r="AK28" s="71">
        <f t="shared" si="9"/>
        <v>17.738053577678777</v>
      </c>
      <c r="AL28" s="92" t="str">
        <f t="shared" si="10"/>
        <v>berat</v>
      </c>
    </row>
    <row r="29" spans="1:38" ht="17.25" thickBot="1" x14ac:dyDescent="0.35">
      <c r="A29" s="62">
        <v>22</v>
      </c>
      <c r="B29" s="132" t="s">
        <v>27</v>
      </c>
      <c r="C29" s="63"/>
      <c r="D29" s="87">
        <v>43066</v>
      </c>
      <c r="E29" s="135">
        <v>122.67</v>
      </c>
      <c r="F29" s="136">
        <v>3.99</v>
      </c>
      <c r="G29" s="136">
        <v>15.09</v>
      </c>
      <c r="H29" s="136">
        <v>75.23</v>
      </c>
      <c r="I29" s="136">
        <v>0.1</v>
      </c>
      <c r="J29" s="137">
        <v>730000</v>
      </c>
      <c r="K29" s="137">
        <v>2350000</v>
      </c>
      <c r="L29" s="59">
        <v>50</v>
      </c>
      <c r="M29" s="59">
        <v>4</v>
      </c>
      <c r="N29" s="59">
        <v>3</v>
      </c>
      <c r="O29" s="59">
        <v>25</v>
      </c>
      <c r="P29" s="59">
        <v>0.2</v>
      </c>
      <c r="Q29" s="59">
        <v>1000</v>
      </c>
      <c r="R29" s="59">
        <v>5000</v>
      </c>
      <c r="S29" s="7">
        <f t="shared" si="5"/>
        <v>2.4534000000000002</v>
      </c>
      <c r="T29" s="7">
        <f t="shared" si="0"/>
        <v>0.2508333333333333</v>
      </c>
      <c r="U29" s="7">
        <f t="shared" si="12"/>
        <v>5.03</v>
      </c>
      <c r="V29" s="7">
        <f t="shared" si="12"/>
        <v>3.0092000000000003</v>
      </c>
      <c r="W29" s="8">
        <f t="shared" si="12"/>
        <v>0.5</v>
      </c>
      <c r="X29" s="7">
        <f t="shared" si="12"/>
        <v>730</v>
      </c>
      <c r="Y29" s="7">
        <f t="shared" si="12"/>
        <v>470</v>
      </c>
      <c r="Z29" s="9">
        <f>1+(5*(LOG10(E29/L29)))</f>
        <v>2.9488418046898985</v>
      </c>
      <c r="AA29" s="9">
        <f t="shared" si="13"/>
        <v>0.2508333333333333</v>
      </c>
      <c r="AB29" s="9">
        <f t="shared" si="13"/>
        <v>5.03</v>
      </c>
      <c r="AC29" s="9">
        <f t="shared" ref="AC29:AC37" si="15">1+(5*(LOG10(H29/O29)))</f>
        <v>3.3922552657357503</v>
      </c>
      <c r="AD29" s="9">
        <f t="shared" si="13"/>
        <v>0.5</v>
      </c>
      <c r="AE29" s="9">
        <f t="shared" si="4"/>
        <v>15.316614300602279</v>
      </c>
      <c r="AF29" s="9">
        <f t="shared" si="4"/>
        <v>14.360489289678588</v>
      </c>
      <c r="AG29" s="68">
        <f t="shared" si="6"/>
        <v>5.9712905705771222</v>
      </c>
      <c r="AH29" s="69">
        <f t="shared" si="7"/>
        <v>15.316614300602279</v>
      </c>
      <c r="AI29" s="70">
        <f t="shared" si="8"/>
        <v>35.656311078263251</v>
      </c>
      <c r="AJ29" s="70">
        <f t="shared" si="8"/>
        <v>234.59867363341422</v>
      </c>
      <c r="AK29" s="71">
        <f t="shared" si="9"/>
        <v>11.6244351413666</v>
      </c>
      <c r="AL29" s="92" t="str">
        <f t="shared" si="10"/>
        <v>berat</v>
      </c>
    </row>
    <row r="30" spans="1:38" ht="17.25" thickBot="1" x14ac:dyDescent="0.35">
      <c r="A30" s="62">
        <v>23</v>
      </c>
      <c r="B30" s="134" t="s">
        <v>28</v>
      </c>
      <c r="C30" s="63"/>
      <c r="D30" s="87">
        <v>43066</v>
      </c>
      <c r="E30" s="139">
        <v>97.67</v>
      </c>
      <c r="F30" s="140">
        <v>2.2000000000000002</v>
      </c>
      <c r="G30" s="140">
        <v>11.79</v>
      </c>
      <c r="H30" s="140">
        <v>61.97</v>
      </c>
      <c r="I30" s="140">
        <v>0.13</v>
      </c>
      <c r="J30" s="141">
        <v>35000</v>
      </c>
      <c r="K30" s="141">
        <v>2700000</v>
      </c>
      <c r="L30" s="59">
        <v>50</v>
      </c>
      <c r="M30" s="59">
        <v>4</v>
      </c>
      <c r="N30" s="59">
        <v>3</v>
      </c>
      <c r="O30" s="59">
        <v>25</v>
      </c>
      <c r="P30" s="59">
        <v>0.2</v>
      </c>
      <c r="Q30" s="59">
        <v>1000</v>
      </c>
      <c r="R30" s="59">
        <v>5000</v>
      </c>
      <c r="S30" s="7">
        <f t="shared" si="5"/>
        <v>1.9534</v>
      </c>
      <c r="T30" s="7">
        <f t="shared" si="0"/>
        <v>0.39999999999999997</v>
      </c>
      <c r="U30" s="7">
        <f t="shared" si="12"/>
        <v>3.9299999999999997</v>
      </c>
      <c r="V30" s="7">
        <f t="shared" si="12"/>
        <v>2.4788000000000001</v>
      </c>
      <c r="W30" s="8">
        <f t="shared" si="12"/>
        <v>0.65</v>
      </c>
      <c r="X30" s="7">
        <f t="shared" si="12"/>
        <v>35</v>
      </c>
      <c r="Y30" s="7">
        <f t="shared" si="12"/>
        <v>540</v>
      </c>
      <c r="Z30" s="9">
        <f>1+(5*(LOG10(E30/L30)))</f>
        <v>2.453955916913797</v>
      </c>
      <c r="AA30" s="9">
        <f t="shared" si="13"/>
        <v>0.39999999999999997</v>
      </c>
      <c r="AB30" s="9">
        <f t="shared" si="13"/>
        <v>3.9299999999999997</v>
      </c>
      <c r="AC30" s="9">
        <f t="shared" si="15"/>
        <v>2.9712074373882063</v>
      </c>
      <c r="AD30" s="9">
        <f t="shared" si="13"/>
        <v>0.65</v>
      </c>
      <c r="AE30" s="9">
        <f t="shared" si="4"/>
        <v>8.7203402217513784</v>
      </c>
      <c r="AF30" s="9">
        <f t="shared" si="4"/>
        <v>14.661968799114844</v>
      </c>
      <c r="AG30" s="68">
        <f t="shared" si="6"/>
        <v>4.8267817678811751</v>
      </c>
      <c r="AH30" s="69">
        <f t="shared" si="7"/>
        <v>14.661968799114844</v>
      </c>
      <c r="AI30" s="70">
        <f t="shared" si="8"/>
        <v>23.297822234750122</v>
      </c>
      <c r="AJ30" s="70">
        <f t="shared" si="8"/>
        <v>214.97332906621716</v>
      </c>
      <c r="AK30" s="71">
        <f t="shared" si="9"/>
        <v>10.914924445477562</v>
      </c>
      <c r="AL30" s="92" t="str">
        <f t="shared" si="10"/>
        <v>berat</v>
      </c>
    </row>
    <row r="31" spans="1:38" ht="17.25" thickBot="1" x14ac:dyDescent="0.35">
      <c r="A31" s="62">
        <v>24</v>
      </c>
      <c r="B31" s="133" t="s">
        <v>29</v>
      </c>
      <c r="C31" s="63"/>
      <c r="D31" s="87">
        <v>43067</v>
      </c>
      <c r="E31" s="142">
        <v>117.67</v>
      </c>
      <c r="F31" s="143">
        <v>3.56</v>
      </c>
      <c r="G31" s="145">
        <v>15</v>
      </c>
      <c r="H31" s="143">
        <v>68.38</v>
      </c>
      <c r="I31" s="143">
        <v>0.14000000000000001</v>
      </c>
      <c r="J31" s="144">
        <v>650000</v>
      </c>
      <c r="K31" s="144">
        <v>6600000</v>
      </c>
      <c r="L31" s="59">
        <v>50</v>
      </c>
      <c r="M31" s="59">
        <v>4</v>
      </c>
      <c r="N31" s="59">
        <v>3</v>
      </c>
      <c r="O31" s="59">
        <v>25</v>
      </c>
      <c r="P31" s="59">
        <v>0.2</v>
      </c>
      <c r="Q31" s="59">
        <v>1000</v>
      </c>
      <c r="R31" s="59">
        <v>5000</v>
      </c>
      <c r="S31" s="7">
        <f t="shared" si="5"/>
        <v>2.3534000000000002</v>
      </c>
      <c r="T31" s="7">
        <f t="shared" si="0"/>
        <v>0.28666666666666668</v>
      </c>
      <c r="U31" s="7">
        <f t="shared" si="12"/>
        <v>5</v>
      </c>
      <c r="V31" s="7">
        <f t="shared" si="12"/>
        <v>2.7351999999999999</v>
      </c>
      <c r="W31" s="8">
        <f t="shared" si="12"/>
        <v>0.70000000000000007</v>
      </c>
      <c r="X31" s="7">
        <f t="shared" si="12"/>
        <v>650</v>
      </c>
      <c r="Y31" s="7">
        <f t="shared" si="12"/>
        <v>1320</v>
      </c>
      <c r="Z31" s="9">
        <f>1+(5*(LOG10(E31/L31)))</f>
        <v>2.8584787455885454</v>
      </c>
      <c r="AA31" s="9">
        <f t="shared" si="13"/>
        <v>0.28666666666666668</v>
      </c>
      <c r="AB31" s="9">
        <f t="shared" si="13"/>
        <v>5</v>
      </c>
      <c r="AC31" s="9">
        <f t="shared" si="15"/>
        <v>3.184945438942691</v>
      </c>
      <c r="AD31" s="9">
        <f t="shared" si="13"/>
        <v>0.70000000000000007</v>
      </c>
      <c r="AE31" s="9">
        <f t="shared" si="4"/>
        <v>15.064566783214278</v>
      </c>
      <c r="AF31" s="9">
        <f t="shared" si="4"/>
        <v>16.602869656029249</v>
      </c>
      <c r="AG31" s="68">
        <f t="shared" si="6"/>
        <v>6.2425038986344896</v>
      </c>
      <c r="AH31" s="69">
        <f t="shared" si="7"/>
        <v>16.602869656029249</v>
      </c>
      <c r="AI31" s="70">
        <f t="shared" si="8"/>
        <v>38.968854924466804</v>
      </c>
      <c r="AJ31" s="70">
        <f t="shared" si="8"/>
        <v>275.65528081509677</v>
      </c>
      <c r="AK31" s="71">
        <f t="shared" si="9"/>
        <v>12.542410767862046</v>
      </c>
      <c r="AL31" s="92" t="str">
        <f t="shared" si="10"/>
        <v>berat</v>
      </c>
    </row>
    <row r="32" spans="1:38" ht="17.25" thickBot="1" x14ac:dyDescent="0.35">
      <c r="A32" s="62">
        <v>25</v>
      </c>
      <c r="B32" s="132" t="s">
        <v>30</v>
      </c>
      <c r="C32" s="63"/>
      <c r="D32" s="87">
        <v>43067</v>
      </c>
      <c r="E32" s="138">
        <v>21.33</v>
      </c>
      <c r="F32" s="136">
        <v>2.3199999999999998</v>
      </c>
      <c r="G32" s="136">
        <v>5.52</v>
      </c>
      <c r="H32" s="136">
        <v>26.32</v>
      </c>
      <c r="I32" s="136">
        <v>0.09</v>
      </c>
      <c r="J32" s="137">
        <v>2000000</v>
      </c>
      <c r="K32" s="137">
        <v>27000000</v>
      </c>
      <c r="L32" s="59">
        <v>50</v>
      </c>
      <c r="M32" s="59">
        <v>4</v>
      </c>
      <c r="N32" s="59">
        <v>3</v>
      </c>
      <c r="O32" s="59">
        <v>25</v>
      </c>
      <c r="P32" s="59">
        <v>0.2</v>
      </c>
      <c r="Q32" s="59">
        <v>1000</v>
      </c>
      <c r="R32" s="59">
        <v>5000</v>
      </c>
      <c r="S32" s="7">
        <f t="shared" si="5"/>
        <v>0.42659999999999998</v>
      </c>
      <c r="T32" s="7">
        <f t="shared" si="0"/>
        <v>0.38999999999999996</v>
      </c>
      <c r="U32" s="7">
        <f t="shared" si="12"/>
        <v>1.8399999999999999</v>
      </c>
      <c r="V32" s="7">
        <f t="shared" si="12"/>
        <v>1.0528</v>
      </c>
      <c r="W32" s="8">
        <f t="shared" si="12"/>
        <v>0.44999999999999996</v>
      </c>
      <c r="X32" s="7">
        <f t="shared" si="12"/>
        <v>2000</v>
      </c>
      <c r="Y32" s="7">
        <f t="shared" si="12"/>
        <v>5400</v>
      </c>
      <c r="Z32" s="9">
        <f t="shared" si="13"/>
        <v>0.42659999999999998</v>
      </c>
      <c r="AA32" s="9">
        <f t="shared" si="13"/>
        <v>0.38999999999999996</v>
      </c>
      <c r="AB32" s="9">
        <f t="shared" si="13"/>
        <v>1.8399999999999999</v>
      </c>
      <c r="AC32" s="9">
        <f t="shared" si="15"/>
        <v>1.1117293813494014</v>
      </c>
      <c r="AD32" s="9">
        <f t="shared" si="13"/>
        <v>0.44999999999999996</v>
      </c>
      <c r="AE32" s="9">
        <f t="shared" si="4"/>
        <v>17.505149978319906</v>
      </c>
      <c r="AF32" s="9">
        <f t="shared" si="4"/>
        <v>19.661968799114842</v>
      </c>
      <c r="AG32" s="68">
        <f t="shared" si="6"/>
        <v>5.9122068798263072</v>
      </c>
      <c r="AH32" s="69">
        <f t="shared" si="7"/>
        <v>19.661968799114842</v>
      </c>
      <c r="AI32" s="70">
        <f t="shared" si="8"/>
        <v>34.954190189865521</v>
      </c>
      <c r="AJ32" s="70">
        <f t="shared" si="8"/>
        <v>386.59301705736556</v>
      </c>
      <c r="AK32" s="71">
        <f t="shared" si="9"/>
        <v>14.518044070177481</v>
      </c>
      <c r="AL32" s="92" t="str">
        <f t="shared" si="10"/>
        <v>berat</v>
      </c>
    </row>
    <row r="33" spans="1:38" ht="17.25" thickBot="1" x14ac:dyDescent="0.35">
      <c r="A33" s="62">
        <v>26</v>
      </c>
      <c r="B33" s="134" t="s">
        <v>31</v>
      </c>
      <c r="C33" s="63"/>
      <c r="D33" s="87">
        <v>43067</v>
      </c>
      <c r="E33" s="139">
        <v>22.67</v>
      </c>
      <c r="F33" s="140">
        <v>2.14</v>
      </c>
      <c r="G33" s="140">
        <v>9.66</v>
      </c>
      <c r="H33" s="140">
        <v>34.15</v>
      </c>
      <c r="I33" s="140">
        <v>0.13</v>
      </c>
      <c r="J33" s="141">
        <v>1200000</v>
      </c>
      <c r="K33" s="141">
        <v>145000000</v>
      </c>
      <c r="L33" s="59">
        <v>50</v>
      </c>
      <c r="M33" s="59">
        <v>4</v>
      </c>
      <c r="N33" s="59">
        <v>3</v>
      </c>
      <c r="O33" s="59">
        <v>25</v>
      </c>
      <c r="P33" s="59">
        <v>0.2</v>
      </c>
      <c r="Q33" s="59">
        <v>1000</v>
      </c>
      <c r="R33" s="59">
        <v>5000</v>
      </c>
      <c r="S33" s="7">
        <f t="shared" si="5"/>
        <v>0.45340000000000003</v>
      </c>
      <c r="T33" s="7">
        <f t="shared" si="0"/>
        <v>0.40499999999999997</v>
      </c>
      <c r="U33" s="7">
        <f t="shared" si="12"/>
        <v>3.22</v>
      </c>
      <c r="V33" s="7">
        <f t="shared" si="12"/>
        <v>1.3659999999999999</v>
      </c>
      <c r="W33" s="8">
        <f t="shared" si="12"/>
        <v>0.65</v>
      </c>
      <c r="X33" s="7">
        <f t="shared" si="12"/>
        <v>1200</v>
      </c>
      <c r="Y33" s="7">
        <f t="shared" si="12"/>
        <v>29000</v>
      </c>
      <c r="Z33" s="9">
        <f t="shared" si="13"/>
        <v>0.45340000000000003</v>
      </c>
      <c r="AA33" s="9">
        <f t="shared" si="13"/>
        <v>0.40499999999999997</v>
      </c>
      <c r="AB33" s="9">
        <f t="shared" si="13"/>
        <v>3.22</v>
      </c>
      <c r="AC33" s="9">
        <f t="shared" si="15"/>
        <v>1.6772534967275685</v>
      </c>
      <c r="AD33" s="9">
        <f t="shared" si="13"/>
        <v>0.65</v>
      </c>
      <c r="AE33" s="9">
        <f t="shared" si="4"/>
        <v>16.395906230238126</v>
      </c>
      <c r="AF33" s="9">
        <f t="shared" si="4"/>
        <v>23.311989989494784</v>
      </c>
      <c r="AG33" s="68">
        <f t="shared" si="6"/>
        <v>6.5876499594943549</v>
      </c>
      <c r="AH33" s="69">
        <f t="shared" si="7"/>
        <v>23.311989989494784</v>
      </c>
      <c r="AI33" s="70">
        <f t="shared" si="8"/>
        <v>43.397131988825976</v>
      </c>
      <c r="AJ33" s="70">
        <f t="shared" si="8"/>
        <v>543.44887727030505</v>
      </c>
      <c r="AK33" s="71">
        <f t="shared" si="9"/>
        <v>17.129594409371329</v>
      </c>
      <c r="AL33" s="92" t="str">
        <f t="shared" si="10"/>
        <v>berat</v>
      </c>
    </row>
    <row r="34" spans="1:38" ht="17.25" thickBot="1" x14ac:dyDescent="0.35">
      <c r="A34" s="62">
        <v>27</v>
      </c>
      <c r="B34" s="133" t="s">
        <v>32</v>
      </c>
      <c r="C34" s="63"/>
      <c r="D34" s="87">
        <v>43067</v>
      </c>
      <c r="E34" s="142">
        <v>55.53</v>
      </c>
      <c r="F34" s="143">
        <v>2.21</v>
      </c>
      <c r="G34" s="143">
        <v>13.87</v>
      </c>
      <c r="H34" s="143">
        <v>56.51</v>
      </c>
      <c r="I34" s="143">
        <v>0.15</v>
      </c>
      <c r="J34" s="144">
        <v>3000000</v>
      </c>
      <c r="K34" s="144">
        <v>7200000</v>
      </c>
      <c r="L34" s="59">
        <v>50</v>
      </c>
      <c r="M34" s="59">
        <v>4</v>
      </c>
      <c r="N34" s="59">
        <v>3</v>
      </c>
      <c r="O34" s="59">
        <v>25</v>
      </c>
      <c r="P34" s="59">
        <v>0.2</v>
      </c>
      <c r="Q34" s="59">
        <v>1000</v>
      </c>
      <c r="R34" s="59">
        <v>5000</v>
      </c>
      <c r="S34" s="7">
        <f t="shared" si="5"/>
        <v>1.1106</v>
      </c>
      <c r="T34" s="7">
        <f t="shared" si="0"/>
        <v>0.39916666666666667</v>
      </c>
      <c r="U34" s="7">
        <f t="shared" si="12"/>
        <v>4.6233333333333331</v>
      </c>
      <c r="V34" s="7">
        <f t="shared" si="12"/>
        <v>2.2603999999999997</v>
      </c>
      <c r="W34" s="8">
        <f t="shared" si="12"/>
        <v>0.74999999999999989</v>
      </c>
      <c r="X34" s="7">
        <f t="shared" si="12"/>
        <v>3000</v>
      </c>
      <c r="Y34" s="7">
        <f t="shared" si="12"/>
        <v>1440</v>
      </c>
      <c r="Z34" s="9">
        <f>1+(5*(LOG10(E34/L34)))</f>
        <v>1.2277883456827388</v>
      </c>
      <c r="AA34" s="9">
        <f t="shared" si="13"/>
        <v>0.39916666666666667</v>
      </c>
      <c r="AB34" s="9">
        <f t="shared" si="13"/>
        <v>4.6233333333333331</v>
      </c>
      <c r="AC34" s="9">
        <f t="shared" si="15"/>
        <v>2.7709264931293029</v>
      </c>
      <c r="AD34" s="9">
        <f t="shared" si="13"/>
        <v>0.74999999999999989</v>
      </c>
      <c r="AE34" s="9">
        <f t="shared" si="4"/>
        <v>18.385606273598313</v>
      </c>
      <c r="AF34" s="9">
        <f t="shared" si="4"/>
        <v>16.791812460476251</v>
      </c>
      <c r="AG34" s="68">
        <f t="shared" si="6"/>
        <v>6.4212333675552298</v>
      </c>
      <c r="AH34" s="69">
        <f t="shared" si="7"/>
        <v>18.385606273598313</v>
      </c>
      <c r="AI34" s="70">
        <f t="shared" si="8"/>
        <v>41.232237960604678</v>
      </c>
      <c r="AJ34" s="70">
        <f t="shared" si="8"/>
        <v>338.03051804777766</v>
      </c>
      <c r="AK34" s="71">
        <f t="shared" si="9"/>
        <v>13.770670935150225</v>
      </c>
      <c r="AL34" s="92" t="str">
        <f t="shared" si="10"/>
        <v>berat</v>
      </c>
    </row>
    <row r="35" spans="1:38" ht="17.25" thickBot="1" x14ac:dyDescent="0.35">
      <c r="A35" s="62">
        <v>28</v>
      </c>
      <c r="B35" s="132" t="s">
        <v>33</v>
      </c>
      <c r="C35" s="63"/>
      <c r="D35" s="87">
        <v>43066</v>
      </c>
      <c r="E35" s="135">
        <v>20.67</v>
      </c>
      <c r="F35" s="136">
        <v>3.65</v>
      </c>
      <c r="G35" s="136">
        <v>19.32</v>
      </c>
      <c r="H35" s="136">
        <v>69.069999999999993</v>
      </c>
      <c r="I35" s="136">
        <v>0.27</v>
      </c>
      <c r="J35" s="137">
        <v>2000000</v>
      </c>
      <c r="K35" s="137">
        <v>3700000</v>
      </c>
      <c r="L35" s="59">
        <v>50</v>
      </c>
      <c r="M35" s="59">
        <v>4</v>
      </c>
      <c r="N35" s="59">
        <v>3</v>
      </c>
      <c r="O35" s="59">
        <v>25</v>
      </c>
      <c r="P35" s="59">
        <v>0.2</v>
      </c>
      <c r="Q35" s="59">
        <v>1000</v>
      </c>
      <c r="R35" s="59">
        <v>5000</v>
      </c>
      <c r="S35" s="7">
        <f t="shared" si="5"/>
        <v>0.41340000000000005</v>
      </c>
      <c r="T35" s="7">
        <f t="shared" si="0"/>
        <v>0.27916666666666667</v>
      </c>
      <c r="U35" s="7">
        <f t="shared" si="12"/>
        <v>6.44</v>
      </c>
      <c r="V35" s="7">
        <f t="shared" si="12"/>
        <v>2.7627999999999999</v>
      </c>
      <c r="W35" s="8">
        <f t="shared" si="12"/>
        <v>1.35</v>
      </c>
      <c r="X35" s="7">
        <f t="shared" si="12"/>
        <v>2000</v>
      </c>
      <c r="Y35" s="7">
        <f t="shared" si="12"/>
        <v>740</v>
      </c>
      <c r="Z35" s="9">
        <f t="shared" si="13"/>
        <v>0.41340000000000005</v>
      </c>
      <c r="AA35" s="9">
        <f t="shared" si="13"/>
        <v>0.27916666666666667</v>
      </c>
      <c r="AB35" s="9">
        <f t="shared" si="13"/>
        <v>6.44</v>
      </c>
      <c r="AC35" s="9">
        <f t="shared" si="15"/>
        <v>3.2067472366705463</v>
      </c>
      <c r="AD35" s="9">
        <f>1+(5*(LOG10(I35/P35)))</f>
        <v>1.6516688424750305</v>
      </c>
      <c r="AE35" s="9">
        <f t="shared" si="4"/>
        <v>17.505149978319906</v>
      </c>
      <c r="AF35" s="9">
        <f t="shared" si="4"/>
        <v>15.346158598654881</v>
      </c>
      <c r="AG35" s="68">
        <f t="shared" si="6"/>
        <v>6.4060416175410051</v>
      </c>
      <c r="AH35" s="69">
        <f t="shared" si="7"/>
        <v>17.505149978319906</v>
      </c>
      <c r="AI35" s="70">
        <f t="shared" si="8"/>
        <v>41.037369205667375</v>
      </c>
      <c r="AJ35" s="70">
        <f t="shared" si="8"/>
        <v>306.43027576347339</v>
      </c>
      <c r="AK35" s="71">
        <f t="shared" si="9"/>
        <v>13.180812664042016</v>
      </c>
      <c r="AL35" s="92" t="str">
        <f t="shared" si="10"/>
        <v>berat</v>
      </c>
    </row>
    <row r="36" spans="1:38" ht="17.25" thickBot="1" x14ac:dyDescent="0.35">
      <c r="A36" s="62">
        <v>29</v>
      </c>
      <c r="B36" s="134" t="s">
        <v>34</v>
      </c>
      <c r="C36" s="63"/>
      <c r="D36" s="87">
        <v>43066</v>
      </c>
      <c r="E36" s="139">
        <v>41.67</v>
      </c>
      <c r="F36" s="140">
        <v>1.58</v>
      </c>
      <c r="G36" s="140">
        <v>86.41</v>
      </c>
      <c r="H36" s="140">
        <v>233.42</v>
      </c>
      <c r="I36" s="140">
        <v>0.26</v>
      </c>
      <c r="J36" s="141">
        <v>7300000</v>
      </c>
      <c r="K36" s="141">
        <v>170000000</v>
      </c>
      <c r="L36" s="59">
        <v>50</v>
      </c>
      <c r="M36" s="59">
        <v>4</v>
      </c>
      <c r="N36" s="59">
        <v>3</v>
      </c>
      <c r="O36" s="59">
        <v>25</v>
      </c>
      <c r="P36" s="59">
        <v>0.2</v>
      </c>
      <c r="Q36" s="59">
        <v>1000</v>
      </c>
      <c r="R36" s="59">
        <v>5000</v>
      </c>
      <c r="S36" s="7">
        <f t="shared" si="5"/>
        <v>0.83340000000000003</v>
      </c>
      <c r="T36" s="7">
        <f t="shared" si="0"/>
        <v>0.45166666666666666</v>
      </c>
      <c r="U36" s="7">
        <f t="shared" si="12"/>
        <v>28.803333333333331</v>
      </c>
      <c r="V36" s="7">
        <f t="shared" si="12"/>
        <v>9.3368000000000002</v>
      </c>
      <c r="W36" s="8">
        <f t="shared" si="12"/>
        <v>1.3</v>
      </c>
      <c r="X36" s="7">
        <f t="shared" si="12"/>
        <v>7300</v>
      </c>
      <c r="Y36" s="7">
        <f t="shared" si="12"/>
        <v>34000</v>
      </c>
      <c r="Z36" s="9">
        <f t="shared" si="13"/>
        <v>0.83340000000000003</v>
      </c>
      <c r="AA36" s="9">
        <f t="shared" si="13"/>
        <v>0.45166666666666666</v>
      </c>
      <c r="AB36" s="9">
        <f t="shared" si="13"/>
        <v>28.803333333333331</v>
      </c>
      <c r="AC36" s="9">
        <f t="shared" si="15"/>
        <v>5.8509902802575464</v>
      </c>
      <c r="AD36" s="9">
        <f>1+(5*(LOG10(I36/P36)))</f>
        <v>1.5697167615341838</v>
      </c>
      <c r="AE36" s="9">
        <f t="shared" si="4"/>
        <v>20.316614300602279</v>
      </c>
      <c r="AF36" s="9">
        <f t="shared" si="4"/>
        <v>23.657394585211279</v>
      </c>
      <c r="AG36" s="68">
        <f t="shared" si="6"/>
        <v>11.64044513251504</v>
      </c>
      <c r="AH36" s="69">
        <f t="shared" si="7"/>
        <v>28.803333333333331</v>
      </c>
      <c r="AI36" s="70">
        <f t="shared" si="8"/>
        <v>135.4999628830931</v>
      </c>
      <c r="AJ36" s="70">
        <f t="shared" si="8"/>
        <v>829.63201111111096</v>
      </c>
      <c r="AK36" s="71">
        <f t="shared" si="9"/>
        <v>21.96738461895503</v>
      </c>
      <c r="AL36" s="92" t="str">
        <f t="shared" si="10"/>
        <v>berat</v>
      </c>
    </row>
    <row r="37" spans="1:38" ht="16.5" x14ac:dyDescent="0.3">
      <c r="A37" s="62">
        <v>30</v>
      </c>
      <c r="B37" s="133" t="s">
        <v>35</v>
      </c>
      <c r="C37" s="63"/>
      <c r="D37" s="87">
        <v>43066</v>
      </c>
      <c r="E37" s="142">
        <v>171.33</v>
      </c>
      <c r="F37" s="143">
        <v>0.57999999999999996</v>
      </c>
      <c r="G37" s="143">
        <v>71.97</v>
      </c>
      <c r="H37" s="143">
        <v>280.01</v>
      </c>
      <c r="I37" s="143">
        <v>0.82</v>
      </c>
      <c r="J37" s="144">
        <v>6400000</v>
      </c>
      <c r="K37" s="144">
        <v>73000000</v>
      </c>
      <c r="L37" s="59">
        <v>50</v>
      </c>
      <c r="M37" s="59">
        <v>4</v>
      </c>
      <c r="N37" s="59">
        <v>3</v>
      </c>
      <c r="O37" s="59">
        <v>25</v>
      </c>
      <c r="P37" s="59">
        <v>0.2</v>
      </c>
      <c r="Q37" s="59">
        <v>1000</v>
      </c>
      <c r="R37" s="59">
        <v>5000</v>
      </c>
      <c r="S37" s="7">
        <f t="shared" si="5"/>
        <v>3.4266000000000001</v>
      </c>
      <c r="T37" s="7">
        <f t="shared" si="0"/>
        <v>0.53500000000000003</v>
      </c>
      <c r="U37" s="7">
        <f t="shared" si="12"/>
        <v>23.99</v>
      </c>
      <c r="V37" s="7">
        <f t="shared" si="12"/>
        <v>11.2004</v>
      </c>
      <c r="W37" s="8">
        <f t="shared" si="12"/>
        <v>4.0999999999999996</v>
      </c>
      <c r="X37" s="7">
        <f t="shared" si="12"/>
        <v>6400</v>
      </c>
      <c r="Y37" s="7">
        <f t="shared" si="12"/>
        <v>14600</v>
      </c>
      <c r="Z37" s="9">
        <f>1+(5*(LOG10(E37/L37)))</f>
        <v>3.6743170527420763</v>
      </c>
      <c r="AA37" s="9">
        <f t="shared" si="13"/>
        <v>0.53500000000000003</v>
      </c>
      <c r="AB37" s="9">
        <f t="shared" si="13"/>
        <v>23.99</v>
      </c>
      <c r="AC37" s="9">
        <f t="shared" si="15"/>
        <v>6.2461676645521269</v>
      </c>
      <c r="AD37" s="9">
        <f>1+(5*(LOG10(I37/P37)))</f>
        <v>4.0639192835986773</v>
      </c>
      <c r="AE37" s="9">
        <f t="shared" si="4"/>
        <v>20.030899869919434</v>
      </c>
      <c r="AF37" s="9">
        <f t="shared" si="4"/>
        <v>21.821764278922185</v>
      </c>
      <c r="AG37" s="68">
        <f t="shared" si="6"/>
        <v>11.480295449962071</v>
      </c>
      <c r="AH37" s="69">
        <f t="shared" si="7"/>
        <v>23.99</v>
      </c>
      <c r="AI37" s="70">
        <f t="shared" si="8"/>
        <v>131.79718361841984</v>
      </c>
      <c r="AJ37" s="70">
        <f t="shared" si="8"/>
        <v>575.52009999999996</v>
      </c>
      <c r="AK37" s="71">
        <f t="shared" si="9"/>
        <v>18.805814042715884</v>
      </c>
      <c r="AL37" s="92" t="str">
        <f t="shared" si="10"/>
        <v>berat</v>
      </c>
    </row>
    <row r="39" spans="1:38" x14ac:dyDescent="0.25">
      <c r="A39" s="53" t="s">
        <v>36</v>
      </c>
    </row>
    <row r="40" spans="1:38" x14ac:dyDescent="0.25">
      <c r="A40" s="77" t="s">
        <v>37</v>
      </c>
      <c r="B40" s="53" t="s">
        <v>38</v>
      </c>
    </row>
    <row r="41" spans="1:38" x14ac:dyDescent="0.25">
      <c r="A41" s="77" t="s">
        <v>39</v>
      </c>
      <c r="B41" s="53" t="s">
        <v>40</v>
      </c>
    </row>
    <row r="43" spans="1:38" ht="16.5" x14ac:dyDescent="0.3">
      <c r="A43" s="77" t="s">
        <v>41</v>
      </c>
      <c r="B43" s="78" t="s">
        <v>42</v>
      </c>
      <c r="D43" s="79"/>
    </row>
    <row r="44" spans="1:38" ht="16.5" x14ac:dyDescent="0.3">
      <c r="B44" s="80" t="s">
        <v>43</v>
      </c>
      <c r="C44" s="81" t="s">
        <v>44</v>
      </c>
      <c r="D44" s="81" t="s">
        <v>45</v>
      </c>
      <c r="E44" s="127" t="s">
        <v>46</v>
      </c>
      <c r="F44" s="123" t="s">
        <v>47</v>
      </c>
    </row>
    <row r="45" spans="1:38" x14ac:dyDescent="0.25">
      <c r="B45" s="62" t="s">
        <v>48</v>
      </c>
      <c r="C45" s="62">
        <v>0</v>
      </c>
      <c r="D45" s="32">
        <f>C45/C49</f>
        <v>0</v>
      </c>
      <c r="E45" s="128">
        <v>70</v>
      </c>
      <c r="F45" s="124">
        <f>E45*D45</f>
        <v>0</v>
      </c>
    </row>
    <row r="46" spans="1:38" x14ac:dyDescent="0.25">
      <c r="B46" s="62" t="s">
        <v>49</v>
      </c>
      <c r="C46" s="62">
        <v>4</v>
      </c>
      <c r="D46" s="32">
        <f>C46/C49</f>
        <v>0.13333333333333333</v>
      </c>
      <c r="E46" s="128">
        <v>50</v>
      </c>
      <c r="F46" s="124">
        <f>D46*E46</f>
        <v>6.666666666666667</v>
      </c>
    </row>
    <row r="47" spans="1:38" x14ac:dyDescent="0.25">
      <c r="B47" s="62" t="s">
        <v>50</v>
      </c>
      <c r="C47" s="62">
        <v>14</v>
      </c>
      <c r="D47" s="32">
        <f>C47/C49</f>
        <v>0.46666666666666667</v>
      </c>
      <c r="E47" s="128">
        <v>30</v>
      </c>
      <c r="F47" s="124">
        <f>E47*D47</f>
        <v>14</v>
      </c>
    </row>
    <row r="48" spans="1:38" x14ac:dyDescent="0.25">
      <c r="B48" s="62" t="s">
        <v>51</v>
      </c>
      <c r="C48" s="62">
        <v>12</v>
      </c>
      <c r="D48" s="32">
        <f>C48/C49</f>
        <v>0.4</v>
      </c>
      <c r="E48" s="128">
        <v>10</v>
      </c>
      <c r="F48" s="124">
        <f>E48*D48</f>
        <v>4</v>
      </c>
    </row>
    <row r="49" spans="2:15" x14ac:dyDescent="0.25">
      <c r="B49" s="62"/>
      <c r="C49" s="62">
        <f>SUM(C45:C48)</f>
        <v>30</v>
      </c>
      <c r="D49" s="82"/>
      <c r="E49" s="128"/>
      <c r="F49" s="125"/>
    </row>
    <row r="50" spans="2:15" x14ac:dyDescent="0.25">
      <c r="B50" s="84" t="s">
        <v>52</v>
      </c>
      <c r="C50" s="85"/>
      <c r="D50" s="85"/>
      <c r="E50" s="129"/>
      <c r="F50" s="126">
        <f>SUM(F45:F49)</f>
        <v>24.666666666666668</v>
      </c>
    </row>
    <row r="52" spans="2:15" x14ac:dyDescent="0.25">
      <c r="F52" s="121" t="s">
        <v>126</v>
      </c>
    </row>
    <row r="54" spans="2:15" x14ac:dyDescent="0.25">
      <c r="B54" s="53" t="s">
        <v>43</v>
      </c>
      <c r="C54" s="53" t="s">
        <v>44</v>
      </c>
      <c r="D54" s="53" t="s">
        <v>45</v>
      </c>
      <c r="E54" s="121" t="s">
        <v>46</v>
      </c>
      <c r="F54" s="121" t="s">
        <v>47</v>
      </c>
    </row>
    <row r="55" spans="2:15" x14ac:dyDescent="0.25">
      <c r="B55" s="53" t="s">
        <v>48</v>
      </c>
      <c r="C55" s="53">
        <v>0</v>
      </c>
      <c r="D55" s="180">
        <v>0</v>
      </c>
      <c r="E55" s="121">
        <v>70</v>
      </c>
      <c r="F55" s="182">
        <v>0</v>
      </c>
    </row>
    <row r="56" spans="2:15" x14ac:dyDescent="0.25">
      <c r="B56" s="53" t="s">
        <v>49</v>
      </c>
      <c r="C56" s="53">
        <v>4</v>
      </c>
      <c r="D56" s="180">
        <v>0.13333333333333333</v>
      </c>
      <c r="E56" s="121">
        <v>50</v>
      </c>
      <c r="F56" s="182">
        <v>6.666666666666667</v>
      </c>
    </row>
    <row r="57" spans="2:15" x14ac:dyDescent="0.25">
      <c r="B57" s="53" t="s">
        <v>50</v>
      </c>
      <c r="C57" s="53">
        <v>9</v>
      </c>
      <c r="D57" s="180">
        <v>0.3</v>
      </c>
      <c r="E57" s="121">
        <v>30</v>
      </c>
      <c r="F57" s="182">
        <v>9</v>
      </c>
    </row>
    <row r="58" spans="2:15" x14ac:dyDescent="0.25">
      <c r="B58" s="53" t="s">
        <v>51</v>
      </c>
      <c r="C58" s="53">
        <v>17</v>
      </c>
      <c r="D58" s="180">
        <v>0.56666666666666665</v>
      </c>
      <c r="E58" s="121">
        <v>10</v>
      </c>
      <c r="F58" s="182">
        <v>5.6666666666666661</v>
      </c>
    </row>
    <row r="59" spans="2:15" x14ac:dyDescent="0.25">
      <c r="C59" s="53">
        <v>30</v>
      </c>
    </row>
    <row r="60" spans="2:15" x14ac:dyDescent="0.25">
      <c r="B60" s="53" t="s">
        <v>52</v>
      </c>
      <c r="F60" s="182">
        <v>21.333333333333336</v>
      </c>
    </row>
    <row r="64" spans="2:15" x14ac:dyDescent="0.25">
      <c r="D64" s="53">
        <v>2017</v>
      </c>
      <c r="F64" s="121">
        <v>2018</v>
      </c>
      <c r="H64" s="121">
        <v>2019</v>
      </c>
      <c r="J64" s="121">
        <v>2020</v>
      </c>
      <c r="L64" s="121">
        <v>2021</v>
      </c>
      <c r="N64" s="121">
        <v>2022</v>
      </c>
      <c r="O64" s="185" t="s">
        <v>172</v>
      </c>
    </row>
    <row r="65" spans="2:15" x14ac:dyDescent="0.25">
      <c r="B65" s="53" t="s">
        <v>43</v>
      </c>
      <c r="C65" s="53" t="s">
        <v>44</v>
      </c>
      <c r="J65" s="121"/>
      <c r="L65" s="121"/>
      <c r="N65" s="121"/>
      <c r="O65" s="122"/>
    </row>
    <row r="66" spans="2:15" x14ac:dyDescent="0.25">
      <c r="B66" s="53" t="s">
        <v>48</v>
      </c>
      <c r="C66" s="53">
        <v>0</v>
      </c>
      <c r="D66" s="180">
        <v>0</v>
      </c>
      <c r="E66" s="53">
        <v>0</v>
      </c>
      <c r="F66" s="181">
        <f t="shared" ref="F66:F68" si="16">E66/C$70</f>
        <v>0</v>
      </c>
      <c r="G66" s="121">
        <v>0</v>
      </c>
      <c r="H66" s="183">
        <f t="shared" ref="H66:H68" si="17">G66/C$70</f>
        <v>0</v>
      </c>
      <c r="I66" s="121">
        <v>0</v>
      </c>
      <c r="J66" s="183">
        <f t="shared" ref="J66:J68" si="18">I66/C$70</f>
        <v>0</v>
      </c>
      <c r="K66" s="122">
        <v>0</v>
      </c>
      <c r="L66" s="180">
        <f t="shared" ref="L66:L68" si="19">K66/C$70</f>
        <v>0</v>
      </c>
      <c r="M66" s="53">
        <v>0</v>
      </c>
      <c r="N66" s="180">
        <f t="shared" ref="N66:N68" si="20">M66/C$70</f>
        <v>0</v>
      </c>
      <c r="O66" s="121">
        <v>70</v>
      </c>
    </row>
    <row r="67" spans="2:15" x14ac:dyDescent="0.25">
      <c r="B67" s="53" t="s">
        <v>49</v>
      </c>
      <c r="C67" s="53">
        <v>4</v>
      </c>
      <c r="D67" s="180">
        <v>0.13333333333333333</v>
      </c>
      <c r="E67" s="53">
        <v>4</v>
      </c>
      <c r="F67" s="181">
        <f t="shared" si="16"/>
        <v>0.13333333333333333</v>
      </c>
      <c r="G67" s="121">
        <v>4</v>
      </c>
      <c r="H67" s="183">
        <f t="shared" si="17"/>
        <v>0.13333333333333333</v>
      </c>
      <c r="I67" s="121">
        <v>4</v>
      </c>
      <c r="J67" s="183">
        <f t="shared" si="18"/>
        <v>0.13333333333333333</v>
      </c>
      <c r="K67" s="122">
        <v>4</v>
      </c>
      <c r="L67" s="180">
        <f t="shared" si="19"/>
        <v>0.13333333333333333</v>
      </c>
      <c r="M67" s="53">
        <v>4</v>
      </c>
      <c r="N67" s="180">
        <f t="shared" si="20"/>
        <v>0.13333333333333333</v>
      </c>
      <c r="O67" s="121">
        <v>50</v>
      </c>
    </row>
    <row r="68" spans="2:15" x14ac:dyDescent="0.25">
      <c r="B68" s="53" t="s">
        <v>50</v>
      </c>
      <c r="C68" s="53">
        <v>9</v>
      </c>
      <c r="D68" s="180">
        <v>0.3</v>
      </c>
      <c r="E68" s="53">
        <v>10</v>
      </c>
      <c r="F68" s="181">
        <f t="shared" si="16"/>
        <v>0.33333333333333331</v>
      </c>
      <c r="G68" s="121">
        <v>11</v>
      </c>
      <c r="H68" s="183">
        <f t="shared" si="17"/>
        <v>0.36666666666666664</v>
      </c>
      <c r="I68" s="121">
        <v>12</v>
      </c>
      <c r="J68" s="183">
        <f t="shared" si="18"/>
        <v>0.4</v>
      </c>
      <c r="K68" s="122">
        <v>13</v>
      </c>
      <c r="L68" s="180">
        <f t="shared" si="19"/>
        <v>0.43333333333333335</v>
      </c>
      <c r="M68" s="53">
        <v>14</v>
      </c>
      <c r="N68" s="180">
        <f t="shared" si="20"/>
        <v>0.46666666666666667</v>
      </c>
      <c r="O68" s="121">
        <v>30</v>
      </c>
    </row>
    <row r="69" spans="2:15" x14ac:dyDescent="0.25">
      <c r="B69" s="53" t="s">
        <v>51</v>
      </c>
      <c r="C69" s="53">
        <v>17</v>
      </c>
      <c r="D69" s="180">
        <v>0.56666666666666665</v>
      </c>
      <c r="E69" s="53">
        <v>16</v>
      </c>
      <c r="F69" s="181">
        <f>E69/C$70</f>
        <v>0.53333333333333333</v>
      </c>
      <c r="G69" s="121">
        <v>15</v>
      </c>
      <c r="H69" s="183">
        <f>G69/C$70</f>
        <v>0.5</v>
      </c>
      <c r="I69" s="121">
        <v>14</v>
      </c>
      <c r="J69" s="183">
        <f>I69/C$70</f>
        <v>0.46666666666666667</v>
      </c>
      <c r="K69" s="122">
        <v>13</v>
      </c>
      <c r="L69" s="180">
        <f>K69/C$70</f>
        <v>0.43333333333333335</v>
      </c>
      <c r="M69" s="53">
        <v>12</v>
      </c>
      <c r="N69" s="180">
        <f>M69/C$70</f>
        <v>0.4</v>
      </c>
      <c r="O69" s="121">
        <v>10</v>
      </c>
    </row>
    <row r="70" spans="2:15" x14ac:dyDescent="0.25">
      <c r="C70" s="53">
        <v>30</v>
      </c>
    </row>
    <row r="72" spans="2:15" x14ac:dyDescent="0.25">
      <c r="B72" s="53" t="s">
        <v>171</v>
      </c>
      <c r="D72" s="184">
        <f t="shared" ref="D72:N74" si="21">$O66*D66</f>
        <v>0</v>
      </c>
      <c r="E72" s="184"/>
      <c r="F72" s="184">
        <f t="shared" si="21"/>
        <v>0</v>
      </c>
      <c r="G72" s="184"/>
      <c r="H72" s="184">
        <f t="shared" si="21"/>
        <v>0</v>
      </c>
      <c r="I72" s="184"/>
      <c r="J72" s="184">
        <f t="shared" si="21"/>
        <v>0</v>
      </c>
      <c r="K72" s="184"/>
      <c r="L72" s="184">
        <f t="shared" si="21"/>
        <v>0</v>
      </c>
      <c r="M72" s="184"/>
      <c r="N72" s="184">
        <f t="shared" si="21"/>
        <v>0</v>
      </c>
      <c r="O72" s="184"/>
    </row>
    <row r="73" spans="2:15" x14ac:dyDescent="0.25">
      <c r="D73" s="184">
        <f t="shared" si="21"/>
        <v>6.666666666666667</v>
      </c>
      <c r="E73" s="184"/>
      <c r="F73" s="184">
        <f t="shared" si="21"/>
        <v>6.666666666666667</v>
      </c>
      <c r="G73" s="184"/>
      <c r="H73" s="184">
        <f t="shared" si="21"/>
        <v>6.666666666666667</v>
      </c>
      <c r="I73" s="184"/>
      <c r="J73" s="184">
        <f t="shared" si="21"/>
        <v>6.666666666666667</v>
      </c>
      <c r="K73" s="184"/>
      <c r="L73" s="184">
        <f t="shared" si="21"/>
        <v>6.666666666666667</v>
      </c>
      <c r="M73" s="184"/>
      <c r="N73" s="184">
        <f t="shared" si="21"/>
        <v>6.666666666666667</v>
      </c>
      <c r="O73" s="184"/>
    </row>
    <row r="74" spans="2:15" x14ac:dyDescent="0.25">
      <c r="D74" s="184">
        <f t="shared" si="21"/>
        <v>9</v>
      </c>
      <c r="E74" s="184"/>
      <c r="F74" s="184">
        <f t="shared" si="21"/>
        <v>10</v>
      </c>
      <c r="G74" s="184"/>
      <c r="H74" s="184">
        <f t="shared" si="21"/>
        <v>11</v>
      </c>
      <c r="I74" s="184"/>
      <c r="J74" s="184">
        <f t="shared" si="21"/>
        <v>12</v>
      </c>
      <c r="K74" s="184"/>
      <c r="L74" s="184">
        <f t="shared" si="21"/>
        <v>13</v>
      </c>
      <c r="M74" s="184"/>
      <c r="N74" s="184">
        <f t="shared" si="21"/>
        <v>14</v>
      </c>
      <c r="O74" s="184"/>
    </row>
    <row r="75" spans="2:15" x14ac:dyDescent="0.25">
      <c r="D75" s="184">
        <f>$O69*D69</f>
        <v>5.6666666666666661</v>
      </c>
      <c r="E75" s="184"/>
      <c r="F75" s="184">
        <f t="shared" ref="F75:N75" si="22">$O69*F69</f>
        <v>5.333333333333333</v>
      </c>
      <c r="G75" s="184"/>
      <c r="H75" s="184">
        <f t="shared" si="22"/>
        <v>5</v>
      </c>
      <c r="I75" s="184"/>
      <c r="J75" s="184">
        <f t="shared" si="22"/>
        <v>4.666666666666667</v>
      </c>
      <c r="K75" s="184"/>
      <c r="L75" s="184">
        <f t="shared" si="22"/>
        <v>4.3333333333333339</v>
      </c>
      <c r="M75" s="184"/>
      <c r="N75" s="184">
        <f t="shared" si="22"/>
        <v>4</v>
      </c>
      <c r="O75" s="184"/>
    </row>
    <row r="76" spans="2:15" x14ac:dyDescent="0.25">
      <c r="B76" s="84" t="s">
        <v>170</v>
      </c>
      <c r="C76" s="84"/>
      <c r="D76" s="188">
        <f>SUM(D72:D75)</f>
        <v>21.333333333333336</v>
      </c>
      <c r="E76" s="188"/>
      <c r="F76" s="188">
        <f t="shared" ref="F76:N76" si="23">SUM(F72:F75)</f>
        <v>22</v>
      </c>
      <c r="G76" s="188"/>
      <c r="H76" s="188">
        <f t="shared" si="23"/>
        <v>22.666666666666668</v>
      </c>
      <c r="I76" s="188"/>
      <c r="J76" s="188">
        <f t="shared" si="23"/>
        <v>23.333333333333336</v>
      </c>
      <c r="K76" s="188"/>
      <c r="L76" s="188">
        <f t="shared" si="23"/>
        <v>24</v>
      </c>
      <c r="M76" s="188"/>
      <c r="N76" s="188">
        <f t="shared" si="23"/>
        <v>24.666666666666668</v>
      </c>
    </row>
    <row r="79" spans="2:15" x14ac:dyDescent="0.25">
      <c r="C79" s="62"/>
      <c r="D79" s="62">
        <v>2017</v>
      </c>
      <c r="E79" s="128">
        <v>2018</v>
      </c>
      <c r="F79" s="128">
        <v>2019</v>
      </c>
      <c r="G79" s="128">
        <v>2020</v>
      </c>
      <c r="H79" s="128">
        <v>2021</v>
      </c>
      <c r="I79" s="128">
        <v>2020</v>
      </c>
    </row>
    <row r="80" spans="2:15" x14ac:dyDescent="0.25">
      <c r="C80" s="62" t="s">
        <v>170</v>
      </c>
      <c r="D80" s="186">
        <v>21.333333333333336</v>
      </c>
      <c r="E80" s="187">
        <v>22</v>
      </c>
      <c r="F80" s="187">
        <v>22.666666666666668</v>
      </c>
      <c r="G80" s="187">
        <v>23.333333333333336</v>
      </c>
      <c r="H80" s="187">
        <v>24</v>
      </c>
      <c r="I80" s="187">
        <v>24.666666666666668</v>
      </c>
    </row>
    <row r="81" spans="4:9" x14ac:dyDescent="0.25">
      <c r="D81" s="184"/>
      <c r="E81" s="182"/>
      <c r="F81" s="182"/>
      <c r="G81" s="182"/>
      <c r="H81" s="182"/>
      <c r="I81" s="182"/>
    </row>
  </sheetData>
  <mergeCells count="4">
    <mergeCell ref="L6:R6"/>
    <mergeCell ref="E6:K6"/>
    <mergeCell ref="S6:Y6"/>
    <mergeCell ref="Z6:A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P68"/>
  <sheetViews>
    <sheetView topLeftCell="A53" zoomScale="173" zoomScaleNormal="173" zoomScaleSheetLayoutView="115" workbookViewId="0">
      <selection activeCell="F68" sqref="F68"/>
    </sheetView>
  </sheetViews>
  <sheetFormatPr defaultColWidth="9.140625" defaultRowHeight="15" x14ac:dyDescent="0.25"/>
  <cols>
    <col min="1" max="1" width="4.140625" style="1" bestFit="1" customWidth="1"/>
    <col min="2" max="2" width="19.42578125" style="1" customWidth="1"/>
    <col min="3" max="3" width="25.42578125" style="1" bestFit="1" customWidth="1"/>
    <col min="4" max="4" width="15.42578125" style="1" bestFit="1" customWidth="1"/>
    <col min="5" max="5" width="9.140625" style="1"/>
    <col min="6" max="6" width="10.140625" style="1" customWidth="1"/>
    <col min="7" max="9" width="9.140625" style="1"/>
    <col min="10" max="10" width="10.42578125" style="1" bestFit="1" customWidth="1"/>
    <col min="11" max="11" width="11.42578125" style="1" bestFit="1" customWidth="1"/>
    <col min="12" max="12" width="4.7109375" style="1" bestFit="1" customWidth="1"/>
    <col min="13" max="13" width="3.7109375" style="1" bestFit="1" customWidth="1"/>
    <col min="14" max="14" width="5" style="1" bestFit="1" customWidth="1"/>
    <col min="15" max="15" width="5.140625" style="1" bestFit="1" customWidth="1"/>
    <col min="16" max="16" width="6" style="1" bestFit="1" customWidth="1"/>
    <col min="17" max="17" width="9.28515625" style="1" bestFit="1" customWidth="1"/>
    <col min="18" max="18" width="7.7109375" style="1" bestFit="1" customWidth="1"/>
    <col min="19" max="19" width="6.42578125" style="1" bestFit="1" customWidth="1"/>
    <col min="20" max="20" width="6.140625" style="1" bestFit="1" customWidth="1"/>
    <col min="21" max="22" width="6.42578125" style="1" bestFit="1" customWidth="1"/>
    <col min="23" max="23" width="8.42578125" style="1" bestFit="1" customWidth="1"/>
    <col min="24" max="25" width="9.7109375" style="1" bestFit="1" customWidth="1"/>
    <col min="26" max="26" width="6.42578125" style="1" bestFit="1" customWidth="1"/>
    <col min="27" max="27" width="6.140625" style="1" bestFit="1" customWidth="1"/>
    <col min="28" max="30" width="6.42578125" style="1" bestFit="1" customWidth="1"/>
    <col min="31" max="31" width="10" style="1" bestFit="1" customWidth="1"/>
    <col min="32" max="32" width="9.140625" style="1" bestFit="1" customWidth="1"/>
    <col min="33" max="33" width="9.28515625" style="1" bestFit="1" customWidth="1"/>
    <col min="34" max="34" width="10.42578125" style="1" bestFit="1" customWidth="1"/>
    <col min="35" max="35" width="11.7109375" style="1" bestFit="1" customWidth="1"/>
    <col min="36" max="36" width="14" style="1" bestFit="1" customWidth="1"/>
    <col min="37" max="37" width="8.7109375" style="1" bestFit="1" customWidth="1"/>
    <col min="38" max="38" width="10.7109375" style="210" bestFit="1" customWidth="1"/>
    <col min="39" max="39" width="5.7109375" style="1" bestFit="1" customWidth="1"/>
    <col min="40" max="40" width="7.140625" style="1" bestFit="1" customWidth="1"/>
    <col min="41" max="16384" width="9.140625" style="1"/>
  </cols>
  <sheetData>
    <row r="1" spans="1:41" x14ac:dyDescent="0.25">
      <c r="B1" s="2" t="s">
        <v>0</v>
      </c>
    </row>
    <row r="3" spans="1:41" x14ac:dyDescent="0.25">
      <c r="B3" s="2" t="s">
        <v>1</v>
      </c>
    </row>
    <row r="4" spans="1:41" x14ac:dyDescent="0.25">
      <c r="B4" s="2" t="s">
        <v>179</v>
      </c>
    </row>
    <row r="5" spans="1:41" x14ac:dyDescent="0.25">
      <c r="B5" s="2" t="s">
        <v>185</v>
      </c>
    </row>
    <row r="6" spans="1:41" x14ac:dyDescent="0.25">
      <c r="B6" s="2" t="s">
        <v>3</v>
      </c>
    </row>
    <row r="7" spans="1:41" ht="33" x14ac:dyDescent="0.25">
      <c r="A7" s="195" t="s">
        <v>4</v>
      </c>
      <c r="B7" s="5" t="s">
        <v>5</v>
      </c>
      <c r="C7" s="5" t="s">
        <v>6</v>
      </c>
      <c r="D7" s="5" t="s">
        <v>7</v>
      </c>
      <c r="E7" s="5" t="s">
        <v>8</v>
      </c>
      <c r="F7" s="5" t="s">
        <v>9</v>
      </c>
      <c r="G7" s="5" t="s">
        <v>10</v>
      </c>
      <c r="H7" s="5" t="s">
        <v>11</v>
      </c>
      <c r="I7" s="5" t="s">
        <v>12</v>
      </c>
      <c r="J7" s="5" t="s">
        <v>13</v>
      </c>
      <c r="K7" s="5" t="s">
        <v>14</v>
      </c>
      <c r="L7" s="6" t="s">
        <v>8</v>
      </c>
      <c r="M7" s="6" t="s">
        <v>9</v>
      </c>
      <c r="N7" s="6" t="s">
        <v>10</v>
      </c>
      <c r="O7" s="6" t="s">
        <v>11</v>
      </c>
      <c r="P7" s="6" t="s">
        <v>12</v>
      </c>
      <c r="Q7" s="6" t="s">
        <v>13</v>
      </c>
      <c r="R7" s="6"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11" t="s">
        <v>15</v>
      </c>
      <c r="AH7" s="11" t="s">
        <v>16</v>
      </c>
      <c r="AI7" s="11" t="s">
        <v>17</v>
      </c>
      <c r="AJ7" s="11" t="s">
        <v>18</v>
      </c>
      <c r="AK7" s="11" t="s">
        <v>19</v>
      </c>
      <c r="AL7" s="12" t="s">
        <v>20</v>
      </c>
      <c r="AM7" s="225" t="s">
        <v>51</v>
      </c>
      <c r="AN7" s="225" t="s">
        <v>50</v>
      </c>
      <c r="AO7" s="224" t="s">
        <v>49</v>
      </c>
    </row>
    <row r="8" spans="1:41" s="210" customFormat="1" ht="16.5" x14ac:dyDescent="0.25">
      <c r="A8" s="218" t="s">
        <v>183</v>
      </c>
      <c r="B8" s="217"/>
      <c r="C8" s="12"/>
      <c r="D8" s="12"/>
      <c r="E8" s="12"/>
      <c r="F8" s="12"/>
      <c r="G8" s="12"/>
      <c r="H8" s="12"/>
      <c r="I8" s="12"/>
      <c r="J8" s="12"/>
      <c r="K8" s="12"/>
      <c r="L8" s="17"/>
      <c r="M8" s="17"/>
      <c r="N8" s="17"/>
      <c r="O8" s="17"/>
      <c r="P8" s="17"/>
      <c r="Q8" s="17"/>
      <c r="R8" s="17"/>
      <c r="S8" s="24"/>
      <c r="T8" s="24"/>
      <c r="U8" s="24"/>
      <c r="V8" s="24"/>
      <c r="W8" s="205"/>
      <c r="X8" s="24"/>
      <c r="Y8" s="24"/>
      <c r="Z8" s="24"/>
      <c r="AA8" s="24"/>
      <c r="AB8" s="24"/>
      <c r="AC8" s="24"/>
      <c r="AD8" s="205"/>
      <c r="AE8" s="24"/>
      <c r="AF8" s="24"/>
      <c r="AG8" s="216"/>
      <c r="AH8" s="216"/>
      <c r="AI8" s="216"/>
      <c r="AJ8" s="216"/>
      <c r="AK8" s="216"/>
      <c r="AL8" s="12"/>
    </row>
    <row r="9" spans="1:41" ht="16.5" x14ac:dyDescent="0.3">
      <c r="A9" s="36">
        <v>1</v>
      </c>
      <c r="B9" s="94" t="s">
        <v>21</v>
      </c>
      <c r="C9" s="211" t="s">
        <v>94</v>
      </c>
      <c r="D9" s="204">
        <v>43560</v>
      </c>
      <c r="E9" s="233">
        <v>81</v>
      </c>
      <c r="F9" s="232">
        <v>7.19</v>
      </c>
      <c r="G9" s="233">
        <v>4</v>
      </c>
      <c r="H9" s="88">
        <v>12</v>
      </c>
      <c r="I9" s="232">
        <v>0.28000000000000003</v>
      </c>
      <c r="J9" s="220">
        <v>1100000</v>
      </c>
      <c r="K9" s="220">
        <v>1100000</v>
      </c>
      <c r="L9" s="6">
        <v>50</v>
      </c>
      <c r="M9" s="6">
        <v>4</v>
      </c>
      <c r="N9" s="6">
        <v>3</v>
      </c>
      <c r="O9" s="6">
        <v>25</v>
      </c>
      <c r="P9" s="6">
        <v>0.2</v>
      </c>
      <c r="Q9" s="6">
        <v>1000</v>
      </c>
      <c r="R9" s="6">
        <v>5000</v>
      </c>
      <c r="S9" s="7">
        <f t="shared" ref="S9:S23" si="0">E9/L9</f>
        <v>1.62</v>
      </c>
      <c r="T9" s="7">
        <f t="shared" ref="T9:T23" si="1">((7-F9)/(7-M9))/M9</f>
        <v>-1.5833333333333366E-2</v>
      </c>
      <c r="U9" s="7">
        <f t="shared" ref="U9:U23" si="2">G9/N9</f>
        <v>1.3333333333333333</v>
      </c>
      <c r="V9" s="7">
        <f t="shared" ref="V9:V23" si="3">H9/O9</f>
        <v>0.48</v>
      </c>
      <c r="W9" s="8">
        <f t="shared" ref="W9:W23" si="4">I9/P9</f>
        <v>1.4000000000000001</v>
      </c>
      <c r="X9" s="7">
        <f t="shared" ref="X9:X41" si="5">J9/Q9</f>
        <v>1100</v>
      </c>
      <c r="Y9" s="7"/>
      <c r="Z9" s="9">
        <f>1+(5*(LOG10(E9/L9)))</f>
        <v>2.0475750727131548</v>
      </c>
      <c r="AA9" s="9">
        <f>1+(5*(LOG10(F9/M9)))</f>
        <v>2.2733444952746011</v>
      </c>
      <c r="AB9" s="9">
        <f>1+(5*(LOG10(G9/N9)))</f>
        <v>1.6246936830414995</v>
      </c>
      <c r="AC9" s="9">
        <f>1+(5*(LOG10(H9/O9)))</f>
        <v>-0.59379381312206392</v>
      </c>
      <c r="AD9" s="9">
        <f t="shared" ref="AA9:AF41" si="6">W9</f>
        <v>1.4000000000000001</v>
      </c>
      <c r="AE9" s="9">
        <f>X9</f>
        <v>1100</v>
      </c>
      <c r="AF9" s="9">
        <f t="shared" si="6"/>
        <v>0</v>
      </c>
      <c r="AG9" s="18">
        <f>AVERAGE(Z9:AF9)</f>
        <v>158.10740277684388</v>
      </c>
      <c r="AH9" s="19">
        <f>MAX(Z9:AG9)</f>
        <v>1100</v>
      </c>
      <c r="AI9" s="20">
        <f>POWER(AG9,2)</f>
        <v>24997.950812839143</v>
      </c>
      <c r="AJ9" s="20">
        <f>POWER(AH9,2)</f>
        <v>1210000</v>
      </c>
      <c r="AK9" s="21">
        <f>SQRT((AI9+AJ9)/2)</f>
        <v>785.8110303415317</v>
      </c>
      <c r="AL9" s="194" t="str">
        <f>IF(ISNUMBER(AK9),IF(AK9&lt;=1,"memenuhi",IF(AK9&lt;=5,"ringan",IF(AK9&lt;=10,"sedang","berat"))),"")</f>
        <v>berat</v>
      </c>
      <c r="AM9" s="1">
        <v>1</v>
      </c>
    </row>
    <row r="10" spans="1:41" ht="16.5" x14ac:dyDescent="0.3">
      <c r="A10" s="36">
        <v>2</v>
      </c>
      <c r="B10" s="94" t="s">
        <v>61</v>
      </c>
      <c r="C10" s="212" t="s">
        <v>96</v>
      </c>
      <c r="D10" s="204">
        <v>43556</v>
      </c>
      <c r="E10" s="233">
        <v>62</v>
      </c>
      <c r="F10" s="232">
        <v>6.04</v>
      </c>
      <c r="G10" s="233">
        <v>4</v>
      </c>
      <c r="H10" s="88">
        <v>11</v>
      </c>
      <c r="I10" s="232">
        <v>0.36</v>
      </c>
      <c r="J10" s="220">
        <v>240000</v>
      </c>
      <c r="K10" s="220">
        <v>1100000</v>
      </c>
      <c r="L10" s="6">
        <v>50</v>
      </c>
      <c r="M10" s="6">
        <v>4</v>
      </c>
      <c r="N10" s="6">
        <v>3</v>
      </c>
      <c r="O10" s="6">
        <v>25</v>
      </c>
      <c r="P10" s="6">
        <v>0.2</v>
      </c>
      <c r="Q10" s="6">
        <v>1000</v>
      </c>
      <c r="R10" s="6">
        <v>5000</v>
      </c>
      <c r="S10" s="7">
        <f t="shared" si="0"/>
        <v>1.24</v>
      </c>
      <c r="T10" s="7">
        <f t="shared" si="1"/>
        <v>0.08</v>
      </c>
      <c r="U10" s="7">
        <f t="shared" si="2"/>
        <v>1.3333333333333333</v>
      </c>
      <c r="V10" s="7">
        <f t="shared" si="3"/>
        <v>0.44</v>
      </c>
      <c r="W10" s="8">
        <f t="shared" si="4"/>
        <v>1.7999999999999998</v>
      </c>
      <c r="X10" s="7">
        <f t="shared" si="5"/>
        <v>240</v>
      </c>
      <c r="Y10" s="7"/>
      <c r="Z10" s="9">
        <f t="shared" ref="Z10:Z23" si="7">1+(5*(LOG10(E10/L10)))</f>
        <v>1.4671084258111753</v>
      </c>
      <c r="AA10" s="9">
        <f t="shared" si="6"/>
        <v>0.08</v>
      </c>
      <c r="AB10" s="9">
        <f t="shared" ref="AB10:AB21" si="8">1+(5*(LOG10(G10/N10)))</f>
        <v>1.6246936830414995</v>
      </c>
      <c r="AC10" s="9">
        <f t="shared" ref="AC10:AC21" si="9">1+(5*(LOG10(H10/O10)))</f>
        <v>-0.78273661756906288</v>
      </c>
      <c r="AD10" s="9">
        <f t="shared" si="6"/>
        <v>1.7999999999999998</v>
      </c>
      <c r="AE10" s="9">
        <f t="shared" si="6"/>
        <v>240</v>
      </c>
      <c r="AF10" s="9">
        <f t="shared" si="6"/>
        <v>0</v>
      </c>
      <c r="AG10" s="18">
        <f t="shared" ref="AG10:AG55" si="10">AVERAGE(Z10:AF10)</f>
        <v>34.884152213040515</v>
      </c>
      <c r="AH10" s="19">
        <f t="shared" ref="AH10:AH55" si="11">MAX(Z10:AG10)</f>
        <v>240</v>
      </c>
      <c r="AI10" s="20">
        <f t="shared" ref="AI10:AJ55" si="12">POWER(AG10,2)</f>
        <v>1216.9040756225795</v>
      </c>
      <c r="AJ10" s="20">
        <f t="shared" si="12"/>
        <v>57600</v>
      </c>
      <c r="AK10" s="21">
        <f t="shared" ref="AK10:AK55" si="13">SQRT((AI10+AJ10)/2)</f>
        <v>171.48892686646357</v>
      </c>
      <c r="AL10" s="194" t="str">
        <f>IF(ISNUMBER(AK10),IF(AK10&lt;=1,"memenuhi",IF(AK10&lt;=5,"ringan",IF(AK10&lt;=10,"sedang","berat"))),"")</f>
        <v>berat</v>
      </c>
      <c r="AM10" s="1">
        <v>1</v>
      </c>
    </row>
    <row r="11" spans="1:41" ht="16.5" x14ac:dyDescent="0.3">
      <c r="A11" s="36">
        <v>3</v>
      </c>
      <c r="B11" s="94" t="s">
        <v>60</v>
      </c>
      <c r="C11" s="211" t="s">
        <v>97</v>
      </c>
      <c r="D11" s="204">
        <v>43560</v>
      </c>
      <c r="E11" s="233">
        <v>20</v>
      </c>
      <c r="F11" s="232">
        <v>6.19</v>
      </c>
      <c r="G11" s="233">
        <v>6</v>
      </c>
      <c r="H11" s="233">
        <v>27</v>
      </c>
      <c r="I11" s="232">
        <v>0.33</v>
      </c>
      <c r="J11" s="220">
        <v>1100000</v>
      </c>
      <c r="K11" s="220">
        <v>1100000</v>
      </c>
      <c r="L11" s="6">
        <v>50</v>
      </c>
      <c r="M11" s="6">
        <v>4</v>
      </c>
      <c r="N11" s="6">
        <v>3</v>
      </c>
      <c r="O11" s="6">
        <v>25</v>
      </c>
      <c r="P11" s="6">
        <v>0.2</v>
      </c>
      <c r="Q11" s="6">
        <v>1000</v>
      </c>
      <c r="R11" s="6">
        <v>5000</v>
      </c>
      <c r="S11" s="7">
        <f t="shared" si="0"/>
        <v>0.4</v>
      </c>
      <c r="T11" s="7">
        <f t="shared" si="1"/>
        <v>6.7499999999999963E-2</v>
      </c>
      <c r="U11" s="7">
        <f t="shared" si="2"/>
        <v>2</v>
      </c>
      <c r="V11" s="7">
        <f t="shared" si="3"/>
        <v>1.08</v>
      </c>
      <c r="W11" s="8">
        <f t="shared" si="4"/>
        <v>1.65</v>
      </c>
      <c r="X11" s="7">
        <f t="shared" si="5"/>
        <v>1100</v>
      </c>
      <c r="Y11" s="7"/>
      <c r="Z11" s="9">
        <f t="shared" si="7"/>
        <v>-0.98970004336018791</v>
      </c>
      <c r="AA11" s="9">
        <f t="shared" si="6"/>
        <v>6.7499999999999963E-2</v>
      </c>
      <c r="AB11" s="9">
        <f t="shared" si="8"/>
        <v>2.5051499783199063</v>
      </c>
      <c r="AC11" s="9">
        <f t="shared" si="9"/>
        <v>1.1671187774347487</v>
      </c>
      <c r="AD11" s="9">
        <f t="shared" si="6"/>
        <v>1.65</v>
      </c>
      <c r="AE11" s="9">
        <f t="shared" si="6"/>
        <v>1100</v>
      </c>
      <c r="AF11" s="9">
        <f t="shared" si="6"/>
        <v>0</v>
      </c>
      <c r="AG11" s="18">
        <f t="shared" si="10"/>
        <v>157.77143838748492</v>
      </c>
      <c r="AH11" s="19">
        <f t="shared" si="11"/>
        <v>1100</v>
      </c>
      <c r="AI11" s="20">
        <f t="shared" si="12"/>
        <v>24891.826770855951</v>
      </c>
      <c r="AJ11" s="20">
        <f t="shared" si="12"/>
        <v>1210000</v>
      </c>
      <c r="AK11" s="21">
        <f t="shared" si="13"/>
        <v>785.77726703273106</v>
      </c>
      <c r="AL11" s="194" t="str">
        <f>IF(ISNUMBER(AK11),IF(AK11&lt;=1,"memenuhi",IF(AK11&lt;=5,"ringan",IF(AK11&lt;=10,"sedang","berat"))),"")</f>
        <v>berat</v>
      </c>
      <c r="AM11" s="1">
        <v>1</v>
      </c>
    </row>
    <row r="12" spans="1:41" ht="16.5" x14ac:dyDescent="0.3">
      <c r="A12" s="36">
        <v>4</v>
      </c>
      <c r="B12" s="94" t="s">
        <v>30</v>
      </c>
      <c r="C12" s="213" t="s">
        <v>99</v>
      </c>
      <c r="D12" s="204">
        <v>43556</v>
      </c>
      <c r="E12" s="88">
        <v>23</v>
      </c>
      <c r="F12" s="232">
        <v>4.25</v>
      </c>
      <c r="G12" s="88">
        <v>2</v>
      </c>
      <c r="H12" s="88">
        <v>7</v>
      </c>
      <c r="I12" s="232">
        <v>0.78</v>
      </c>
      <c r="J12" s="220">
        <v>460000</v>
      </c>
      <c r="K12" s="220">
        <v>460000</v>
      </c>
      <c r="L12" s="6">
        <v>50</v>
      </c>
      <c r="M12" s="6">
        <v>4</v>
      </c>
      <c r="N12" s="6">
        <v>3</v>
      </c>
      <c r="O12" s="6">
        <v>25</v>
      </c>
      <c r="P12" s="6">
        <v>0.2</v>
      </c>
      <c r="Q12" s="6">
        <v>1000</v>
      </c>
      <c r="R12" s="6">
        <v>5000</v>
      </c>
      <c r="S12" s="7">
        <f t="shared" si="0"/>
        <v>0.46</v>
      </c>
      <c r="T12" s="7">
        <f t="shared" si="1"/>
        <v>0.22916666666666666</v>
      </c>
      <c r="U12" s="7">
        <f t="shared" si="2"/>
        <v>0.66666666666666663</v>
      </c>
      <c r="V12" s="7">
        <f t="shared" si="3"/>
        <v>0.28000000000000003</v>
      </c>
      <c r="W12" s="8">
        <f t="shared" si="4"/>
        <v>3.9</v>
      </c>
      <c r="X12" s="7">
        <f t="shared" si="5"/>
        <v>460</v>
      </c>
      <c r="Y12" s="7"/>
      <c r="Z12" s="9">
        <f t="shared" si="7"/>
        <v>-0.68621084159212953</v>
      </c>
      <c r="AA12" s="9">
        <f t="shared" si="6"/>
        <v>0.22916666666666666</v>
      </c>
      <c r="AB12" s="9">
        <f t="shared" si="8"/>
        <v>0.1195437047215937</v>
      </c>
      <c r="AC12" s="9">
        <f t="shared" si="9"/>
        <v>-1.7642098432889037</v>
      </c>
      <c r="AD12" s="9">
        <f t="shared" si="6"/>
        <v>3.9</v>
      </c>
      <c r="AE12" s="9">
        <f t="shared" si="6"/>
        <v>460</v>
      </c>
      <c r="AF12" s="9">
        <f t="shared" si="6"/>
        <v>0</v>
      </c>
      <c r="AG12" s="18">
        <f t="shared" si="10"/>
        <v>65.971184240929603</v>
      </c>
      <c r="AH12" s="19">
        <f t="shared" si="11"/>
        <v>460</v>
      </c>
      <c r="AI12" s="20">
        <f t="shared" si="12"/>
        <v>4352.1971501506787</v>
      </c>
      <c r="AJ12" s="20">
        <f t="shared" si="12"/>
        <v>211600</v>
      </c>
      <c r="AK12" s="21">
        <f t="shared" si="13"/>
        <v>328.59716763093888</v>
      </c>
      <c r="AL12" s="194" t="str">
        <f>IF(ISNUMBER(AK12),IF(AK12&lt;=1,"memenuhi",IF(AK12&lt;=5,"ringan",IF(AK12&lt;=10,"sedang","berat"))),"")</f>
        <v>berat</v>
      </c>
      <c r="AM12" s="1">
        <v>1</v>
      </c>
    </row>
    <row r="13" spans="1:41" ht="16.5" x14ac:dyDescent="0.3">
      <c r="A13" s="36">
        <v>5</v>
      </c>
      <c r="B13" s="94" t="s">
        <v>31</v>
      </c>
      <c r="C13" s="213" t="s">
        <v>100</v>
      </c>
      <c r="D13" s="204">
        <v>43556</v>
      </c>
      <c r="E13" s="88">
        <v>25</v>
      </c>
      <c r="F13" s="199">
        <v>1</v>
      </c>
      <c r="G13" s="233">
        <v>6</v>
      </c>
      <c r="H13" s="88">
        <v>23</v>
      </c>
      <c r="I13" s="232">
        <v>0.86</v>
      </c>
      <c r="J13" s="220">
        <v>1100000</v>
      </c>
      <c r="K13" s="220">
        <v>1100000</v>
      </c>
      <c r="L13" s="6">
        <v>50</v>
      </c>
      <c r="M13" s="6">
        <v>4</v>
      </c>
      <c r="N13" s="6">
        <v>3</v>
      </c>
      <c r="O13" s="6">
        <v>25</v>
      </c>
      <c r="P13" s="6">
        <v>0.2</v>
      </c>
      <c r="Q13" s="6">
        <v>1000</v>
      </c>
      <c r="R13" s="6">
        <v>5000</v>
      </c>
      <c r="S13" s="7">
        <f t="shared" si="0"/>
        <v>0.5</v>
      </c>
      <c r="T13" s="7">
        <f t="shared" si="1"/>
        <v>0.5</v>
      </c>
      <c r="U13" s="7">
        <f t="shared" si="2"/>
        <v>2</v>
      </c>
      <c r="V13" s="7">
        <f t="shared" si="3"/>
        <v>0.92</v>
      </c>
      <c r="W13" s="8">
        <f t="shared" si="4"/>
        <v>4.3</v>
      </c>
      <c r="X13" s="7">
        <f t="shared" si="5"/>
        <v>1100</v>
      </c>
      <c r="Y13" s="7"/>
      <c r="Z13" s="9">
        <f t="shared" si="7"/>
        <v>-0.50514997831990605</v>
      </c>
      <c r="AA13" s="9">
        <f t="shared" si="6"/>
        <v>0.5</v>
      </c>
      <c r="AB13" s="9">
        <f t="shared" si="8"/>
        <v>2.5051499783199063</v>
      </c>
      <c r="AC13" s="9">
        <f t="shared" si="9"/>
        <v>0.81893913672777641</v>
      </c>
      <c r="AD13" s="9">
        <f t="shared" si="6"/>
        <v>4.3</v>
      </c>
      <c r="AE13" s="9">
        <f t="shared" si="6"/>
        <v>1100</v>
      </c>
      <c r="AF13" s="9">
        <f t="shared" si="6"/>
        <v>0</v>
      </c>
      <c r="AG13" s="18">
        <f t="shared" si="10"/>
        <v>158.23127701953254</v>
      </c>
      <c r="AH13" s="19">
        <f t="shared" si="11"/>
        <v>1100</v>
      </c>
      <c r="AI13" s="20">
        <f t="shared" si="12"/>
        <v>25037.137027232046</v>
      </c>
      <c r="AJ13" s="20">
        <f t="shared" si="12"/>
        <v>1210000</v>
      </c>
      <c r="AK13" s="21">
        <f t="shared" si="13"/>
        <v>785.82349704855221</v>
      </c>
      <c r="AL13" s="194" t="str">
        <f>IF(ISNUMBER(AK13),IF(AK13&lt;=1,"memenuhi",IF(AK13&lt;=5,"ringan",IF(AK13&lt;=10,"sedang","berat"))),"")</f>
        <v>berat</v>
      </c>
      <c r="AM13" s="1">
        <v>1</v>
      </c>
    </row>
    <row r="14" spans="1:41" ht="16.5" x14ac:dyDescent="0.3">
      <c r="A14" s="36">
        <v>6</v>
      </c>
      <c r="B14" s="94" t="s">
        <v>32</v>
      </c>
      <c r="C14" s="213" t="s">
        <v>101</v>
      </c>
      <c r="D14" s="204">
        <v>43557</v>
      </c>
      <c r="E14" s="88">
        <v>20</v>
      </c>
      <c r="F14" s="199">
        <v>1.73</v>
      </c>
      <c r="G14" s="233">
        <v>19</v>
      </c>
      <c r="H14" s="233">
        <v>42</v>
      </c>
      <c r="I14" s="232">
        <v>0.94</v>
      </c>
      <c r="J14" s="220">
        <v>93000</v>
      </c>
      <c r="K14" s="220">
        <v>240000</v>
      </c>
      <c r="L14" s="6">
        <v>50</v>
      </c>
      <c r="M14" s="6">
        <v>4</v>
      </c>
      <c r="N14" s="6">
        <v>3</v>
      </c>
      <c r="O14" s="6">
        <v>25</v>
      </c>
      <c r="P14" s="6">
        <v>0.2</v>
      </c>
      <c r="Q14" s="6">
        <v>1000</v>
      </c>
      <c r="R14" s="6">
        <v>5000</v>
      </c>
      <c r="S14" s="7">
        <f t="shared" si="0"/>
        <v>0.4</v>
      </c>
      <c r="T14" s="7">
        <f t="shared" si="1"/>
        <v>0.43916666666666665</v>
      </c>
      <c r="U14" s="7">
        <f t="shared" si="2"/>
        <v>6.333333333333333</v>
      </c>
      <c r="V14" s="7">
        <f t="shared" si="3"/>
        <v>1.68</v>
      </c>
      <c r="W14" s="8">
        <f t="shared" si="4"/>
        <v>4.6999999999999993</v>
      </c>
      <c r="X14" s="7">
        <f t="shared" si="5"/>
        <v>93</v>
      </c>
      <c r="Y14" s="7"/>
      <c r="Z14" s="9">
        <f t="shared" si="7"/>
        <v>-0.98970004336018791</v>
      </c>
      <c r="AA14" s="9">
        <f t="shared" si="6"/>
        <v>0.43916666666666665</v>
      </c>
      <c r="AB14" s="9">
        <f t="shared" si="8"/>
        <v>5.0081617311658322</v>
      </c>
      <c r="AC14" s="9">
        <f t="shared" si="9"/>
        <v>2.1265464086293142</v>
      </c>
      <c r="AD14" s="9">
        <f t="shared" si="6"/>
        <v>4.6999999999999993</v>
      </c>
      <c r="AE14" s="9">
        <f t="shared" si="6"/>
        <v>93</v>
      </c>
      <c r="AF14" s="9">
        <f t="shared" si="6"/>
        <v>0</v>
      </c>
      <c r="AG14" s="18">
        <f t="shared" si="10"/>
        <v>14.897739251871659</v>
      </c>
      <c r="AH14" s="19">
        <f t="shared" si="11"/>
        <v>93</v>
      </c>
      <c r="AI14" s="20">
        <f t="shared" si="12"/>
        <v>221.94263481675753</v>
      </c>
      <c r="AJ14" s="20">
        <f t="shared" si="12"/>
        <v>8649</v>
      </c>
      <c r="AK14" s="21">
        <f t="shared" si="13"/>
        <v>66.59933421144973</v>
      </c>
      <c r="AL14" s="194" t="str">
        <f t="shared" ref="AL14:AL55" si="14">IF(ISNUMBER(AK14),IF(AK14&lt;=1,"memenuhi",IF(AK14&lt;=5,"ringan",IF(AK14&lt;=10,"sedang","berat"))),"")</f>
        <v>berat</v>
      </c>
      <c r="AM14" s="1">
        <v>1</v>
      </c>
    </row>
    <row r="15" spans="1:41" ht="16.5" x14ac:dyDescent="0.3">
      <c r="A15" s="36">
        <v>7</v>
      </c>
      <c r="B15" s="94" t="s">
        <v>24</v>
      </c>
      <c r="C15" s="213" t="s">
        <v>102</v>
      </c>
      <c r="D15" s="204">
        <v>43559</v>
      </c>
      <c r="E15" s="88">
        <v>26</v>
      </c>
      <c r="F15" s="232">
        <v>5.38</v>
      </c>
      <c r="G15" s="233">
        <v>6</v>
      </c>
      <c r="H15" s="233">
        <v>29</v>
      </c>
      <c r="I15" s="232">
        <v>0.48</v>
      </c>
      <c r="J15" s="220">
        <v>1100000</v>
      </c>
      <c r="K15" s="220">
        <v>1100000</v>
      </c>
      <c r="L15" s="6">
        <v>50</v>
      </c>
      <c r="M15" s="6">
        <v>4</v>
      </c>
      <c r="N15" s="6">
        <v>3</v>
      </c>
      <c r="O15" s="6">
        <v>25</v>
      </c>
      <c r="P15" s="6">
        <v>0.2</v>
      </c>
      <c r="Q15" s="6">
        <v>1000</v>
      </c>
      <c r="R15" s="6">
        <v>5000</v>
      </c>
      <c r="S15" s="7">
        <f t="shared" si="0"/>
        <v>0.52</v>
      </c>
      <c r="T15" s="7">
        <f t="shared" si="1"/>
        <v>0.13500000000000001</v>
      </c>
      <c r="U15" s="7">
        <f t="shared" si="2"/>
        <v>2</v>
      </c>
      <c r="V15" s="7">
        <f t="shared" si="3"/>
        <v>1.1599999999999999</v>
      </c>
      <c r="W15" s="8">
        <f t="shared" si="4"/>
        <v>2.4</v>
      </c>
      <c r="X15" s="7">
        <f t="shared" si="5"/>
        <v>1100</v>
      </c>
      <c r="Y15" s="7"/>
      <c r="Z15" s="9">
        <f t="shared" si="7"/>
        <v>-0.41998328182600408</v>
      </c>
      <c r="AA15" s="9">
        <f t="shared" si="6"/>
        <v>0.13500000000000001</v>
      </c>
      <c r="AB15" s="9">
        <f t="shared" si="8"/>
        <v>2.5051499783199063</v>
      </c>
      <c r="AC15" s="9">
        <f t="shared" si="9"/>
        <v>1.3222899461345923</v>
      </c>
      <c r="AD15" s="9">
        <f t="shared" si="6"/>
        <v>2.4</v>
      </c>
      <c r="AE15" s="9">
        <f t="shared" si="6"/>
        <v>1100</v>
      </c>
      <c r="AF15" s="9">
        <f t="shared" si="6"/>
        <v>0</v>
      </c>
      <c r="AG15" s="18">
        <f t="shared" si="10"/>
        <v>157.9917795203755</v>
      </c>
      <c r="AH15" s="19">
        <f t="shared" si="11"/>
        <v>1100</v>
      </c>
      <c r="AI15" s="20">
        <f t="shared" si="12"/>
        <v>24961.402396014942</v>
      </c>
      <c r="AJ15" s="20">
        <f t="shared" si="12"/>
        <v>1210000</v>
      </c>
      <c r="AK15" s="21">
        <f t="shared" si="13"/>
        <v>785.79940264548907</v>
      </c>
      <c r="AL15" s="194" t="str">
        <f t="shared" si="14"/>
        <v>berat</v>
      </c>
      <c r="AM15" s="1">
        <v>1</v>
      </c>
    </row>
    <row r="16" spans="1:41" ht="16.5" x14ac:dyDescent="0.3">
      <c r="A16" s="36">
        <v>8</v>
      </c>
      <c r="B16" s="94" t="s">
        <v>25</v>
      </c>
      <c r="C16" s="213" t="s">
        <v>103</v>
      </c>
      <c r="D16" s="204">
        <v>43559</v>
      </c>
      <c r="E16" s="88">
        <v>21</v>
      </c>
      <c r="F16" s="199">
        <v>2.1</v>
      </c>
      <c r="G16" s="233">
        <v>24</v>
      </c>
      <c r="H16" s="233">
        <v>60</v>
      </c>
      <c r="I16" s="232">
        <v>0.93</v>
      </c>
      <c r="J16" s="220">
        <v>1100000</v>
      </c>
      <c r="K16" s="220">
        <v>1100000</v>
      </c>
      <c r="L16" s="6">
        <v>50</v>
      </c>
      <c r="M16" s="6">
        <v>4</v>
      </c>
      <c r="N16" s="6">
        <v>3</v>
      </c>
      <c r="O16" s="6">
        <v>25</v>
      </c>
      <c r="P16" s="6">
        <v>0.2</v>
      </c>
      <c r="Q16" s="6">
        <v>1000</v>
      </c>
      <c r="R16" s="6">
        <v>5000</v>
      </c>
      <c r="S16" s="7">
        <f t="shared" si="0"/>
        <v>0.42</v>
      </c>
      <c r="T16" s="7">
        <f t="shared" si="1"/>
        <v>0.40833333333333338</v>
      </c>
      <c r="U16" s="7">
        <f t="shared" si="2"/>
        <v>8</v>
      </c>
      <c r="V16" s="7">
        <f t="shared" si="3"/>
        <v>2.4</v>
      </c>
      <c r="W16" s="8">
        <f t="shared" si="4"/>
        <v>4.6500000000000004</v>
      </c>
      <c r="X16" s="7">
        <f t="shared" si="5"/>
        <v>1100</v>
      </c>
      <c r="Y16" s="7"/>
      <c r="Z16" s="9">
        <f t="shared" si="7"/>
        <v>-0.88375354801049788</v>
      </c>
      <c r="AA16" s="9">
        <f t="shared" si="6"/>
        <v>0.40833333333333338</v>
      </c>
      <c r="AB16" s="9">
        <f t="shared" si="8"/>
        <v>5.5154499349597179</v>
      </c>
      <c r="AC16" s="9">
        <f t="shared" si="9"/>
        <v>2.90105620855803</v>
      </c>
      <c r="AD16" s="9">
        <f t="shared" si="6"/>
        <v>4.6500000000000004</v>
      </c>
      <c r="AE16" s="9">
        <f t="shared" si="6"/>
        <v>1100</v>
      </c>
      <c r="AF16" s="9">
        <f t="shared" si="6"/>
        <v>0</v>
      </c>
      <c r="AG16" s="18">
        <f t="shared" si="10"/>
        <v>158.94158370412009</v>
      </c>
      <c r="AH16" s="19">
        <f t="shared" si="11"/>
        <v>1100</v>
      </c>
      <c r="AI16" s="20">
        <f t="shared" si="12"/>
        <v>25262.427030373812</v>
      </c>
      <c r="AJ16" s="20">
        <f t="shared" si="12"/>
        <v>1210000</v>
      </c>
      <c r="AK16" s="21">
        <f t="shared" si="13"/>
        <v>785.89516700078195</v>
      </c>
      <c r="AL16" s="194" t="str">
        <f t="shared" si="14"/>
        <v>berat</v>
      </c>
      <c r="AM16" s="1">
        <v>1</v>
      </c>
    </row>
    <row r="17" spans="1:41" ht="16.5" x14ac:dyDescent="0.3">
      <c r="A17" s="36">
        <v>9</v>
      </c>
      <c r="B17" s="94" t="s">
        <v>26</v>
      </c>
      <c r="C17" s="213" t="s">
        <v>104</v>
      </c>
      <c r="D17" s="204">
        <v>43560</v>
      </c>
      <c r="E17" s="88">
        <v>32</v>
      </c>
      <c r="F17" s="199">
        <v>2.27</v>
      </c>
      <c r="G17" s="233">
        <v>46</v>
      </c>
      <c r="H17" s="233">
        <v>122</v>
      </c>
      <c r="I17" s="232">
        <v>1.08</v>
      </c>
      <c r="J17" s="220">
        <v>1100000</v>
      </c>
      <c r="K17" s="220">
        <v>1100000</v>
      </c>
      <c r="L17" s="6">
        <v>50</v>
      </c>
      <c r="M17" s="6">
        <v>4</v>
      </c>
      <c r="N17" s="6">
        <v>3</v>
      </c>
      <c r="O17" s="6">
        <v>25</v>
      </c>
      <c r="P17" s="6">
        <v>0.2</v>
      </c>
      <c r="Q17" s="6">
        <v>1000</v>
      </c>
      <c r="R17" s="6">
        <v>5000</v>
      </c>
      <c r="S17" s="7">
        <f t="shared" si="0"/>
        <v>0.64</v>
      </c>
      <c r="T17" s="7">
        <f t="shared" si="1"/>
        <v>0.39416666666666672</v>
      </c>
      <c r="U17" s="7">
        <f t="shared" si="2"/>
        <v>15.333333333333334</v>
      </c>
      <c r="V17" s="7">
        <f t="shared" si="3"/>
        <v>4.88</v>
      </c>
      <c r="W17" s="8">
        <f t="shared" si="4"/>
        <v>5.4</v>
      </c>
      <c r="X17" s="7">
        <f t="shared" si="5"/>
        <v>1100</v>
      </c>
      <c r="Y17" s="7"/>
      <c r="Z17" s="9">
        <f t="shared" si="7"/>
        <v>3.0899869919435941E-2</v>
      </c>
      <c r="AA17" s="9">
        <f t="shared" si="6"/>
        <v>0.39416666666666672</v>
      </c>
      <c r="AB17" s="9">
        <f t="shared" si="8"/>
        <v>6.9281828848095586</v>
      </c>
      <c r="AC17" s="9">
        <f t="shared" si="9"/>
        <v>4.4420991100135527</v>
      </c>
      <c r="AD17" s="9">
        <f t="shared" si="6"/>
        <v>5.4</v>
      </c>
      <c r="AE17" s="9">
        <f t="shared" si="6"/>
        <v>1100</v>
      </c>
      <c r="AF17" s="9">
        <f t="shared" si="6"/>
        <v>0</v>
      </c>
      <c r="AG17" s="18">
        <f t="shared" si="10"/>
        <v>159.59933550448704</v>
      </c>
      <c r="AH17" s="19">
        <f t="shared" si="11"/>
        <v>1100</v>
      </c>
      <c r="AI17" s="20">
        <f t="shared" si="12"/>
        <v>25471.947893473818</v>
      </c>
      <c r="AJ17" s="20">
        <f t="shared" si="12"/>
        <v>1210000</v>
      </c>
      <c r="AK17" s="21">
        <f t="shared" si="13"/>
        <v>785.96181456018394</v>
      </c>
      <c r="AL17" s="194" t="str">
        <f t="shared" si="14"/>
        <v>berat</v>
      </c>
      <c r="AM17" s="1">
        <v>1</v>
      </c>
    </row>
    <row r="18" spans="1:41" ht="16.5" x14ac:dyDescent="0.3">
      <c r="A18" s="36">
        <v>10</v>
      </c>
      <c r="B18" s="94" t="s">
        <v>33</v>
      </c>
      <c r="C18" s="213" t="s">
        <v>105</v>
      </c>
      <c r="D18" s="204">
        <v>43559</v>
      </c>
      <c r="E18" s="233">
        <v>82</v>
      </c>
      <c r="F18" s="232">
        <v>4.87</v>
      </c>
      <c r="G18" s="233">
        <v>19</v>
      </c>
      <c r="H18" s="233">
        <v>39</v>
      </c>
      <c r="I18" s="232">
        <v>0.51</v>
      </c>
      <c r="J18" s="220">
        <v>1100000</v>
      </c>
      <c r="K18" s="220">
        <v>1100000</v>
      </c>
      <c r="L18" s="6">
        <v>50</v>
      </c>
      <c r="M18" s="6">
        <v>4</v>
      </c>
      <c r="N18" s="6">
        <v>3</v>
      </c>
      <c r="O18" s="6">
        <v>25</v>
      </c>
      <c r="P18" s="6">
        <v>0.2</v>
      </c>
      <c r="Q18" s="6">
        <v>1000</v>
      </c>
      <c r="R18" s="6">
        <v>5000</v>
      </c>
      <c r="S18" s="7">
        <f t="shared" si="0"/>
        <v>1.64</v>
      </c>
      <c r="T18" s="7">
        <f t="shared" si="1"/>
        <v>0.17749999999999999</v>
      </c>
      <c r="U18" s="7">
        <f t="shared" si="2"/>
        <v>6.333333333333333</v>
      </c>
      <c r="V18" s="7">
        <f t="shared" si="3"/>
        <v>1.56</v>
      </c>
      <c r="W18" s="8">
        <f t="shared" si="4"/>
        <v>2.5499999999999998</v>
      </c>
      <c r="X18" s="7">
        <f t="shared" si="5"/>
        <v>1100</v>
      </c>
      <c r="Y18" s="7"/>
      <c r="Z18" s="9">
        <f t="shared" si="7"/>
        <v>2.0742192402384894</v>
      </c>
      <c r="AA18" s="9">
        <f t="shared" si="6"/>
        <v>0.17749999999999999</v>
      </c>
      <c r="AB18" s="9">
        <f t="shared" si="8"/>
        <v>5.0081617311658322</v>
      </c>
      <c r="AC18" s="9">
        <f t="shared" si="9"/>
        <v>1.965622991772308</v>
      </c>
      <c r="AD18" s="9">
        <f t="shared" si="6"/>
        <v>2.5499999999999998</v>
      </c>
      <c r="AE18" s="9">
        <f t="shared" si="6"/>
        <v>1100</v>
      </c>
      <c r="AF18" s="9">
        <f t="shared" si="6"/>
        <v>0</v>
      </c>
      <c r="AG18" s="18">
        <f t="shared" si="10"/>
        <v>158.82507199473952</v>
      </c>
      <c r="AH18" s="19">
        <f t="shared" si="11"/>
        <v>1100</v>
      </c>
      <c r="AI18" s="20">
        <f t="shared" si="12"/>
        <v>25225.403494134192</v>
      </c>
      <c r="AJ18" s="20">
        <f t="shared" si="12"/>
        <v>1210000</v>
      </c>
      <c r="AK18" s="21">
        <f t="shared" si="13"/>
        <v>785.88338940778419</v>
      </c>
      <c r="AL18" s="194" t="str">
        <f t="shared" si="14"/>
        <v>berat</v>
      </c>
      <c r="AM18" s="1">
        <v>1</v>
      </c>
    </row>
    <row r="19" spans="1:41" ht="16.5" x14ac:dyDescent="0.3">
      <c r="A19" s="36">
        <v>11</v>
      </c>
      <c r="B19" s="94" t="s">
        <v>34</v>
      </c>
      <c r="C19" s="213" t="s">
        <v>106</v>
      </c>
      <c r="D19" s="204">
        <v>43559</v>
      </c>
      <c r="E19" s="88">
        <v>20</v>
      </c>
      <c r="F19" s="199">
        <v>2.67</v>
      </c>
      <c r="G19" s="233">
        <v>57</v>
      </c>
      <c r="H19" s="233">
        <v>104</v>
      </c>
      <c r="I19" s="232">
        <v>0.39</v>
      </c>
      <c r="J19" s="220">
        <v>1100000</v>
      </c>
      <c r="K19" s="220">
        <v>1100000</v>
      </c>
      <c r="L19" s="6">
        <v>50</v>
      </c>
      <c r="M19" s="6">
        <v>4</v>
      </c>
      <c r="N19" s="6">
        <v>3</v>
      </c>
      <c r="O19" s="6">
        <v>25</v>
      </c>
      <c r="P19" s="6">
        <v>0.2</v>
      </c>
      <c r="Q19" s="6">
        <v>1000</v>
      </c>
      <c r="R19" s="6">
        <v>5000</v>
      </c>
      <c r="S19" s="7">
        <f t="shared" si="0"/>
        <v>0.4</v>
      </c>
      <c r="T19" s="7">
        <f t="shared" si="1"/>
        <v>0.36083333333333334</v>
      </c>
      <c r="U19" s="7">
        <f t="shared" si="2"/>
        <v>19</v>
      </c>
      <c r="V19" s="7">
        <f t="shared" si="3"/>
        <v>4.16</v>
      </c>
      <c r="W19" s="8">
        <f t="shared" si="4"/>
        <v>1.95</v>
      </c>
      <c r="X19" s="7">
        <f t="shared" si="5"/>
        <v>1100</v>
      </c>
      <c r="Y19" s="7"/>
      <c r="Z19" s="9">
        <f t="shared" si="7"/>
        <v>-0.98970004336018791</v>
      </c>
      <c r="AA19" s="9">
        <f t="shared" si="6"/>
        <v>0.36083333333333334</v>
      </c>
      <c r="AB19" s="9">
        <f t="shared" si="8"/>
        <v>7.3937680047641443</v>
      </c>
      <c r="AC19" s="9">
        <f t="shared" si="9"/>
        <v>4.0954666531337143</v>
      </c>
      <c r="AD19" s="9">
        <f t="shared" si="6"/>
        <v>1.95</v>
      </c>
      <c r="AE19" s="9">
        <f t="shared" si="6"/>
        <v>1100</v>
      </c>
      <c r="AF19" s="9">
        <f t="shared" si="6"/>
        <v>0</v>
      </c>
      <c r="AG19" s="18">
        <f t="shared" si="10"/>
        <v>158.97290970683872</v>
      </c>
      <c r="AH19" s="19">
        <f t="shared" si="11"/>
        <v>1100</v>
      </c>
      <c r="AI19" s="20">
        <f t="shared" si="12"/>
        <v>25272.386020658698</v>
      </c>
      <c r="AJ19" s="20">
        <f t="shared" si="12"/>
        <v>1210000</v>
      </c>
      <c r="AK19" s="21">
        <f t="shared" si="13"/>
        <v>785.89833503471004</v>
      </c>
      <c r="AL19" s="194" t="str">
        <f t="shared" si="14"/>
        <v>berat</v>
      </c>
      <c r="AM19" s="1">
        <v>1</v>
      </c>
    </row>
    <row r="20" spans="1:41" ht="16.5" x14ac:dyDescent="0.3">
      <c r="A20" s="36">
        <v>12</v>
      </c>
      <c r="B20" s="94" t="s">
        <v>54</v>
      </c>
      <c r="C20" s="213" t="s">
        <v>107</v>
      </c>
      <c r="D20" s="204">
        <v>43557</v>
      </c>
      <c r="E20" s="88">
        <v>35</v>
      </c>
      <c r="F20" s="199">
        <v>1</v>
      </c>
      <c r="G20" s="233">
        <v>129</v>
      </c>
      <c r="H20" s="233">
        <v>228</v>
      </c>
      <c r="I20" s="232">
        <v>3.65</v>
      </c>
      <c r="J20" s="220">
        <v>1100000</v>
      </c>
      <c r="K20" s="220">
        <v>1100000</v>
      </c>
      <c r="L20" s="6">
        <v>50</v>
      </c>
      <c r="M20" s="6">
        <v>4</v>
      </c>
      <c r="N20" s="6">
        <v>3</v>
      </c>
      <c r="O20" s="6">
        <v>25</v>
      </c>
      <c r="P20" s="6">
        <v>0.2</v>
      </c>
      <c r="Q20" s="6">
        <v>1000</v>
      </c>
      <c r="R20" s="6">
        <v>5000</v>
      </c>
      <c r="S20" s="7">
        <f t="shared" si="0"/>
        <v>0.7</v>
      </c>
      <c r="T20" s="7">
        <f t="shared" si="1"/>
        <v>0.5</v>
      </c>
      <c r="U20" s="7">
        <f t="shared" si="2"/>
        <v>43</v>
      </c>
      <c r="V20" s="7">
        <f t="shared" si="3"/>
        <v>9.1199999999999992</v>
      </c>
      <c r="W20" s="8">
        <f t="shared" si="4"/>
        <v>18.25</v>
      </c>
      <c r="X20" s="7">
        <f t="shared" si="5"/>
        <v>1100</v>
      </c>
      <c r="Y20" s="7"/>
      <c r="Z20" s="9">
        <f t="shared" si="7"/>
        <v>0.22549020007128406</v>
      </c>
      <c r="AA20" s="9">
        <f t="shared" si="6"/>
        <v>0.5</v>
      </c>
      <c r="AB20" s="9">
        <f t="shared" si="8"/>
        <v>9.1673422778979319</v>
      </c>
      <c r="AC20" s="9">
        <f t="shared" si="9"/>
        <v>5.7999741916420806</v>
      </c>
      <c r="AD20" s="9">
        <f t="shared" si="6"/>
        <v>18.25</v>
      </c>
      <c r="AE20" s="9">
        <f t="shared" si="6"/>
        <v>1100</v>
      </c>
      <c r="AF20" s="9">
        <f t="shared" si="6"/>
        <v>0</v>
      </c>
      <c r="AG20" s="18">
        <f t="shared" si="10"/>
        <v>161.99182952423021</v>
      </c>
      <c r="AH20" s="19">
        <f t="shared" si="11"/>
        <v>1100</v>
      </c>
      <c r="AI20" s="20">
        <f t="shared" si="12"/>
        <v>26241.352832607263</v>
      </c>
      <c r="AJ20" s="20">
        <f t="shared" si="12"/>
        <v>1210000</v>
      </c>
      <c r="AK20" s="21">
        <f t="shared" si="13"/>
        <v>786.20651003174964</v>
      </c>
      <c r="AL20" s="194" t="str">
        <f t="shared" si="14"/>
        <v>berat</v>
      </c>
      <c r="AM20" s="1">
        <v>1</v>
      </c>
    </row>
    <row r="21" spans="1:41" ht="16.5" x14ac:dyDescent="0.3">
      <c r="A21" s="36">
        <v>13</v>
      </c>
      <c r="B21" s="94" t="s">
        <v>27</v>
      </c>
      <c r="C21" s="213" t="s">
        <v>108</v>
      </c>
      <c r="D21" s="204">
        <v>43556</v>
      </c>
      <c r="E21" s="88">
        <v>15</v>
      </c>
      <c r="F21" s="232">
        <v>5.74</v>
      </c>
      <c r="G21" s="233">
        <v>7</v>
      </c>
      <c r="H21" s="233">
        <v>26</v>
      </c>
      <c r="I21" s="232">
        <v>0.48</v>
      </c>
      <c r="J21" s="220">
        <v>460000</v>
      </c>
      <c r="K21" s="220">
        <v>460000</v>
      </c>
      <c r="L21" s="6">
        <v>50</v>
      </c>
      <c r="M21" s="6">
        <v>4</v>
      </c>
      <c r="N21" s="6">
        <v>3</v>
      </c>
      <c r="O21" s="6">
        <v>25</v>
      </c>
      <c r="P21" s="6">
        <v>0.2</v>
      </c>
      <c r="Q21" s="6">
        <v>1000</v>
      </c>
      <c r="R21" s="6">
        <v>5000</v>
      </c>
      <c r="S21" s="7">
        <f t="shared" si="0"/>
        <v>0.3</v>
      </c>
      <c r="T21" s="7">
        <f t="shared" si="1"/>
        <v>0.10499999999999998</v>
      </c>
      <c r="U21" s="7">
        <f t="shared" si="2"/>
        <v>2.3333333333333335</v>
      </c>
      <c r="V21" s="7">
        <f t="shared" si="3"/>
        <v>1.04</v>
      </c>
      <c r="W21" s="8">
        <f t="shared" si="4"/>
        <v>2.4</v>
      </c>
      <c r="X21" s="7">
        <f t="shared" si="5"/>
        <v>460</v>
      </c>
      <c r="Y21" s="7"/>
      <c r="Z21" s="9">
        <f t="shared" si="7"/>
        <v>-1.6143937264016879</v>
      </c>
      <c r="AA21" s="9">
        <f t="shared" si="6"/>
        <v>0.10499999999999998</v>
      </c>
      <c r="AB21" s="9">
        <f t="shared" si="8"/>
        <v>2.8398839264729721</v>
      </c>
      <c r="AC21" s="9">
        <f t="shared" si="9"/>
        <v>1.0851666964939017</v>
      </c>
      <c r="AD21" s="9">
        <f t="shared" si="6"/>
        <v>2.4</v>
      </c>
      <c r="AE21" s="9">
        <f t="shared" si="6"/>
        <v>460</v>
      </c>
      <c r="AF21" s="9">
        <f t="shared" si="6"/>
        <v>0</v>
      </c>
      <c r="AG21" s="18">
        <f t="shared" si="10"/>
        <v>66.402236699509317</v>
      </c>
      <c r="AH21" s="19">
        <f t="shared" si="11"/>
        <v>460</v>
      </c>
      <c r="AI21" s="20">
        <f t="shared" si="12"/>
        <v>4409.2570386976622</v>
      </c>
      <c r="AJ21" s="20">
        <f t="shared" si="12"/>
        <v>211600</v>
      </c>
      <c r="AK21" s="21">
        <f t="shared" si="13"/>
        <v>328.64057649558254</v>
      </c>
      <c r="AL21" s="194" t="str">
        <f t="shared" si="14"/>
        <v>berat</v>
      </c>
      <c r="AM21" s="1">
        <v>1</v>
      </c>
    </row>
    <row r="22" spans="1:41" ht="16.5" x14ac:dyDescent="0.3">
      <c r="A22" s="36">
        <v>14</v>
      </c>
      <c r="B22" s="94" t="s">
        <v>28</v>
      </c>
      <c r="C22" s="213" t="s">
        <v>109</v>
      </c>
      <c r="D22" s="204">
        <v>43557</v>
      </c>
      <c r="E22" s="233">
        <v>72</v>
      </c>
      <c r="F22" s="199">
        <v>3.31</v>
      </c>
      <c r="G22" s="233">
        <v>50</v>
      </c>
      <c r="H22" s="233">
        <v>84</v>
      </c>
      <c r="I22" s="232">
        <v>0.44</v>
      </c>
      <c r="J22" s="220">
        <v>240000</v>
      </c>
      <c r="K22" s="220">
        <v>240000</v>
      </c>
      <c r="L22" s="6">
        <v>50</v>
      </c>
      <c r="M22" s="6">
        <v>4</v>
      </c>
      <c r="N22" s="6">
        <v>3</v>
      </c>
      <c r="O22" s="6">
        <v>25</v>
      </c>
      <c r="P22" s="6">
        <v>0.2</v>
      </c>
      <c r="Q22" s="6">
        <v>1000</v>
      </c>
      <c r="R22" s="6">
        <v>5000</v>
      </c>
      <c r="S22" s="7">
        <f t="shared" si="0"/>
        <v>1.44</v>
      </c>
      <c r="T22" s="7">
        <f t="shared" si="1"/>
        <v>0.3075</v>
      </c>
      <c r="U22" s="7">
        <f t="shared" si="2"/>
        <v>16.666666666666668</v>
      </c>
      <c r="V22" s="7">
        <f t="shared" si="3"/>
        <v>3.36</v>
      </c>
      <c r="W22" s="8">
        <f t="shared" si="4"/>
        <v>2.1999999999999997</v>
      </c>
      <c r="X22" s="7">
        <f t="shared" si="5"/>
        <v>240</v>
      </c>
      <c r="Y22" s="7"/>
      <c r="Z22" s="9">
        <f t="shared" si="7"/>
        <v>1.7918124604762482</v>
      </c>
      <c r="AA22" s="9">
        <f t="shared" si="6"/>
        <v>0.3075</v>
      </c>
      <c r="AB22" s="9">
        <f t="shared" si="6"/>
        <v>16.666666666666668</v>
      </c>
      <c r="AC22" s="9">
        <f>1+(5*(LOG10(H22/O22)))</f>
        <v>3.63169638694922</v>
      </c>
      <c r="AD22" s="9">
        <f t="shared" si="6"/>
        <v>2.1999999999999997</v>
      </c>
      <c r="AE22" s="9">
        <f t="shared" si="6"/>
        <v>240</v>
      </c>
      <c r="AF22" s="9">
        <f t="shared" si="6"/>
        <v>0</v>
      </c>
      <c r="AG22" s="18">
        <f t="shared" si="10"/>
        <v>37.79966793058459</v>
      </c>
      <c r="AH22" s="19">
        <f t="shared" si="11"/>
        <v>240</v>
      </c>
      <c r="AI22" s="20">
        <f t="shared" si="12"/>
        <v>1428.814895662465</v>
      </c>
      <c r="AJ22" s="20">
        <f t="shared" si="12"/>
        <v>57600</v>
      </c>
      <c r="AK22" s="21">
        <f t="shared" si="13"/>
        <v>171.79757695564635</v>
      </c>
      <c r="AL22" s="194" t="str">
        <f t="shared" si="14"/>
        <v>berat</v>
      </c>
      <c r="AM22" s="1">
        <v>1</v>
      </c>
    </row>
    <row r="23" spans="1:41" ht="16.5" x14ac:dyDescent="0.3">
      <c r="A23" s="36">
        <v>15</v>
      </c>
      <c r="B23" s="94" t="s">
        <v>29</v>
      </c>
      <c r="C23" s="213" t="s">
        <v>110</v>
      </c>
      <c r="D23" s="204">
        <v>43557</v>
      </c>
      <c r="E23" s="88">
        <v>38</v>
      </c>
      <c r="F23" s="199">
        <v>3.3</v>
      </c>
      <c r="G23" s="88">
        <v>24</v>
      </c>
      <c r="H23" s="233">
        <v>50</v>
      </c>
      <c r="I23" s="232">
        <v>0.82</v>
      </c>
      <c r="J23" s="220">
        <v>460000</v>
      </c>
      <c r="K23" s="220">
        <v>460000</v>
      </c>
      <c r="L23" s="6">
        <v>50</v>
      </c>
      <c r="M23" s="6">
        <v>4</v>
      </c>
      <c r="N23" s="6">
        <v>3</v>
      </c>
      <c r="O23" s="6">
        <v>25</v>
      </c>
      <c r="P23" s="6">
        <v>0.2</v>
      </c>
      <c r="Q23" s="6">
        <v>1000</v>
      </c>
      <c r="R23" s="6">
        <v>5000</v>
      </c>
      <c r="S23" s="7">
        <f t="shared" si="0"/>
        <v>0.76</v>
      </c>
      <c r="T23" s="7">
        <f t="shared" si="1"/>
        <v>0.30833333333333335</v>
      </c>
      <c r="U23" s="7">
        <f t="shared" si="2"/>
        <v>8</v>
      </c>
      <c r="V23" s="7">
        <f t="shared" si="3"/>
        <v>2</v>
      </c>
      <c r="W23" s="8">
        <f t="shared" si="4"/>
        <v>4.0999999999999996</v>
      </c>
      <c r="X23" s="7">
        <f t="shared" si="5"/>
        <v>460</v>
      </c>
      <c r="Y23" s="7"/>
      <c r="Z23" s="9">
        <f t="shared" si="7"/>
        <v>0.40406796140395673</v>
      </c>
      <c r="AA23" s="9">
        <f t="shared" si="6"/>
        <v>0.30833333333333335</v>
      </c>
      <c r="AB23" s="9">
        <f>1+(5*(LOG10(G23/N23)))</f>
        <v>5.5154499349597179</v>
      </c>
      <c r="AC23" s="9">
        <f>1+(5*(LOG10(H23/O23)))</f>
        <v>2.5051499783199063</v>
      </c>
      <c r="AD23" s="9">
        <f t="shared" si="6"/>
        <v>4.0999999999999996</v>
      </c>
      <c r="AE23" s="9">
        <f t="shared" si="6"/>
        <v>460</v>
      </c>
      <c r="AF23" s="9">
        <f t="shared" si="6"/>
        <v>0</v>
      </c>
      <c r="AG23" s="18">
        <f t="shared" si="10"/>
        <v>67.547571601145279</v>
      </c>
      <c r="AH23" s="19">
        <f t="shared" si="11"/>
        <v>460</v>
      </c>
      <c r="AI23" s="20">
        <f t="shared" si="12"/>
        <v>4562.6744292118483</v>
      </c>
      <c r="AJ23" s="20">
        <f t="shared" si="12"/>
        <v>211600</v>
      </c>
      <c r="AK23" s="21">
        <f t="shared" si="13"/>
        <v>328.75726184315067</v>
      </c>
      <c r="AL23" s="194" t="str">
        <f>IF(ISNUMBER(AK23),IF(AK23&lt;=1,"memenuhi",IF(AK23&lt;=5,"ringan",IF(AK23&lt;=10,"sedang","berat"))),"")</f>
        <v>berat</v>
      </c>
      <c r="AM23" s="1">
        <v>1</v>
      </c>
    </row>
    <row r="24" spans="1:41" s="210" customFormat="1" ht="16.5" x14ac:dyDescent="0.3">
      <c r="A24" s="219" t="s">
        <v>184</v>
      </c>
      <c r="B24" s="217"/>
      <c r="C24" s="213"/>
      <c r="D24" s="204"/>
      <c r="E24" s="199"/>
      <c r="F24" s="199"/>
      <c r="G24" s="199"/>
      <c r="H24" s="199"/>
      <c r="I24" s="199"/>
      <c r="J24" s="201"/>
      <c r="K24" s="201"/>
      <c r="L24" s="17"/>
      <c r="M24" s="17"/>
      <c r="N24" s="17"/>
      <c r="O24" s="17"/>
      <c r="P24" s="17"/>
      <c r="Q24" s="17"/>
      <c r="R24" s="17"/>
      <c r="S24" s="24"/>
      <c r="T24" s="24"/>
      <c r="U24" s="24"/>
      <c r="V24" s="24"/>
      <c r="W24" s="205"/>
      <c r="X24" s="24"/>
      <c r="Y24" s="24"/>
      <c r="Z24" s="24"/>
      <c r="AA24" s="24"/>
      <c r="AB24" s="24"/>
      <c r="AC24" s="24"/>
      <c r="AD24" s="24"/>
      <c r="AE24" s="24"/>
      <c r="AF24" s="24"/>
      <c r="AG24" s="206"/>
      <c r="AH24" s="207"/>
      <c r="AI24" s="208"/>
      <c r="AJ24" s="208"/>
      <c r="AK24" s="209"/>
      <c r="AL24" s="194"/>
    </row>
    <row r="25" spans="1:41" ht="16.5" x14ac:dyDescent="0.3">
      <c r="A25" s="13">
        <v>16</v>
      </c>
      <c r="B25" s="63" t="s">
        <v>21</v>
      </c>
      <c r="C25" s="192" t="s">
        <v>94</v>
      </c>
      <c r="D25" s="204">
        <v>43656</v>
      </c>
      <c r="E25" s="233">
        <v>76</v>
      </c>
      <c r="F25" s="232">
        <v>7.36</v>
      </c>
      <c r="G25" s="233">
        <v>5</v>
      </c>
      <c r="H25" s="88">
        <v>16</v>
      </c>
      <c r="I25" s="199">
        <v>0.16</v>
      </c>
      <c r="J25" s="88">
        <v>310</v>
      </c>
      <c r="K25" s="220">
        <v>341000</v>
      </c>
      <c r="L25" s="6">
        <v>50</v>
      </c>
      <c r="M25" s="6">
        <v>4</v>
      </c>
      <c r="N25" s="6">
        <v>3</v>
      </c>
      <c r="O25" s="6">
        <v>25</v>
      </c>
      <c r="P25" s="6">
        <v>0.2</v>
      </c>
      <c r="Q25" s="6">
        <v>1000</v>
      </c>
      <c r="R25" s="6">
        <v>5000</v>
      </c>
      <c r="S25" s="7">
        <f t="shared" ref="S25:S39" si="15">E25/L25</f>
        <v>1.52</v>
      </c>
      <c r="T25" s="7">
        <f t="shared" ref="T25:T39" si="16">((7-F25)/(7-M25))/M25</f>
        <v>-3.0000000000000027E-2</v>
      </c>
      <c r="U25" s="7">
        <f t="shared" ref="U25:U39" si="17">G25/N25</f>
        <v>1.6666666666666667</v>
      </c>
      <c r="V25" s="7">
        <f t="shared" ref="V25:V39" si="18">H25/O25</f>
        <v>0.64</v>
      </c>
      <c r="W25" s="8">
        <f t="shared" ref="W25:W39" si="19">I25/P25</f>
        <v>0.79999999999999993</v>
      </c>
      <c r="X25" s="7">
        <f t="shared" ref="X25:X39" si="20">J25/Q25</f>
        <v>0.31</v>
      </c>
      <c r="Y25" s="7"/>
      <c r="Z25" s="9">
        <f>1+(5*(LOG10(E25/L25)))</f>
        <v>1.9092179397238627</v>
      </c>
      <c r="AA25" s="9">
        <f>1+(5*(LOG10(F25/M25)))</f>
        <v>2.3240891150476823</v>
      </c>
      <c r="AB25" s="9">
        <f t="shared" ref="AB25" si="21">U25</f>
        <v>1.6666666666666667</v>
      </c>
      <c r="AC25" s="9">
        <f t="shared" ref="AC25" si="22">V25</f>
        <v>0.64</v>
      </c>
      <c r="AD25" s="9">
        <f t="shared" ref="AD25:AD39" si="23">W25</f>
        <v>0.79999999999999993</v>
      </c>
      <c r="AE25" s="9">
        <f t="shared" ref="AE25:AE39" si="24">X25</f>
        <v>0.31</v>
      </c>
      <c r="AF25" s="9">
        <f t="shared" ref="AF25:AF39" si="25">Y25</f>
        <v>0</v>
      </c>
      <c r="AG25" s="18">
        <f t="shared" ref="AG25:AG39" si="26">AVERAGE(Z25:AF25)</f>
        <v>1.0928533887768874</v>
      </c>
      <c r="AH25" s="19">
        <f t="shared" ref="AH25:AH39" si="27">MAX(Z25:AG25)</f>
        <v>2.3240891150476823</v>
      </c>
      <c r="AI25" s="20">
        <f t="shared" ref="AI25:AI39" si="28">POWER(AG25,2)</f>
        <v>1.1943285293611265</v>
      </c>
      <c r="AJ25" s="20">
        <f t="shared" ref="AJ25:AJ39" si="29">POWER(AH25,2)</f>
        <v>5.4013902146831194</v>
      </c>
      <c r="AK25" s="21">
        <f t="shared" ref="AK25:AK39" si="30">SQRT((AI25+AJ25)/2)</f>
        <v>1.8160009284199508</v>
      </c>
      <c r="AL25" s="194" t="str">
        <f t="shared" ref="AL25:AL39" si="31">IF(ISNUMBER(AK25),IF(AK25&lt;=1,"memenuhi",IF(AK25&lt;=5,"ringan",IF(AK25&lt;=10,"sedang","berat"))),"")</f>
        <v>ringan</v>
      </c>
      <c r="AO25" s="1">
        <v>1</v>
      </c>
    </row>
    <row r="26" spans="1:41" ht="16.5" x14ac:dyDescent="0.3">
      <c r="A26" s="13">
        <v>17</v>
      </c>
      <c r="B26" s="63" t="s">
        <v>61</v>
      </c>
      <c r="C26" s="192" t="s">
        <v>112</v>
      </c>
      <c r="D26" s="204">
        <v>43656</v>
      </c>
      <c r="E26" s="233">
        <v>317</v>
      </c>
      <c r="F26" s="199">
        <v>1.34</v>
      </c>
      <c r="G26" s="233">
        <v>25</v>
      </c>
      <c r="H26" s="233">
        <v>129</v>
      </c>
      <c r="I26" s="199">
        <v>0.2</v>
      </c>
      <c r="J26" s="220">
        <v>1480000</v>
      </c>
      <c r="K26" s="220">
        <v>7120000</v>
      </c>
      <c r="L26" s="6">
        <v>50</v>
      </c>
      <c r="M26" s="6">
        <v>4</v>
      </c>
      <c r="N26" s="6">
        <v>3</v>
      </c>
      <c r="O26" s="6">
        <v>25</v>
      </c>
      <c r="P26" s="6">
        <v>0.2</v>
      </c>
      <c r="Q26" s="6">
        <v>1000</v>
      </c>
      <c r="R26" s="6">
        <v>5000</v>
      </c>
      <c r="S26" s="7">
        <f t="shared" si="15"/>
        <v>6.34</v>
      </c>
      <c r="T26" s="7">
        <f t="shared" si="16"/>
        <v>0.47166666666666668</v>
      </c>
      <c r="U26" s="7">
        <f t="shared" si="17"/>
        <v>8.3333333333333339</v>
      </c>
      <c r="V26" s="7">
        <f t="shared" si="18"/>
        <v>5.16</v>
      </c>
      <c r="W26" s="8">
        <f t="shared" si="19"/>
        <v>1</v>
      </c>
      <c r="X26" s="7">
        <f t="shared" si="20"/>
        <v>1480</v>
      </c>
      <c r="Y26" s="7"/>
      <c r="Z26" s="9">
        <f t="shared" ref="Z26:Z39" si="32">1+(5*(LOG10(E26/L26)))</f>
        <v>5.0104462894086632</v>
      </c>
      <c r="AA26" s="9">
        <f t="shared" ref="AA26:AA39" si="33">T26</f>
        <v>0.47166666666666668</v>
      </c>
      <c r="AB26" s="9">
        <f t="shared" ref="AB26:AB39" si="34">1+(5*(LOG10(G26/N26)))</f>
        <v>5.6040937697618762</v>
      </c>
      <c r="AC26" s="9">
        <f t="shared" ref="AC26:AC39" si="35">1+(5*(LOG10(H26/O26)))</f>
        <v>4.5632485081360574</v>
      </c>
      <c r="AD26" s="9">
        <f t="shared" si="23"/>
        <v>1</v>
      </c>
      <c r="AE26" s="9">
        <f t="shared" si="24"/>
        <v>1480</v>
      </c>
      <c r="AF26" s="9">
        <f t="shared" si="25"/>
        <v>0</v>
      </c>
      <c r="AG26" s="18">
        <f t="shared" si="26"/>
        <v>213.80706503342475</v>
      </c>
      <c r="AH26" s="19">
        <f t="shared" si="27"/>
        <v>1480</v>
      </c>
      <c r="AI26" s="20">
        <f t="shared" si="28"/>
        <v>45713.461058207118</v>
      </c>
      <c r="AJ26" s="20">
        <f t="shared" si="29"/>
        <v>2190400</v>
      </c>
      <c r="AK26" s="21">
        <f t="shared" si="30"/>
        <v>1057.3820173093088</v>
      </c>
      <c r="AL26" s="194" t="str">
        <f t="shared" si="31"/>
        <v>berat</v>
      </c>
      <c r="AM26" s="1">
        <v>1</v>
      </c>
    </row>
    <row r="27" spans="1:41" ht="16.5" x14ac:dyDescent="0.3">
      <c r="A27" s="13">
        <v>18</v>
      </c>
      <c r="B27" s="63" t="s">
        <v>60</v>
      </c>
      <c r="C27" s="196" t="s">
        <v>97</v>
      </c>
      <c r="D27" s="204">
        <v>43655</v>
      </c>
      <c r="E27" s="234">
        <v>40</v>
      </c>
      <c r="F27" s="25">
        <v>1</v>
      </c>
      <c r="G27" s="16">
        <v>30</v>
      </c>
      <c r="H27" s="236">
        <v>105</v>
      </c>
      <c r="I27" s="222">
        <v>0.38</v>
      </c>
      <c r="J27" s="220">
        <v>9880000</v>
      </c>
      <c r="K27" s="220">
        <v>21430000</v>
      </c>
      <c r="L27" s="6">
        <v>50</v>
      </c>
      <c r="M27" s="6">
        <v>4</v>
      </c>
      <c r="N27" s="6">
        <v>3</v>
      </c>
      <c r="O27" s="6">
        <v>25</v>
      </c>
      <c r="P27" s="6">
        <v>0.2</v>
      </c>
      <c r="Q27" s="6">
        <v>1000</v>
      </c>
      <c r="R27" s="6">
        <v>5000</v>
      </c>
      <c r="S27" s="7">
        <f t="shared" si="15"/>
        <v>0.8</v>
      </c>
      <c r="T27" s="7">
        <f t="shared" si="16"/>
        <v>0.5</v>
      </c>
      <c r="U27" s="7">
        <f t="shared" si="17"/>
        <v>10</v>
      </c>
      <c r="V27" s="7">
        <f t="shared" si="18"/>
        <v>4.2</v>
      </c>
      <c r="W27" s="8">
        <f t="shared" si="19"/>
        <v>1.9</v>
      </c>
      <c r="X27" s="7">
        <f t="shared" si="20"/>
        <v>9880</v>
      </c>
      <c r="Y27" s="7"/>
      <c r="Z27" s="9">
        <f t="shared" si="32"/>
        <v>0.51544993495971803</v>
      </c>
      <c r="AA27" s="9">
        <f t="shared" si="33"/>
        <v>0.5</v>
      </c>
      <c r="AB27" s="9">
        <f t="shared" si="34"/>
        <v>6</v>
      </c>
      <c r="AC27" s="9">
        <f t="shared" si="35"/>
        <v>4.1162464519895021</v>
      </c>
      <c r="AD27" s="9">
        <f t="shared" si="23"/>
        <v>1.9</v>
      </c>
      <c r="AE27" s="9">
        <f t="shared" si="24"/>
        <v>9880</v>
      </c>
      <c r="AF27" s="9">
        <f t="shared" si="25"/>
        <v>0</v>
      </c>
      <c r="AG27" s="226">
        <f t="shared" si="26"/>
        <v>1413.2902423409928</v>
      </c>
      <c r="AH27" s="227">
        <f t="shared" si="27"/>
        <v>9880</v>
      </c>
      <c r="AI27" s="228">
        <f t="shared" si="28"/>
        <v>1997389.3090962621</v>
      </c>
      <c r="AJ27" s="228">
        <f t="shared" si="29"/>
        <v>97614400</v>
      </c>
      <c r="AK27" s="229">
        <f t="shared" si="30"/>
        <v>7057.3291445523591</v>
      </c>
      <c r="AL27" s="194" t="str">
        <f t="shared" si="31"/>
        <v>berat</v>
      </c>
      <c r="AM27" s="1">
        <v>1</v>
      </c>
    </row>
    <row r="28" spans="1:41" ht="16.5" x14ac:dyDescent="0.3">
      <c r="A28" s="13">
        <v>19</v>
      </c>
      <c r="B28" s="63" t="s">
        <v>30</v>
      </c>
      <c r="C28" s="196" t="s">
        <v>99</v>
      </c>
      <c r="D28" s="204">
        <v>43656</v>
      </c>
      <c r="E28" s="234">
        <v>31</v>
      </c>
      <c r="F28" s="25">
        <v>2.17</v>
      </c>
      <c r="G28" s="236">
        <v>24</v>
      </c>
      <c r="H28" s="236">
        <v>90</v>
      </c>
      <c r="I28" s="222">
        <v>0.4</v>
      </c>
      <c r="J28" s="220">
        <v>6488000</v>
      </c>
      <c r="K28" s="220">
        <v>24196000</v>
      </c>
      <c r="L28" s="6">
        <v>50</v>
      </c>
      <c r="M28" s="6">
        <v>4</v>
      </c>
      <c r="N28" s="6">
        <v>3</v>
      </c>
      <c r="O28" s="6">
        <v>25</v>
      </c>
      <c r="P28" s="6">
        <v>0.2</v>
      </c>
      <c r="Q28" s="6">
        <v>1000</v>
      </c>
      <c r="R28" s="6">
        <v>5000</v>
      </c>
      <c r="S28" s="7">
        <f t="shared" si="15"/>
        <v>0.62</v>
      </c>
      <c r="T28" s="7">
        <f t="shared" si="16"/>
        <v>0.40250000000000002</v>
      </c>
      <c r="U28" s="7">
        <f t="shared" si="17"/>
        <v>8</v>
      </c>
      <c r="V28" s="7">
        <f t="shared" si="18"/>
        <v>3.6</v>
      </c>
      <c r="W28" s="8">
        <f t="shared" si="19"/>
        <v>2</v>
      </c>
      <c r="X28" s="7">
        <f t="shared" si="20"/>
        <v>6488</v>
      </c>
      <c r="Y28" s="7"/>
      <c r="Z28" s="9">
        <f t="shared" si="32"/>
        <v>-3.8041552508730758E-2</v>
      </c>
      <c r="AA28" s="9">
        <f t="shared" si="33"/>
        <v>0.40250000000000002</v>
      </c>
      <c r="AB28" s="9">
        <f t="shared" si="34"/>
        <v>5.5154499349597179</v>
      </c>
      <c r="AC28" s="9">
        <f t="shared" si="35"/>
        <v>3.7815125038364363</v>
      </c>
      <c r="AD28" s="9">
        <f t="shared" si="23"/>
        <v>2</v>
      </c>
      <c r="AE28" s="9">
        <f t="shared" si="24"/>
        <v>6488</v>
      </c>
      <c r="AF28" s="9">
        <f t="shared" si="25"/>
        <v>0</v>
      </c>
      <c r="AG28" s="226">
        <f t="shared" si="26"/>
        <v>928.52306012661245</v>
      </c>
      <c r="AH28" s="227">
        <f t="shared" si="27"/>
        <v>6488</v>
      </c>
      <c r="AI28" s="228">
        <f t="shared" si="28"/>
        <v>862155.07318688871</v>
      </c>
      <c r="AJ28" s="228">
        <f t="shared" si="29"/>
        <v>42094144</v>
      </c>
      <c r="AK28" s="229">
        <f t="shared" si="30"/>
        <v>4634.4524527276626</v>
      </c>
      <c r="AL28" s="194" t="str">
        <f t="shared" si="31"/>
        <v>berat</v>
      </c>
      <c r="AM28" s="1">
        <v>1</v>
      </c>
    </row>
    <row r="29" spans="1:41" ht="16.5" x14ac:dyDescent="0.3">
      <c r="A29" s="13">
        <v>20</v>
      </c>
      <c r="B29" s="63" t="s">
        <v>31</v>
      </c>
      <c r="C29" s="196" t="s">
        <v>100</v>
      </c>
      <c r="D29" s="204">
        <v>43656</v>
      </c>
      <c r="E29" s="235">
        <v>84</v>
      </c>
      <c r="F29" s="25">
        <v>1</v>
      </c>
      <c r="G29" s="236">
        <v>34</v>
      </c>
      <c r="H29" s="236">
        <v>150</v>
      </c>
      <c r="I29" s="222">
        <v>0.79</v>
      </c>
      <c r="J29" s="220">
        <v>13140000</v>
      </c>
      <c r="K29" s="220">
        <v>23590000</v>
      </c>
      <c r="L29" s="6">
        <v>50</v>
      </c>
      <c r="M29" s="6">
        <v>4</v>
      </c>
      <c r="N29" s="6">
        <v>3</v>
      </c>
      <c r="O29" s="6">
        <v>25</v>
      </c>
      <c r="P29" s="6">
        <v>0.2</v>
      </c>
      <c r="Q29" s="6">
        <v>1000</v>
      </c>
      <c r="R29" s="6">
        <v>5000</v>
      </c>
      <c r="S29" s="7">
        <f t="shared" si="15"/>
        <v>1.68</v>
      </c>
      <c r="T29" s="7">
        <f t="shared" si="16"/>
        <v>0.5</v>
      </c>
      <c r="U29" s="7">
        <f t="shared" si="17"/>
        <v>11.333333333333334</v>
      </c>
      <c r="V29" s="7">
        <f t="shared" si="18"/>
        <v>6</v>
      </c>
      <c r="W29" s="8">
        <f t="shared" si="19"/>
        <v>3.95</v>
      </c>
      <c r="X29" s="7">
        <f t="shared" si="20"/>
        <v>13140</v>
      </c>
      <c r="Y29" s="7"/>
      <c r="Z29" s="9">
        <f t="shared" si="32"/>
        <v>2.1265464086293142</v>
      </c>
      <c r="AA29" s="9">
        <f t="shared" si="33"/>
        <v>0.5</v>
      </c>
      <c r="AB29" s="9">
        <f t="shared" si="34"/>
        <v>6.2717883116129638</v>
      </c>
      <c r="AC29" s="9">
        <f t="shared" si="35"/>
        <v>4.8907562519182184</v>
      </c>
      <c r="AD29" s="9">
        <f t="shared" si="23"/>
        <v>3.95</v>
      </c>
      <c r="AE29" s="9">
        <f t="shared" si="24"/>
        <v>13140</v>
      </c>
      <c r="AF29" s="9">
        <f t="shared" si="25"/>
        <v>0</v>
      </c>
      <c r="AG29" s="226">
        <f t="shared" si="26"/>
        <v>1879.6770129960228</v>
      </c>
      <c r="AH29" s="227">
        <f t="shared" si="27"/>
        <v>13140</v>
      </c>
      <c r="AI29" s="228">
        <f t="shared" si="28"/>
        <v>3533185.6731856503</v>
      </c>
      <c r="AJ29" s="228">
        <f t="shared" si="29"/>
        <v>172659600</v>
      </c>
      <c r="AK29" s="229">
        <f t="shared" si="30"/>
        <v>9385.9678689303437</v>
      </c>
      <c r="AL29" s="194" t="str">
        <f t="shared" si="31"/>
        <v>berat</v>
      </c>
      <c r="AM29" s="1">
        <v>1</v>
      </c>
    </row>
    <row r="30" spans="1:41" ht="16.5" x14ac:dyDescent="0.3">
      <c r="A30" s="13">
        <v>21</v>
      </c>
      <c r="B30" s="63" t="s">
        <v>32</v>
      </c>
      <c r="C30" s="196" t="s">
        <v>101</v>
      </c>
      <c r="D30" s="204">
        <v>43654</v>
      </c>
      <c r="E30" s="234">
        <v>29</v>
      </c>
      <c r="F30" s="25">
        <v>1</v>
      </c>
      <c r="G30" s="236">
        <v>21</v>
      </c>
      <c r="H30" s="236">
        <v>85</v>
      </c>
      <c r="I30" s="222">
        <v>1.05</v>
      </c>
      <c r="J30" s="220">
        <v>15000000</v>
      </c>
      <c r="K30" s="220">
        <v>17329000</v>
      </c>
      <c r="L30" s="6">
        <v>50</v>
      </c>
      <c r="M30" s="6">
        <v>4</v>
      </c>
      <c r="N30" s="6">
        <v>3</v>
      </c>
      <c r="O30" s="6">
        <v>25</v>
      </c>
      <c r="P30" s="6">
        <v>0.2</v>
      </c>
      <c r="Q30" s="6">
        <v>1000</v>
      </c>
      <c r="R30" s="6">
        <v>5000</v>
      </c>
      <c r="S30" s="7">
        <f t="shared" si="15"/>
        <v>0.57999999999999996</v>
      </c>
      <c r="T30" s="7">
        <f t="shared" si="16"/>
        <v>0.5</v>
      </c>
      <c r="U30" s="7">
        <f t="shared" si="17"/>
        <v>7</v>
      </c>
      <c r="V30" s="7">
        <f t="shared" si="18"/>
        <v>3.4</v>
      </c>
      <c r="W30" s="8">
        <f t="shared" si="19"/>
        <v>5.25</v>
      </c>
      <c r="X30" s="7">
        <f t="shared" si="20"/>
        <v>15000</v>
      </c>
      <c r="Y30" s="7"/>
      <c r="Z30" s="9">
        <f t="shared" si="32"/>
        <v>-0.18286003218531377</v>
      </c>
      <c r="AA30" s="9">
        <f t="shared" si="33"/>
        <v>0.5</v>
      </c>
      <c r="AB30" s="9">
        <f t="shared" si="34"/>
        <v>5.2254902000712837</v>
      </c>
      <c r="AC30" s="9">
        <f t="shared" si="35"/>
        <v>3.6573945852112759</v>
      </c>
      <c r="AD30" s="9">
        <f t="shared" si="23"/>
        <v>5.25</v>
      </c>
      <c r="AE30" s="9">
        <f t="shared" si="24"/>
        <v>15000</v>
      </c>
      <c r="AF30" s="9">
        <f t="shared" si="25"/>
        <v>0</v>
      </c>
      <c r="AG30" s="226">
        <f t="shared" si="26"/>
        <v>2144.9214321075856</v>
      </c>
      <c r="AH30" s="227">
        <f t="shared" si="27"/>
        <v>15000</v>
      </c>
      <c r="AI30" s="228">
        <f t="shared" si="28"/>
        <v>4600687.9499144563</v>
      </c>
      <c r="AJ30" s="228">
        <f t="shared" si="29"/>
        <v>225000000</v>
      </c>
      <c r="AK30" s="229">
        <f t="shared" si="30"/>
        <v>10714.492240650381</v>
      </c>
      <c r="AL30" s="194" t="str">
        <f t="shared" si="31"/>
        <v>berat</v>
      </c>
      <c r="AM30" s="1">
        <v>1</v>
      </c>
    </row>
    <row r="31" spans="1:41" ht="16.5" x14ac:dyDescent="0.3">
      <c r="A31" s="13">
        <v>22</v>
      </c>
      <c r="B31" s="63" t="s">
        <v>24</v>
      </c>
      <c r="C31" s="196" t="s">
        <v>102</v>
      </c>
      <c r="D31" s="204">
        <v>43658</v>
      </c>
      <c r="E31" s="234">
        <v>48</v>
      </c>
      <c r="F31" s="25">
        <v>3.7</v>
      </c>
      <c r="G31" s="236">
        <v>15</v>
      </c>
      <c r="H31" s="236">
        <v>77</v>
      </c>
      <c r="I31" s="25">
        <v>0.16</v>
      </c>
      <c r="J31" s="220">
        <v>528000</v>
      </c>
      <c r="K31" s="220">
        <v>1168000</v>
      </c>
      <c r="L31" s="6">
        <v>50</v>
      </c>
      <c r="M31" s="6">
        <v>4</v>
      </c>
      <c r="N31" s="6">
        <v>3</v>
      </c>
      <c r="O31" s="6">
        <v>25</v>
      </c>
      <c r="P31" s="6">
        <v>0.2</v>
      </c>
      <c r="Q31" s="6">
        <v>1000</v>
      </c>
      <c r="R31" s="6">
        <v>5000</v>
      </c>
      <c r="S31" s="7">
        <f t="shared" si="15"/>
        <v>0.96</v>
      </c>
      <c r="T31" s="7">
        <f t="shared" si="16"/>
        <v>0.27499999999999997</v>
      </c>
      <c r="U31" s="7">
        <f t="shared" si="17"/>
        <v>5</v>
      </c>
      <c r="V31" s="7">
        <f t="shared" si="18"/>
        <v>3.08</v>
      </c>
      <c r="W31" s="8">
        <f t="shared" si="19"/>
        <v>0.79999999999999993</v>
      </c>
      <c r="X31" s="7">
        <f t="shared" si="20"/>
        <v>528</v>
      </c>
      <c r="Y31" s="7"/>
      <c r="Z31" s="9">
        <f t="shared" si="32"/>
        <v>0.91135616519784202</v>
      </c>
      <c r="AA31" s="9">
        <f t="shared" si="33"/>
        <v>0.27499999999999997</v>
      </c>
      <c r="AB31" s="9">
        <f t="shared" si="34"/>
        <v>4.4948500216800937</v>
      </c>
      <c r="AC31" s="9">
        <f t="shared" si="35"/>
        <v>3.4427535825022213</v>
      </c>
      <c r="AD31" s="9">
        <f t="shared" si="23"/>
        <v>0.79999999999999993</v>
      </c>
      <c r="AE31" s="9">
        <f t="shared" si="24"/>
        <v>528</v>
      </c>
      <c r="AF31" s="9">
        <f t="shared" si="25"/>
        <v>0</v>
      </c>
      <c r="AG31" s="226">
        <f t="shared" si="26"/>
        <v>76.846279967054315</v>
      </c>
      <c r="AH31" s="227">
        <f t="shared" si="27"/>
        <v>528</v>
      </c>
      <c r="AI31" s="228">
        <f t="shared" si="28"/>
        <v>5905.3507447748934</v>
      </c>
      <c r="AJ31" s="228">
        <f t="shared" si="29"/>
        <v>278784</v>
      </c>
      <c r="AK31" s="229">
        <f t="shared" si="30"/>
        <v>377.28593317587053</v>
      </c>
      <c r="AL31" s="194" t="str">
        <f t="shared" si="31"/>
        <v>berat</v>
      </c>
      <c r="AM31" s="1">
        <v>1</v>
      </c>
    </row>
    <row r="32" spans="1:41" ht="16.5" x14ac:dyDescent="0.3">
      <c r="A32" s="13">
        <v>23</v>
      </c>
      <c r="B32" s="63" t="s">
        <v>25</v>
      </c>
      <c r="C32" s="196" t="s">
        <v>103</v>
      </c>
      <c r="D32" s="204">
        <v>43658</v>
      </c>
      <c r="E32" s="235">
        <v>346</v>
      </c>
      <c r="F32" s="25">
        <v>1.1599999999999999</v>
      </c>
      <c r="G32" s="236">
        <v>83</v>
      </c>
      <c r="H32" s="236">
        <v>112</v>
      </c>
      <c r="I32" s="222">
        <v>0.26</v>
      </c>
      <c r="J32" s="220">
        <v>7890000</v>
      </c>
      <c r="K32" s="220">
        <v>20980000</v>
      </c>
      <c r="L32" s="6">
        <v>50</v>
      </c>
      <c r="M32" s="6">
        <v>4</v>
      </c>
      <c r="N32" s="6">
        <v>3</v>
      </c>
      <c r="O32" s="6">
        <v>25</v>
      </c>
      <c r="P32" s="6">
        <v>0.2</v>
      </c>
      <c r="Q32" s="6">
        <v>1000</v>
      </c>
      <c r="R32" s="6">
        <v>5000</v>
      </c>
      <c r="S32" s="7">
        <f t="shared" si="15"/>
        <v>6.92</v>
      </c>
      <c r="T32" s="7">
        <f t="shared" si="16"/>
        <v>0.48666666666666664</v>
      </c>
      <c r="U32" s="7">
        <f t="shared" si="17"/>
        <v>27.666666666666668</v>
      </c>
      <c r="V32" s="7">
        <f t="shared" si="18"/>
        <v>4.4800000000000004</v>
      </c>
      <c r="W32" s="8">
        <f t="shared" si="19"/>
        <v>1.3</v>
      </c>
      <c r="X32" s="7">
        <f t="shared" si="20"/>
        <v>7890</v>
      </c>
      <c r="Y32" s="7"/>
      <c r="Z32" s="9">
        <f t="shared" si="32"/>
        <v>5.2005304722837886</v>
      </c>
      <c r="AA32" s="9">
        <f t="shared" si="33"/>
        <v>0.48666666666666664</v>
      </c>
      <c r="AB32" s="9">
        <f t="shared" si="34"/>
        <v>8.2097841882820575</v>
      </c>
      <c r="AC32" s="9">
        <f t="shared" si="35"/>
        <v>4.2563900699907204</v>
      </c>
      <c r="AD32" s="9">
        <f t="shared" si="23"/>
        <v>1.3</v>
      </c>
      <c r="AE32" s="9">
        <f t="shared" si="24"/>
        <v>7890</v>
      </c>
      <c r="AF32" s="9">
        <f t="shared" si="25"/>
        <v>0</v>
      </c>
      <c r="AG32" s="226">
        <f t="shared" si="26"/>
        <v>1129.9219101996034</v>
      </c>
      <c r="AH32" s="227">
        <f t="shared" si="27"/>
        <v>7890</v>
      </c>
      <c r="AI32" s="228">
        <f t="shared" si="28"/>
        <v>1276723.5231491206</v>
      </c>
      <c r="AJ32" s="228">
        <f t="shared" si="29"/>
        <v>62252100</v>
      </c>
      <c r="AK32" s="229">
        <f t="shared" si="30"/>
        <v>5635.9925267493536</v>
      </c>
      <c r="AL32" s="194" t="str">
        <f t="shared" si="31"/>
        <v>berat</v>
      </c>
      <c r="AM32" s="1">
        <v>1</v>
      </c>
    </row>
    <row r="33" spans="1:40" s="210" customFormat="1" ht="16.5" x14ac:dyDescent="0.3">
      <c r="A33" s="36">
        <v>24</v>
      </c>
      <c r="B33" s="94" t="s">
        <v>26</v>
      </c>
      <c r="C33" s="203" t="s">
        <v>104</v>
      </c>
      <c r="D33" s="204">
        <v>43662</v>
      </c>
      <c r="E33" s="235">
        <v>74</v>
      </c>
      <c r="F33" s="25">
        <v>1.22</v>
      </c>
      <c r="G33" s="236">
        <v>78</v>
      </c>
      <c r="H33" s="236">
        <v>138</v>
      </c>
      <c r="I33" s="25">
        <v>0.16</v>
      </c>
      <c r="J33" s="220">
        <v>15531000</v>
      </c>
      <c r="K33" s="220">
        <v>77010000</v>
      </c>
      <c r="L33" s="6">
        <v>50</v>
      </c>
      <c r="M33" s="6">
        <v>4</v>
      </c>
      <c r="N33" s="6">
        <v>3</v>
      </c>
      <c r="O33" s="6">
        <v>25</v>
      </c>
      <c r="P33" s="6">
        <v>0.2</v>
      </c>
      <c r="Q33" s="6">
        <v>1000</v>
      </c>
      <c r="R33" s="6">
        <v>5000</v>
      </c>
      <c r="S33" s="7">
        <f t="shared" si="15"/>
        <v>1.48</v>
      </c>
      <c r="T33" s="7">
        <f t="shared" si="16"/>
        <v>0.48166666666666669</v>
      </c>
      <c r="U33" s="7">
        <f t="shared" si="17"/>
        <v>26</v>
      </c>
      <c r="V33" s="7">
        <f t="shared" si="18"/>
        <v>5.52</v>
      </c>
      <c r="W33" s="8">
        <f t="shared" si="19"/>
        <v>0.79999999999999993</v>
      </c>
      <c r="X33" s="7">
        <f t="shared" si="20"/>
        <v>15531</v>
      </c>
      <c r="Y33" s="7"/>
      <c r="Z33" s="9">
        <f t="shared" si="32"/>
        <v>1.851308576974787</v>
      </c>
      <c r="AA33" s="9">
        <f t="shared" si="33"/>
        <v>0.48166666666666669</v>
      </c>
      <c r="AB33" s="9">
        <f t="shared" si="34"/>
        <v>8.074866739854091</v>
      </c>
      <c r="AC33" s="9">
        <f t="shared" si="35"/>
        <v>4.7096953886459945</v>
      </c>
      <c r="AD33" s="9">
        <f t="shared" si="23"/>
        <v>0.79999999999999993</v>
      </c>
      <c r="AE33" s="9">
        <f t="shared" si="24"/>
        <v>15531</v>
      </c>
      <c r="AF33" s="9">
        <f t="shared" si="25"/>
        <v>0</v>
      </c>
      <c r="AG33" s="226">
        <f t="shared" si="26"/>
        <v>2220.9882196245917</v>
      </c>
      <c r="AH33" s="227">
        <f t="shared" si="27"/>
        <v>15531</v>
      </c>
      <c r="AI33" s="228">
        <f t="shared" si="28"/>
        <v>4932788.6717112139</v>
      </c>
      <c r="AJ33" s="228">
        <f t="shared" si="29"/>
        <v>241211961</v>
      </c>
      <c r="AK33" s="229">
        <f t="shared" si="30"/>
        <v>11093.798936155983</v>
      </c>
      <c r="AL33" s="194" t="str">
        <f t="shared" si="31"/>
        <v>berat</v>
      </c>
      <c r="AM33" s="1">
        <v>1</v>
      </c>
    </row>
    <row r="34" spans="1:40" ht="16.5" x14ac:dyDescent="0.3">
      <c r="A34" s="13">
        <v>25</v>
      </c>
      <c r="B34" s="63" t="s">
        <v>33</v>
      </c>
      <c r="C34" s="196" t="s">
        <v>105</v>
      </c>
      <c r="D34" s="204">
        <v>43662</v>
      </c>
      <c r="E34" s="235">
        <v>71</v>
      </c>
      <c r="F34" s="25">
        <v>2.63</v>
      </c>
      <c r="G34" s="236">
        <v>31</v>
      </c>
      <c r="H34" s="236">
        <v>67</v>
      </c>
      <c r="I34" s="222">
        <v>0.25</v>
      </c>
      <c r="J34" s="220">
        <v>6488000</v>
      </c>
      <c r="K34" s="220">
        <v>21430000</v>
      </c>
      <c r="L34" s="6">
        <v>50</v>
      </c>
      <c r="M34" s="6">
        <v>4</v>
      </c>
      <c r="N34" s="6">
        <v>3</v>
      </c>
      <c r="O34" s="6">
        <v>25</v>
      </c>
      <c r="P34" s="6">
        <v>0.2</v>
      </c>
      <c r="Q34" s="6">
        <v>1000</v>
      </c>
      <c r="R34" s="6">
        <v>5000</v>
      </c>
      <c r="S34" s="7">
        <f t="shared" si="15"/>
        <v>1.42</v>
      </c>
      <c r="T34" s="7">
        <f t="shared" si="16"/>
        <v>0.36416666666666669</v>
      </c>
      <c r="U34" s="7">
        <f t="shared" si="17"/>
        <v>10.333333333333334</v>
      </c>
      <c r="V34" s="7">
        <f t="shared" si="18"/>
        <v>2.68</v>
      </c>
      <c r="W34" s="8">
        <f t="shared" si="19"/>
        <v>1.25</v>
      </c>
      <c r="X34" s="7">
        <f t="shared" si="20"/>
        <v>6488</v>
      </c>
      <c r="Y34" s="7"/>
      <c r="Z34" s="9">
        <f t="shared" si="32"/>
        <v>1.7614417219152823</v>
      </c>
      <c r="AA34" s="9">
        <f t="shared" si="33"/>
        <v>0.36416666666666669</v>
      </c>
      <c r="AB34" s="9">
        <f t="shared" si="34"/>
        <v>6.0712021955730515</v>
      </c>
      <c r="AC34" s="9">
        <f t="shared" si="35"/>
        <v>3.1406739701439443</v>
      </c>
      <c r="AD34" s="9">
        <f t="shared" si="23"/>
        <v>1.25</v>
      </c>
      <c r="AE34" s="9">
        <f t="shared" si="24"/>
        <v>6488</v>
      </c>
      <c r="AF34" s="9">
        <f t="shared" si="25"/>
        <v>0</v>
      </c>
      <c r="AG34" s="226">
        <f t="shared" si="26"/>
        <v>928.65535493632831</v>
      </c>
      <c r="AH34" s="227">
        <f t="shared" si="27"/>
        <v>6488</v>
      </c>
      <c r="AI34" s="228">
        <f t="shared" si="28"/>
        <v>862400.76825191791</v>
      </c>
      <c r="AJ34" s="228">
        <f t="shared" si="29"/>
        <v>42094144</v>
      </c>
      <c r="AK34" s="229">
        <f t="shared" si="30"/>
        <v>4634.4657064354205</v>
      </c>
      <c r="AL34" s="194" t="str">
        <f t="shared" si="31"/>
        <v>berat</v>
      </c>
      <c r="AM34" s="1">
        <v>1</v>
      </c>
    </row>
    <row r="35" spans="1:40" ht="16.5" x14ac:dyDescent="0.3">
      <c r="A35" s="13">
        <v>26</v>
      </c>
      <c r="B35" s="63" t="s">
        <v>34</v>
      </c>
      <c r="C35" s="196" t="s">
        <v>106</v>
      </c>
      <c r="D35" s="204">
        <v>43661</v>
      </c>
      <c r="E35" s="234">
        <v>44</v>
      </c>
      <c r="F35" s="25">
        <v>2.84</v>
      </c>
      <c r="G35" s="236">
        <v>29</v>
      </c>
      <c r="H35" s="236">
        <v>100</v>
      </c>
      <c r="I35" s="222">
        <v>0.21</v>
      </c>
      <c r="J35" s="220">
        <v>10462000</v>
      </c>
      <c r="K35" s="220">
        <v>12997000</v>
      </c>
      <c r="L35" s="6">
        <v>50</v>
      </c>
      <c r="M35" s="6">
        <v>4</v>
      </c>
      <c r="N35" s="6">
        <v>3</v>
      </c>
      <c r="O35" s="6">
        <v>25</v>
      </c>
      <c r="P35" s="6">
        <v>0.2</v>
      </c>
      <c r="Q35" s="6">
        <v>1000</v>
      </c>
      <c r="R35" s="6">
        <v>5000</v>
      </c>
      <c r="S35" s="7">
        <f t="shared" si="15"/>
        <v>0.88</v>
      </c>
      <c r="T35" s="7">
        <f t="shared" si="16"/>
        <v>0.34666666666666668</v>
      </c>
      <c r="U35" s="7">
        <f t="shared" si="17"/>
        <v>9.6666666666666661</v>
      </c>
      <c r="V35" s="7">
        <f t="shared" si="18"/>
        <v>4</v>
      </c>
      <c r="W35" s="8">
        <f t="shared" si="19"/>
        <v>1.0499999999999998</v>
      </c>
      <c r="X35" s="7">
        <f t="shared" si="20"/>
        <v>10462</v>
      </c>
      <c r="Y35" s="7"/>
      <c r="Z35" s="9">
        <f t="shared" si="32"/>
        <v>0.72241336075084317</v>
      </c>
      <c r="AA35" s="9">
        <f t="shared" si="33"/>
        <v>0.34666666666666668</v>
      </c>
      <c r="AB35" s="9">
        <f t="shared" si="34"/>
        <v>5.9263837158964678</v>
      </c>
      <c r="AC35" s="9">
        <f t="shared" si="35"/>
        <v>4.0102999566398125</v>
      </c>
      <c r="AD35" s="9">
        <f t="shared" si="23"/>
        <v>1.0499999999999998</v>
      </c>
      <c r="AE35" s="9">
        <f t="shared" si="24"/>
        <v>10462</v>
      </c>
      <c r="AF35" s="9">
        <f t="shared" si="25"/>
        <v>0</v>
      </c>
      <c r="AG35" s="226">
        <f t="shared" si="26"/>
        <v>1496.2936805285649</v>
      </c>
      <c r="AH35" s="227">
        <f t="shared" si="27"/>
        <v>10462</v>
      </c>
      <c r="AI35" s="228">
        <f t="shared" si="28"/>
        <v>2238894.7783897188</v>
      </c>
      <c r="AJ35" s="228">
        <f t="shared" si="29"/>
        <v>109453444</v>
      </c>
      <c r="AK35" s="229">
        <f t="shared" si="30"/>
        <v>7473.029465296846</v>
      </c>
      <c r="AL35" s="194" t="str">
        <f t="shared" si="31"/>
        <v>berat</v>
      </c>
      <c r="AM35" s="1">
        <v>1</v>
      </c>
    </row>
    <row r="36" spans="1:40" ht="16.5" x14ac:dyDescent="0.3">
      <c r="A36" s="13">
        <v>27</v>
      </c>
      <c r="B36" s="63" t="s">
        <v>54</v>
      </c>
      <c r="C36" s="196" t="s">
        <v>107</v>
      </c>
      <c r="D36" s="204">
        <v>43654</v>
      </c>
      <c r="E36" s="235">
        <v>79</v>
      </c>
      <c r="F36" s="25">
        <v>1</v>
      </c>
      <c r="G36" s="236">
        <v>64</v>
      </c>
      <c r="H36" s="236">
        <v>280</v>
      </c>
      <c r="I36" s="222">
        <v>0.77</v>
      </c>
      <c r="J36" s="220">
        <v>43600000</v>
      </c>
      <c r="K36" s="220">
        <v>72700000</v>
      </c>
      <c r="L36" s="6">
        <v>50</v>
      </c>
      <c r="M36" s="6">
        <v>4</v>
      </c>
      <c r="N36" s="6">
        <v>3</v>
      </c>
      <c r="O36" s="6">
        <v>25</v>
      </c>
      <c r="P36" s="6">
        <v>0.2</v>
      </c>
      <c r="Q36" s="6">
        <v>1000</v>
      </c>
      <c r="R36" s="6">
        <v>5000</v>
      </c>
      <c r="S36" s="7">
        <f t="shared" si="15"/>
        <v>1.58</v>
      </c>
      <c r="T36" s="7">
        <f t="shared" si="16"/>
        <v>0.5</v>
      </c>
      <c r="U36" s="7">
        <f t="shared" si="17"/>
        <v>21.333333333333332</v>
      </c>
      <c r="V36" s="7">
        <f t="shared" si="18"/>
        <v>11.2</v>
      </c>
      <c r="W36" s="8">
        <f t="shared" si="19"/>
        <v>3.85</v>
      </c>
      <c r="X36" s="7">
        <f t="shared" si="20"/>
        <v>43600</v>
      </c>
      <c r="Y36" s="7"/>
      <c r="Z36" s="9">
        <f t="shared" si="32"/>
        <v>1.9932854347721132</v>
      </c>
      <c r="AA36" s="9">
        <f t="shared" si="33"/>
        <v>0.5</v>
      </c>
      <c r="AB36" s="9">
        <f t="shared" si="34"/>
        <v>7.6452935963211237</v>
      </c>
      <c r="AC36" s="9">
        <f t="shared" si="35"/>
        <v>6.2460901133509079</v>
      </c>
      <c r="AD36" s="9">
        <f t="shared" si="23"/>
        <v>3.85</v>
      </c>
      <c r="AE36" s="9">
        <f t="shared" si="24"/>
        <v>43600</v>
      </c>
      <c r="AF36" s="9">
        <f t="shared" si="25"/>
        <v>0</v>
      </c>
      <c r="AG36" s="226">
        <f t="shared" si="26"/>
        <v>6231.4620955920636</v>
      </c>
      <c r="AH36" s="227">
        <f t="shared" si="27"/>
        <v>43600</v>
      </c>
      <c r="AI36" s="228">
        <f t="shared" si="28"/>
        <v>38831119.848800637</v>
      </c>
      <c r="AJ36" s="228">
        <f t="shared" si="29"/>
        <v>1900960000</v>
      </c>
      <c r="AK36" s="229">
        <f t="shared" si="30"/>
        <v>31143.146275294672</v>
      </c>
      <c r="AL36" s="194" t="str">
        <f t="shared" si="31"/>
        <v>berat</v>
      </c>
      <c r="AM36" s="1">
        <v>1</v>
      </c>
    </row>
    <row r="37" spans="1:40" ht="16.5" x14ac:dyDescent="0.3">
      <c r="A37" s="13">
        <v>28</v>
      </c>
      <c r="B37" s="63" t="s">
        <v>27</v>
      </c>
      <c r="C37" s="196" t="s">
        <v>108</v>
      </c>
      <c r="D37" s="204">
        <v>43655</v>
      </c>
      <c r="E37" s="235">
        <v>156</v>
      </c>
      <c r="F37" s="222">
        <v>5.35</v>
      </c>
      <c r="G37" s="236">
        <v>29</v>
      </c>
      <c r="H37" s="236">
        <v>41</v>
      </c>
      <c r="I37" s="25">
        <v>0.16</v>
      </c>
      <c r="J37" s="220">
        <v>1860000</v>
      </c>
      <c r="K37" s="220">
        <v>11870000</v>
      </c>
      <c r="L37" s="6">
        <v>50</v>
      </c>
      <c r="M37" s="6">
        <v>4</v>
      </c>
      <c r="N37" s="6">
        <v>3</v>
      </c>
      <c r="O37" s="6">
        <v>25</v>
      </c>
      <c r="P37" s="6">
        <v>0.2</v>
      </c>
      <c r="Q37" s="6">
        <v>1000</v>
      </c>
      <c r="R37" s="6">
        <v>5000</v>
      </c>
      <c r="S37" s="7">
        <f t="shared" si="15"/>
        <v>3.12</v>
      </c>
      <c r="T37" s="7">
        <f t="shared" si="16"/>
        <v>0.13750000000000004</v>
      </c>
      <c r="U37" s="7">
        <f t="shared" si="17"/>
        <v>9.6666666666666661</v>
      </c>
      <c r="V37" s="7">
        <f t="shared" si="18"/>
        <v>1.64</v>
      </c>
      <c r="W37" s="8">
        <f t="shared" si="19"/>
        <v>0.79999999999999993</v>
      </c>
      <c r="X37" s="7">
        <f t="shared" si="20"/>
        <v>1860</v>
      </c>
      <c r="Y37" s="7"/>
      <c r="Z37" s="9">
        <f t="shared" si="32"/>
        <v>3.4707729700922139</v>
      </c>
      <c r="AA37" s="9">
        <f t="shared" si="33"/>
        <v>0.13750000000000004</v>
      </c>
      <c r="AB37" s="9">
        <f t="shared" si="34"/>
        <v>5.9263837158964678</v>
      </c>
      <c r="AC37" s="9">
        <f t="shared" si="35"/>
        <v>2.0742192402384894</v>
      </c>
      <c r="AD37" s="9">
        <f t="shared" si="23"/>
        <v>0.79999999999999993</v>
      </c>
      <c r="AE37" s="9">
        <f t="shared" si="24"/>
        <v>1860</v>
      </c>
      <c r="AF37" s="9">
        <f t="shared" si="25"/>
        <v>0</v>
      </c>
      <c r="AG37" s="18">
        <f t="shared" si="26"/>
        <v>267.48698227517531</v>
      </c>
      <c r="AH37" s="19">
        <f t="shared" si="27"/>
        <v>1860</v>
      </c>
      <c r="AI37" s="20">
        <f t="shared" si="28"/>
        <v>71549.285686679956</v>
      </c>
      <c r="AJ37" s="20">
        <f t="shared" si="29"/>
        <v>3459600</v>
      </c>
      <c r="AK37" s="21">
        <f t="shared" si="30"/>
        <v>1328.7492776454631</v>
      </c>
      <c r="AL37" s="194" t="str">
        <f t="shared" si="31"/>
        <v>berat</v>
      </c>
      <c r="AM37" s="1">
        <v>1</v>
      </c>
    </row>
    <row r="38" spans="1:40" ht="16.5" x14ac:dyDescent="0.3">
      <c r="A38" s="13">
        <v>29</v>
      </c>
      <c r="B38" s="63" t="s">
        <v>28</v>
      </c>
      <c r="C38" s="196" t="s">
        <v>109</v>
      </c>
      <c r="D38" s="204">
        <v>43654</v>
      </c>
      <c r="E38" s="235">
        <v>70</v>
      </c>
      <c r="F38" s="25">
        <v>3.74</v>
      </c>
      <c r="G38" s="236">
        <v>22</v>
      </c>
      <c r="H38" s="236">
        <v>83</v>
      </c>
      <c r="I38" s="25">
        <v>0.16</v>
      </c>
      <c r="J38" s="220">
        <v>2282000</v>
      </c>
      <c r="K38" s="220">
        <v>7701000</v>
      </c>
      <c r="L38" s="6">
        <v>50</v>
      </c>
      <c r="M38" s="6">
        <v>4</v>
      </c>
      <c r="N38" s="6">
        <v>3</v>
      </c>
      <c r="O38" s="6">
        <v>25</v>
      </c>
      <c r="P38" s="6">
        <v>0.2</v>
      </c>
      <c r="Q38" s="6">
        <v>1000</v>
      </c>
      <c r="R38" s="6">
        <v>5000</v>
      </c>
      <c r="S38" s="7">
        <f t="shared" si="15"/>
        <v>1.4</v>
      </c>
      <c r="T38" s="7">
        <f t="shared" si="16"/>
        <v>0.27166666666666667</v>
      </c>
      <c r="U38" s="7">
        <f t="shared" si="17"/>
        <v>7.333333333333333</v>
      </c>
      <c r="V38" s="7">
        <f t="shared" si="18"/>
        <v>3.32</v>
      </c>
      <c r="W38" s="8">
        <f t="shared" si="19"/>
        <v>0.79999999999999993</v>
      </c>
      <c r="X38" s="7">
        <f t="shared" si="20"/>
        <v>2282</v>
      </c>
      <c r="Y38" s="7"/>
      <c r="Z38" s="9">
        <f t="shared" si="32"/>
        <v>1.73064017839119</v>
      </c>
      <c r="AA38" s="9">
        <f t="shared" si="33"/>
        <v>0.27166666666666667</v>
      </c>
      <c r="AB38" s="9">
        <f t="shared" si="34"/>
        <v>5.3265071305127192</v>
      </c>
      <c r="AC38" s="9">
        <f t="shared" si="35"/>
        <v>3.6056904185201812</v>
      </c>
      <c r="AD38" s="9">
        <f t="shared" si="23"/>
        <v>0.79999999999999993</v>
      </c>
      <c r="AE38" s="9">
        <f t="shared" si="24"/>
        <v>2282</v>
      </c>
      <c r="AF38" s="9">
        <f t="shared" si="25"/>
        <v>0</v>
      </c>
      <c r="AG38" s="18">
        <f t="shared" si="26"/>
        <v>327.67635777058439</v>
      </c>
      <c r="AH38" s="19">
        <f t="shared" si="27"/>
        <v>2282</v>
      </c>
      <c r="AI38" s="20">
        <f t="shared" si="28"/>
        <v>107371.79544179601</v>
      </c>
      <c r="AJ38" s="20">
        <f t="shared" si="29"/>
        <v>5207524</v>
      </c>
      <c r="AK38" s="21">
        <f t="shared" si="30"/>
        <v>1630.1680581218914</v>
      </c>
      <c r="AL38" s="194" t="str">
        <f t="shared" si="31"/>
        <v>berat</v>
      </c>
      <c r="AM38" s="1">
        <v>1</v>
      </c>
    </row>
    <row r="39" spans="1:40" ht="16.5" x14ac:dyDescent="0.3">
      <c r="A39" s="13">
        <v>30</v>
      </c>
      <c r="B39" s="63" t="s">
        <v>29</v>
      </c>
      <c r="C39" s="196" t="s">
        <v>113</v>
      </c>
      <c r="D39" s="204">
        <v>43654</v>
      </c>
      <c r="E39" s="235">
        <v>182</v>
      </c>
      <c r="F39" s="25">
        <v>2.97</v>
      </c>
      <c r="G39" s="236">
        <v>51</v>
      </c>
      <c r="H39" s="236">
        <v>178</v>
      </c>
      <c r="I39" s="222">
        <v>0.41</v>
      </c>
      <c r="J39" s="220">
        <v>840000</v>
      </c>
      <c r="K39" s="220">
        <v>24196000</v>
      </c>
      <c r="L39" s="6">
        <v>50</v>
      </c>
      <c r="M39" s="6">
        <v>4</v>
      </c>
      <c r="N39" s="6">
        <v>3</v>
      </c>
      <c r="O39" s="6">
        <v>25</v>
      </c>
      <c r="P39" s="6">
        <v>0.2</v>
      </c>
      <c r="Q39" s="6">
        <v>1000</v>
      </c>
      <c r="R39" s="6">
        <v>5000</v>
      </c>
      <c r="S39" s="7">
        <f t="shared" si="15"/>
        <v>3.64</v>
      </c>
      <c r="T39" s="7">
        <f t="shared" si="16"/>
        <v>0.33583333333333326</v>
      </c>
      <c r="U39" s="7">
        <f t="shared" si="17"/>
        <v>17</v>
      </c>
      <c r="V39" s="7">
        <f t="shared" si="18"/>
        <v>7.12</v>
      </c>
      <c r="W39" s="8">
        <f t="shared" si="19"/>
        <v>2.0499999999999998</v>
      </c>
      <c r="X39" s="7">
        <f t="shared" si="20"/>
        <v>840</v>
      </c>
      <c r="Y39" s="7"/>
      <c r="Z39" s="9">
        <f t="shared" si="32"/>
        <v>3.8055069182452801</v>
      </c>
      <c r="AA39" s="9">
        <f t="shared" si="33"/>
        <v>0.33583333333333326</v>
      </c>
      <c r="AB39" s="9">
        <f t="shared" si="34"/>
        <v>7.1522446068913696</v>
      </c>
      <c r="AC39" s="9">
        <f t="shared" si="35"/>
        <v>5.2623999681842815</v>
      </c>
      <c r="AD39" s="9">
        <f t="shared" si="23"/>
        <v>2.0499999999999998</v>
      </c>
      <c r="AE39" s="9">
        <f t="shared" si="24"/>
        <v>840</v>
      </c>
      <c r="AF39" s="9">
        <f t="shared" si="25"/>
        <v>0</v>
      </c>
      <c r="AG39" s="18">
        <f t="shared" si="26"/>
        <v>122.65799783237919</v>
      </c>
      <c r="AH39" s="19">
        <f t="shared" si="27"/>
        <v>840</v>
      </c>
      <c r="AI39" s="20">
        <f t="shared" si="28"/>
        <v>15044.984432247938</v>
      </c>
      <c r="AJ39" s="20">
        <f t="shared" si="29"/>
        <v>705600</v>
      </c>
      <c r="AK39" s="21">
        <f t="shared" si="30"/>
        <v>600.2686833544825</v>
      </c>
      <c r="AL39" s="194" t="str">
        <f t="shared" si="31"/>
        <v>berat</v>
      </c>
      <c r="AM39" s="1">
        <v>1</v>
      </c>
    </row>
    <row r="40" spans="1:40" s="210" customFormat="1" ht="16.5" x14ac:dyDescent="0.3">
      <c r="A40" s="219" t="s">
        <v>182</v>
      </c>
      <c r="B40" s="217"/>
      <c r="C40" s="213"/>
      <c r="D40" s="204"/>
      <c r="E40" s="199"/>
      <c r="F40" s="199"/>
      <c r="G40" s="199"/>
      <c r="H40" s="199"/>
      <c r="I40" s="199"/>
      <c r="J40" s="201"/>
      <c r="K40" s="201"/>
      <c r="L40" s="17"/>
      <c r="M40" s="17"/>
      <c r="N40" s="17"/>
      <c r="O40" s="17"/>
      <c r="P40" s="17"/>
      <c r="Q40" s="17"/>
      <c r="R40" s="17"/>
      <c r="S40" s="24"/>
      <c r="T40" s="24"/>
      <c r="U40" s="24"/>
      <c r="V40" s="24"/>
      <c r="W40" s="205"/>
      <c r="X40" s="24"/>
      <c r="Y40" s="24"/>
      <c r="Z40" s="24"/>
      <c r="AA40" s="24"/>
      <c r="AB40" s="24"/>
      <c r="AC40" s="24"/>
      <c r="AD40" s="24"/>
      <c r="AE40" s="24"/>
      <c r="AF40" s="24"/>
      <c r="AG40" s="206"/>
      <c r="AH40" s="207"/>
      <c r="AI40" s="208"/>
      <c r="AJ40" s="208"/>
      <c r="AK40" s="209"/>
      <c r="AL40" s="194"/>
    </row>
    <row r="41" spans="1:40" ht="16.5" x14ac:dyDescent="0.3">
      <c r="A41" s="13">
        <v>31</v>
      </c>
      <c r="B41" s="63" t="s">
        <v>21</v>
      </c>
      <c r="C41" s="192" t="s">
        <v>94</v>
      </c>
      <c r="D41" s="204">
        <v>43776</v>
      </c>
      <c r="E41" s="199">
        <v>36</v>
      </c>
      <c r="F41" s="232">
        <v>7.69</v>
      </c>
      <c r="G41" s="232">
        <v>5</v>
      </c>
      <c r="H41" s="199">
        <v>15</v>
      </c>
      <c r="I41" s="199">
        <v>0.16</v>
      </c>
      <c r="J41" s="223">
        <v>74000</v>
      </c>
      <c r="K41" s="220">
        <v>630000</v>
      </c>
      <c r="L41" s="6">
        <v>50</v>
      </c>
      <c r="M41" s="6">
        <v>4</v>
      </c>
      <c r="N41" s="6">
        <v>3</v>
      </c>
      <c r="O41" s="6">
        <v>25</v>
      </c>
      <c r="P41" s="6">
        <v>0.2</v>
      </c>
      <c r="Q41" s="6">
        <v>1000</v>
      </c>
      <c r="R41" s="6">
        <v>5000</v>
      </c>
      <c r="S41" s="7">
        <f t="shared" ref="S41:S55" si="36">E41/L41</f>
        <v>0.72</v>
      </c>
      <c r="T41" s="7">
        <f t="shared" ref="T41:T55" si="37">((7-F41)/(7-M41))/M41</f>
        <v>-5.750000000000003E-2</v>
      </c>
      <c r="U41" s="7">
        <f t="shared" ref="U41:U55" si="38">G41/N41</f>
        <v>1.6666666666666667</v>
      </c>
      <c r="V41" s="7">
        <f t="shared" ref="V41:V55" si="39">H41/O41</f>
        <v>0.6</v>
      </c>
      <c r="W41" s="8">
        <f t="shared" ref="W41:W55" si="40">I41/P41</f>
        <v>0.79999999999999993</v>
      </c>
      <c r="X41" s="7">
        <f t="shared" si="5"/>
        <v>74</v>
      </c>
      <c r="Y41" s="7"/>
      <c r="Z41" s="9">
        <f>1+(5*(LOG10(E41/L41)))</f>
        <v>0.28666248215634216</v>
      </c>
      <c r="AA41" s="9">
        <f>1+(5*(LOG10(F41/M41)))</f>
        <v>2.4193317423673433</v>
      </c>
      <c r="AB41" s="9">
        <f t="shared" si="6"/>
        <v>1.6666666666666667</v>
      </c>
      <c r="AC41" s="9">
        <f t="shared" si="6"/>
        <v>0.6</v>
      </c>
      <c r="AD41" s="9">
        <f t="shared" si="6"/>
        <v>0.79999999999999993</v>
      </c>
      <c r="AE41" s="9">
        <f t="shared" si="6"/>
        <v>74</v>
      </c>
      <c r="AF41" s="9">
        <f t="shared" si="6"/>
        <v>0</v>
      </c>
      <c r="AG41" s="18">
        <f t="shared" si="10"/>
        <v>11.396094413027194</v>
      </c>
      <c r="AH41" s="19">
        <f t="shared" si="11"/>
        <v>74</v>
      </c>
      <c r="AI41" s="20">
        <f t="shared" si="12"/>
        <v>129.87096787062964</v>
      </c>
      <c r="AJ41" s="20">
        <f t="shared" si="12"/>
        <v>5476</v>
      </c>
      <c r="AK41" s="21">
        <f t="shared" si="13"/>
        <v>52.942756671100106</v>
      </c>
      <c r="AL41" s="194" t="str">
        <f t="shared" si="14"/>
        <v>berat</v>
      </c>
      <c r="AM41" s="1">
        <v>1</v>
      </c>
    </row>
    <row r="42" spans="1:40" ht="16.5" x14ac:dyDescent="0.3">
      <c r="A42" s="13">
        <v>32</v>
      </c>
      <c r="B42" s="63" t="s">
        <v>61</v>
      </c>
      <c r="C42" s="192" t="s">
        <v>112</v>
      </c>
      <c r="D42" s="204">
        <v>43774</v>
      </c>
      <c r="E42" s="199">
        <v>35</v>
      </c>
      <c r="F42" s="232">
        <v>5</v>
      </c>
      <c r="G42" s="232">
        <v>9</v>
      </c>
      <c r="H42" s="232">
        <v>31</v>
      </c>
      <c r="I42" s="199">
        <v>0.19</v>
      </c>
      <c r="J42" s="220">
        <v>816000</v>
      </c>
      <c r="K42" s="220">
        <v>4570000</v>
      </c>
      <c r="L42" s="6">
        <v>50</v>
      </c>
      <c r="M42" s="6">
        <v>4</v>
      </c>
      <c r="N42" s="6">
        <v>3</v>
      </c>
      <c r="O42" s="6">
        <v>25</v>
      </c>
      <c r="P42" s="6">
        <v>0.2</v>
      </c>
      <c r="Q42" s="6">
        <v>1000</v>
      </c>
      <c r="R42" s="6">
        <v>5000</v>
      </c>
      <c r="S42" s="7">
        <f t="shared" si="36"/>
        <v>0.7</v>
      </c>
      <c r="T42" s="7">
        <f t="shared" si="37"/>
        <v>0.16666666666666666</v>
      </c>
      <c r="U42" s="7">
        <f t="shared" si="38"/>
        <v>3</v>
      </c>
      <c r="V42" s="7">
        <f t="shared" si="39"/>
        <v>1.24</v>
      </c>
      <c r="W42" s="8">
        <f t="shared" si="40"/>
        <v>0.95</v>
      </c>
      <c r="X42" s="7">
        <f t="shared" ref="X42:X55" si="41">J42/Q42</f>
        <v>816</v>
      </c>
      <c r="Y42" s="7"/>
      <c r="Z42" s="9">
        <f t="shared" ref="Z42:Z55" si="42">1+(5*(LOG10(E42/L42)))</f>
        <v>0.22549020007128406</v>
      </c>
      <c r="AA42" s="9">
        <f t="shared" ref="AA42:AA55" si="43">T42</f>
        <v>0.16666666666666666</v>
      </c>
      <c r="AB42" s="9">
        <f t="shared" ref="AB42:AB55" si="44">1+(5*(LOG10(G42/N42)))</f>
        <v>3.3856062735983121</v>
      </c>
      <c r="AC42" s="9">
        <f t="shared" ref="AC42:AC55" si="45">1+(5*(LOG10(H42/O42)))</f>
        <v>1.4671084258111753</v>
      </c>
      <c r="AD42" s="9">
        <f t="shared" ref="AD42:AF55" si="46">W42</f>
        <v>0.95</v>
      </c>
      <c r="AE42" s="9">
        <f t="shared" si="46"/>
        <v>816</v>
      </c>
      <c r="AF42" s="9">
        <f t="shared" si="46"/>
        <v>0</v>
      </c>
      <c r="AG42" s="18">
        <f t="shared" si="10"/>
        <v>117.45641022373535</v>
      </c>
      <c r="AH42" s="19">
        <f t="shared" si="11"/>
        <v>816</v>
      </c>
      <c r="AI42" s="20">
        <f t="shared" si="12"/>
        <v>13796.008302646402</v>
      </c>
      <c r="AJ42" s="20">
        <f t="shared" si="12"/>
        <v>665856</v>
      </c>
      <c r="AK42" s="21">
        <f t="shared" si="13"/>
        <v>582.94597018190564</v>
      </c>
      <c r="AL42" s="194" t="str">
        <f t="shared" si="14"/>
        <v>berat</v>
      </c>
      <c r="AM42" s="1">
        <v>1</v>
      </c>
    </row>
    <row r="43" spans="1:40" ht="16.5" x14ac:dyDescent="0.3">
      <c r="A43" s="13">
        <v>33</v>
      </c>
      <c r="B43" s="63" t="s">
        <v>60</v>
      </c>
      <c r="C43" s="196" t="s">
        <v>97</v>
      </c>
      <c r="D43" s="204">
        <v>43774</v>
      </c>
      <c r="E43" s="198">
        <v>20</v>
      </c>
      <c r="F43" s="25">
        <v>1</v>
      </c>
      <c r="G43" s="222">
        <v>37</v>
      </c>
      <c r="H43" s="222">
        <v>138</v>
      </c>
      <c r="I43" s="222">
        <v>0.3</v>
      </c>
      <c r="J43" s="220">
        <v>13140000</v>
      </c>
      <c r="K43" s="220">
        <v>29090000</v>
      </c>
      <c r="L43" s="6">
        <v>50</v>
      </c>
      <c r="M43" s="6">
        <v>4</v>
      </c>
      <c r="N43" s="6">
        <v>3</v>
      </c>
      <c r="O43" s="6">
        <v>25</v>
      </c>
      <c r="P43" s="6">
        <v>0.2</v>
      </c>
      <c r="Q43" s="6">
        <v>1000</v>
      </c>
      <c r="R43" s="6">
        <v>5000</v>
      </c>
      <c r="S43" s="7">
        <f t="shared" si="36"/>
        <v>0.4</v>
      </c>
      <c r="T43" s="7">
        <f t="shared" si="37"/>
        <v>0.5</v>
      </c>
      <c r="U43" s="7">
        <f t="shared" si="38"/>
        <v>12.333333333333334</v>
      </c>
      <c r="V43" s="7">
        <f t="shared" si="39"/>
        <v>5.52</v>
      </c>
      <c r="W43" s="8">
        <f t="shared" si="40"/>
        <v>1.4999999999999998</v>
      </c>
      <c r="X43" s="7">
        <f t="shared" si="41"/>
        <v>13140</v>
      </c>
      <c r="Y43" s="7"/>
      <c r="Z43" s="9">
        <f t="shared" si="42"/>
        <v>-0.98970004336018791</v>
      </c>
      <c r="AA43" s="9">
        <f t="shared" si="43"/>
        <v>0.5</v>
      </c>
      <c r="AB43" s="9">
        <f t="shared" si="44"/>
        <v>6.4554023467366628</v>
      </c>
      <c r="AC43" s="9">
        <f t="shared" si="45"/>
        <v>4.7096953886459945</v>
      </c>
      <c r="AD43" s="9">
        <f t="shared" si="46"/>
        <v>1.4999999999999998</v>
      </c>
      <c r="AE43" s="9">
        <f t="shared" si="46"/>
        <v>13140</v>
      </c>
      <c r="AF43" s="9">
        <f t="shared" si="46"/>
        <v>0</v>
      </c>
      <c r="AG43" s="18">
        <f t="shared" si="10"/>
        <v>1878.8821996702889</v>
      </c>
      <c r="AH43" s="19">
        <f t="shared" si="11"/>
        <v>13140</v>
      </c>
      <c r="AI43" s="20">
        <f t="shared" si="12"/>
        <v>3530198.3202378633</v>
      </c>
      <c r="AJ43" s="20">
        <f t="shared" si="12"/>
        <v>172659600</v>
      </c>
      <c r="AK43" s="21">
        <f t="shared" si="13"/>
        <v>9385.8882989368103</v>
      </c>
      <c r="AL43" s="194" t="str">
        <f t="shared" si="14"/>
        <v>berat</v>
      </c>
      <c r="AM43" s="1">
        <v>1</v>
      </c>
    </row>
    <row r="44" spans="1:40" ht="16.5" x14ac:dyDescent="0.3">
      <c r="A44" s="13">
        <v>34</v>
      </c>
      <c r="B44" s="63" t="s">
        <v>30</v>
      </c>
      <c r="C44" s="196" t="s">
        <v>99</v>
      </c>
      <c r="D44" s="204">
        <v>43776</v>
      </c>
      <c r="E44" s="198">
        <v>26</v>
      </c>
      <c r="F44" s="25">
        <v>3.46</v>
      </c>
      <c r="G44" s="222">
        <v>53</v>
      </c>
      <c r="H44" s="222">
        <v>113</v>
      </c>
      <c r="I44" s="25">
        <v>0.2</v>
      </c>
      <c r="J44" s="201">
        <v>100</v>
      </c>
      <c r="K44" s="201">
        <v>1000</v>
      </c>
      <c r="L44" s="6">
        <v>50</v>
      </c>
      <c r="M44" s="6">
        <v>4</v>
      </c>
      <c r="N44" s="6">
        <v>3</v>
      </c>
      <c r="O44" s="6">
        <v>25</v>
      </c>
      <c r="P44" s="6">
        <v>0.2</v>
      </c>
      <c r="Q44" s="6">
        <v>1000</v>
      </c>
      <c r="R44" s="6">
        <v>5000</v>
      </c>
      <c r="S44" s="7">
        <f t="shared" si="36"/>
        <v>0.52</v>
      </c>
      <c r="T44" s="7">
        <f t="shared" si="37"/>
        <v>0.29499999999999998</v>
      </c>
      <c r="U44" s="7">
        <f t="shared" si="38"/>
        <v>17.666666666666668</v>
      </c>
      <c r="V44" s="7">
        <f t="shared" si="39"/>
        <v>4.5199999999999996</v>
      </c>
      <c r="W44" s="8">
        <f t="shared" si="40"/>
        <v>1</v>
      </c>
      <c r="X44" s="7">
        <f t="shared" si="41"/>
        <v>0.1</v>
      </c>
      <c r="Y44" s="7"/>
      <c r="Z44" s="9">
        <f t="shared" si="42"/>
        <v>-0.41998328182600408</v>
      </c>
      <c r="AA44" s="9">
        <f t="shared" si="43"/>
        <v>0.29499999999999998</v>
      </c>
      <c r="AB44" s="9">
        <f t="shared" si="44"/>
        <v>7.2357730744056328</v>
      </c>
      <c r="AC44" s="9">
        <f t="shared" si="45"/>
        <v>4.2756921740569105</v>
      </c>
      <c r="AD44" s="9">
        <f t="shared" si="46"/>
        <v>1</v>
      </c>
      <c r="AE44" s="9">
        <f t="shared" si="46"/>
        <v>0.1</v>
      </c>
      <c r="AF44" s="9">
        <f t="shared" si="46"/>
        <v>0</v>
      </c>
      <c r="AG44" s="18">
        <f t="shared" si="10"/>
        <v>1.7837831380909341</v>
      </c>
      <c r="AH44" s="19">
        <f t="shared" si="11"/>
        <v>7.2357730744056328</v>
      </c>
      <c r="AI44" s="20">
        <f t="shared" si="12"/>
        <v>3.1818822837375405</v>
      </c>
      <c r="AJ44" s="20">
        <f t="shared" si="12"/>
        <v>52.356411984293544</v>
      </c>
      <c r="AK44" s="21">
        <f t="shared" si="13"/>
        <v>5.2696439285795718</v>
      </c>
      <c r="AL44" s="194" t="str">
        <f t="shared" si="14"/>
        <v>sedang</v>
      </c>
      <c r="AN44" s="1">
        <v>1</v>
      </c>
    </row>
    <row r="45" spans="1:40" ht="16.5" x14ac:dyDescent="0.3">
      <c r="A45" s="13">
        <v>35</v>
      </c>
      <c r="B45" s="63" t="s">
        <v>31</v>
      </c>
      <c r="C45" s="196" t="s">
        <v>100</v>
      </c>
      <c r="D45" s="204">
        <v>43774</v>
      </c>
      <c r="E45" s="198">
        <v>35</v>
      </c>
      <c r="F45" s="25">
        <v>1</v>
      </c>
      <c r="G45" s="222">
        <v>98</v>
      </c>
      <c r="H45" s="222">
        <v>204</v>
      </c>
      <c r="I45" s="222">
        <v>0.6</v>
      </c>
      <c r="J45" s="220">
        <v>30760000</v>
      </c>
      <c r="K45" s="220">
        <v>64880000</v>
      </c>
      <c r="L45" s="6">
        <v>50</v>
      </c>
      <c r="M45" s="6">
        <v>4</v>
      </c>
      <c r="N45" s="6">
        <v>3</v>
      </c>
      <c r="O45" s="6">
        <v>25</v>
      </c>
      <c r="P45" s="6">
        <v>0.2</v>
      </c>
      <c r="Q45" s="6">
        <v>1000</v>
      </c>
      <c r="R45" s="6">
        <v>5000</v>
      </c>
      <c r="S45" s="7">
        <f t="shared" si="36"/>
        <v>0.7</v>
      </c>
      <c r="T45" s="7">
        <f t="shared" si="37"/>
        <v>0.5</v>
      </c>
      <c r="U45" s="7">
        <f t="shared" si="38"/>
        <v>32.666666666666664</v>
      </c>
      <c r="V45" s="7">
        <f t="shared" si="39"/>
        <v>8.16</v>
      </c>
      <c r="W45" s="8">
        <f t="shared" si="40"/>
        <v>2.9999999999999996</v>
      </c>
      <c r="X45" s="7">
        <f t="shared" si="41"/>
        <v>30760</v>
      </c>
      <c r="Y45" s="7"/>
      <c r="Z45" s="9">
        <f t="shared" si="42"/>
        <v>0.22549020007128406</v>
      </c>
      <c r="AA45" s="9">
        <f t="shared" si="43"/>
        <v>0.5</v>
      </c>
      <c r="AB45" s="9">
        <f t="shared" si="44"/>
        <v>8.5705241048641625</v>
      </c>
      <c r="AC45" s="9">
        <f t="shared" si="45"/>
        <v>5.558450793769306</v>
      </c>
      <c r="AD45" s="9">
        <f t="shared" si="46"/>
        <v>2.9999999999999996</v>
      </c>
      <c r="AE45" s="9">
        <f t="shared" si="46"/>
        <v>30760</v>
      </c>
      <c r="AF45" s="9">
        <f t="shared" si="46"/>
        <v>0</v>
      </c>
      <c r="AG45" s="18">
        <f t="shared" si="10"/>
        <v>4396.8363521569581</v>
      </c>
      <c r="AH45" s="19">
        <f t="shared" si="11"/>
        <v>30760</v>
      </c>
      <c r="AI45" s="20">
        <f t="shared" si="12"/>
        <v>19332169.907648906</v>
      </c>
      <c r="AJ45" s="20">
        <f t="shared" si="12"/>
        <v>946177600</v>
      </c>
      <c r="AK45" s="21">
        <f t="shared" si="13"/>
        <v>21971.683707759505</v>
      </c>
      <c r="AL45" s="194" t="str">
        <f t="shared" si="14"/>
        <v>berat</v>
      </c>
      <c r="AM45" s="1">
        <v>1</v>
      </c>
    </row>
    <row r="46" spans="1:40" ht="16.5" x14ac:dyDescent="0.3">
      <c r="A46" s="13">
        <v>36</v>
      </c>
      <c r="B46" s="63" t="s">
        <v>32</v>
      </c>
      <c r="C46" s="196" t="s">
        <v>101</v>
      </c>
      <c r="D46" s="204">
        <v>43774</v>
      </c>
      <c r="E46" s="198">
        <v>33</v>
      </c>
      <c r="F46" s="25">
        <v>1</v>
      </c>
      <c r="G46" s="222">
        <v>48</v>
      </c>
      <c r="H46" s="222">
        <v>118</v>
      </c>
      <c r="I46" s="222">
        <v>0.63</v>
      </c>
      <c r="J46" s="220">
        <v>780000</v>
      </c>
      <c r="K46" s="220">
        <v>61310000</v>
      </c>
      <c r="L46" s="6">
        <v>50</v>
      </c>
      <c r="M46" s="6">
        <v>4</v>
      </c>
      <c r="N46" s="6">
        <v>3</v>
      </c>
      <c r="O46" s="6">
        <v>25</v>
      </c>
      <c r="P46" s="6">
        <v>0.2</v>
      </c>
      <c r="Q46" s="6">
        <v>1000</v>
      </c>
      <c r="R46" s="6">
        <v>5000</v>
      </c>
      <c r="S46" s="7">
        <f t="shared" si="36"/>
        <v>0.66</v>
      </c>
      <c r="T46" s="7">
        <f t="shared" si="37"/>
        <v>0.5</v>
      </c>
      <c r="U46" s="7">
        <f t="shared" si="38"/>
        <v>16</v>
      </c>
      <c r="V46" s="7">
        <f t="shared" si="39"/>
        <v>4.72</v>
      </c>
      <c r="W46" s="8">
        <f t="shared" si="40"/>
        <v>3.15</v>
      </c>
      <c r="X46" s="7">
        <f t="shared" si="41"/>
        <v>780</v>
      </c>
      <c r="Y46" s="7"/>
      <c r="Z46" s="9">
        <f t="shared" si="42"/>
        <v>9.7719677709343422E-2</v>
      </c>
      <c r="AA46" s="9">
        <f t="shared" si="43"/>
        <v>0.5</v>
      </c>
      <c r="AB46" s="9">
        <f t="shared" si="44"/>
        <v>7.0205999132796242</v>
      </c>
      <c r="AC46" s="9">
        <f t="shared" si="45"/>
        <v>4.3697099931704386</v>
      </c>
      <c r="AD46" s="9">
        <f t="shared" si="46"/>
        <v>3.15</v>
      </c>
      <c r="AE46" s="9">
        <f t="shared" si="46"/>
        <v>780</v>
      </c>
      <c r="AF46" s="9">
        <f t="shared" si="46"/>
        <v>0</v>
      </c>
      <c r="AG46" s="18">
        <f t="shared" si="10"/>
        <v>113.59114708345135</v>
      </c>
      <c r="AH46" s="19">
        <f t="shared" si="11"/>
        <v>780</v>
      </c>
      <c r="AI46" s="20">
        <f t="shared" si="12"/>
        <v>12902.948695734278</v>
      </c>
      <c r="AJ46" s="20">
        <f t="shared" si="12"/>
        <v>608400</v>
      </c>
      <c r="AK46" s="21">
        <f t="shared" si="13"/>
        <v>557.36117047016035</v>
      </c>
      <c r="AL46" s="194" t="str">
        <f t="shared" si="14"/>
        <v>berat</v>
      </c>
      <c r="AM46" s="1">
        <v>1</v>
      </c>
    </row>
    <row r="47" spans="1:40" ht="16.5" x14ac:dyDescent="0.3">
      <c r="A47" s="13">
        <v>37</v>
      </c>
      <c r="B47" s="63" t="s">
        <v>24</v>
      </c>
      <c r="C47" s="196" t="s">
        <v>102</v>
      </c>
      <c r="D47" s="204">
        <v>43776</v>
      </c>
      <c r="E47" s="221">
        <v>211</v>
      </c>
      <c r="F47" s="222">
        <v>3.97</v>
      </c>
      <c r="G47" s="222">
        <v>47</v>
      </c>
      <c r="H47" s="222">
        <v>126</v>
      </c>
      <c r="I47" s="25">
        <v>0.16</v>
      </c>
      <c r="J47" s="220">
        <v>5480000</v>
      </c>
      <c r="K47" s="220">
        <v>27550000</v>
      </c>
      <c r="L47" s="6">
        <v>50</v>
      </c>
      <c r="M47" s="6">
        <v>4</v>
      </c>
      <c r="N47" s="6">
        <v>3</v>
      </c>
      <c r="O47" s="6">
        <v>25</v>
      </c>
      <c r="P47" s="6">
        <v>0.2</v>
      </c>
      <c r="Q47" s="6">
        <v>1000</v>
      </c>
      <c r="R47" s="6">
        <v>5000</v>
      </c>
      <c r="S47" s="7">
        <f t="shared" si="36"/>
        <v>4.22</v>
      </c>
      <c r="T47" s="7">
        <f t="shared" si="37"/>
        <v>0.2525</v>
      </c>
      <c r="U47" s="7">
        <f t="shared" si="38"/>
        <v>15.666666666666666</v>
      </c>
      <c r="V47" s="7">
        <f t="shared" si="39"/>
        <v>5.04</v>
      </c>
      <c r="W47" s="8">
        <f t="shared" si="40"/>
        <v>0.79999999999999993</v>
      </c>
      <c r="X47" s="7">
        <f t="shared" si="41"/>
        <v>5480</v>
      </c>
      <c r="Y47" s="7"/>
      <c r="Z47" s="9">
        <f t="shared" si="42"/>
        <v>4.1265622548083698</v>
      </c>
      <c r="AA47" s="9">
        <f t="shared" si="43"/>
        <v>0.2525</v>
      </c>
      <c r="AB47" s="9">
        <f t="shared" si="44"/>
        <v>6.9748830160802751</v>
      </c>
      <c r="AC47" s="9">
        <f t="shared" si="45"/>
        <v>4.5121526822276268</v>
      </c>
      <c r="AD47" s="9">
        <f t="shared" si="46"/>
        <v>0.79999999999999993</v>
      </c>
      <c r="AE47" s="9">
        <f t="shared" si="46"/>
        <v>5480</v>
      </c>
      <c r="AF47" s="9">
        <f t="shared" si="46"/>
        <v>0</v>
      </c>
      <c r="AG47" s="226">
        <f t="shared" si="10"/>
        <v>785.23801399330227</v>
      </c>
      <c r="AH47" s="227">
        <f t="shared" si="11"/>
        <v>5480</v>
      </c>
      <c r="AI47" s="228">
        <f t="shared" si="12"/>
        <v>616598.7386201456</v>
      </c>
      <c r="AJ47" s="228">
        <f t="shared" si="12"/>
        <v>30030400</v>
      </c>
      <c r="AK47" s="229">
        <f t="shared" si="13"/>
        <v>3914.5241561791486</v>
      </c>
      <c r="AL47" s="194" t="str">
        <f t="shared" si="14"/>
        <v>berat</v>
      </c>
      <c r="AM47" s="1">
        <v>1</v>
      </c>
    </row>
    <row r="48" spans="1:40" ht="16.5" x14ac:dyDescent="0.3">
      <c r="A48" s="13">
        <v>38</v>
      </c>
      <c r="B48" s="63" t="s">
        <v>25</v>
      </c>
      <c r="C48" s="196" t="s">
        <v>103</v>
      </c>
      <c r="D48" s="204">
        <v>43773</v>
      </c>
      <c r="E48" s="198">
        <v>35</v>
      </c>
      <c r="F48" s="25">
        <v>1.03</v>
      </c>
      <c r="G48" s="222">
        <v>59</v>
      </c>
      <c r="H48" s="222">
        <v>151</v>
      </c>
      <c r="I48" s="222">
        <v>0.48</v>
      </c>
      <c r="J48" s="220">
        <v>12033000</v>
      </c>
      <c r="K48" s="220">
        <v>92080000</v>
      </c>
      <c r="L48" s="6">
        <v>50</v>
      </c>
      <c r="M48" s="6">
        <v>4</v>
      </c>
      <c r="N48" s="6">
        <v>3</v>
      </c>
      <c r="O48" s="6">
        <v>25</v>
      </c>
      <c r="P48" s="6">
        <v>0.2</v>
      </c>
      <c r="Q48" s="6">
        <v>1000</v>
      </c>
      <c r="R48" s="6">
        <v>5000</v>
      </c>
      <c r="S48" s="7">
        <f t="shared" si="36"/>
        <v>0.7</v>
      </c>
      <c r="T48" s="7">
        <f t="shared" si="37"/>
        <v>0.4975</v>
      </c>
      <c r="U48" s="7">
        <f t="shared" si="38"/>
        <v>19.666666666666668</v>
      </c>
      <c r="V48" s="7">
        <f t="shared" si="39"/>
        <v>6.04</v>
      </c>
      <c r="W48" s="8">
        <f t="shared" si="40"/>
        <v>2.4</v>
      </c>
      <c r="X48" s="7">
        <f t="shared" si="41"/>
        <v>12033</v>
      </c>
      <c r="Y48" s="7"/>
      <c r="Z48" s="9">
        <f t="shared" si="42"/>
        <v>0.22549020007128406</v>
      </c>
      <c r="AA48" s="9">
        <f t="shared" si="43"/>
        <v>0.4975</v>
      </c>
      <c r="AB48" s="9">
        <f t="shared" si="44"/>
        <v>7.4686537846124095</v>
      </c>
      <c r="AC48" s="9">
        <f t="shared" si="45"/>
        <v>4.9051846931056593</v>
      </c>
      <c r="AD48" s="9">
        <f t="shared" si="46"/>
        <v>2.4</v>
      </c>
      <c r="AE48" s="9">
        <f t="shared" si="46"/>
        <v>12033</v>
      </c>
      <c r="AF48" s="9">
        <f t="shared" si="46"/>
        <v>0</v>
      </c>
      <c r="AG48" s="226">
        <f t="shared" si="10"/>
        <v>1721.2138326682557</v>
      </c>
      <c r="AH48" s="227">
        <f t="shared" si="11"/>
        <v>12033</v>
      </c>
      <c r="AI48" s="228">
        <f t="shared" si="12"/>
        <v>2962577.057768546</v>
      </c>
      <c r="AJ48" s="228">
        <f t="shared" si="12"/>
        <v>144793089</v>
      </c>
      <c r="AK48" s="229">
        <f t="shared" si="13"/>
        <v>8595.2215229675312</v>
      </c>
      <c r="AL48" s="194" t="str">
        <f t="shared" si="14"/>
        <v>berat</v>
      </c>
      <c r="AM48" s="1">
        <v>1</v>
      </c>
    </row>
    <row r="49" spans="1:42" s="210" customFormat="1" ht="16.5" x14ac:dyDescent="0.3">
      <c r="A49" s="13">
        <v>39</v>
      </c>
      <c r="B49" s="94" t="s">
        <v>26</v>
      </c>
      <c r="C49" s="203" t="s">
        <v>104</v>
      </c>
      <c r="D49" s="204">
        <v>43775</v>
      </c>
      <c r="E49" s="198">
        <v>36</v>
      </c>
      <c r="F49" s="25">
        <v>1.3</v>
      </c>
      <c r="G49" s="222">
        <v>61</v>
      </c>
      <c r="H49" s="222">
        <v>200</v>
      </c>
      <c r="I49" s="222">
        <v>0.3</v>
      </c>
      <c r="J49" s="220">
        <v>21870000</v>
      </c>
      <c r="K49" s="220">
        <v>36540000</v>
      </c>
      <c r="L49" s="6">
        <v>50</v>
      </c>
      <c r="M49" s="6">
        <v>4</v>
      </c>
      <c r="N49" s="6">
        <v>3</v>
      </c>
      <c r="O49" s="6">
        <v>25</v>
      </c>
      <c r="P49" s="6">
        <v>0.2</v>
      </c>
      <c r="Q49" s="6">
        <v>1000</v>
      </c>
      <c r="R49" s="6">
        <v>5000</v>
      </c>
      <c r="S49" s="7">
        <f t="shared" si="36"/>
        <v>0.72</v>
      </c>
      <c r="T49" s="7">
        <f t="shared" si="37"/>
        <v>0.47500000000000003</v>
      </c>
      <c r="U49" s="7">
        <f t="shared" si="38"/>
        <v>20.333333333333332</v>
      </c>
      <c r="V49" s="7">
        <f t="shared" si="39"/>
        <v>8</v>
      </c>
      <c r="W49" s="8">
        <f t="shared" si="40"/>
        <v>1.4999999999999998</v>
      </c>
      <c r="X49" s="7">
        <f t="shared" si="41"/>
        <v>21870</v>
      </c>
      <c r="Y49" s="7"/>
      <c r="Z49" s="9">
        <f t="shared" si="42"/>
        <v>0.28666248215634216</v>
      </c>
      <c r="AA49" s="9">
        <f t="shared" si="43"/>
        <v>0.47500000000000003</v>
      </c>
      <c r="AB49" s="9">
        <f t="shared" si="44"/>
        <v>7.5410429014555227</v>
      </c>
      <c r="AC49" s="9">
        <f t="shared" si="45"/>
        <v>5.5154499349597179</v>
      </c>
      <c r="AD49" s="9">
        <f t="shared" si="46"/>
        <v>1.4999999999999998</v>
      </c>
      <c r="AE49" s="9">
        <f t="shared" si="46"/>
        <v>21870</v>
      </c>
      <c r="AF49" s="9">
        <f t="shared" si="46"/>
        <v>0</v>
      </c>
      <c r="AG49" s="226">
        <f t="shared" si="10"/>
        <v>3126.4740221883671</v>
      </c>
      <c r="AH49" s="227">
        <f t="shared" si="11"/>
        <v>21870</v>
      </c>
      <c r="AI49" s="228">
        <f t="shared" si="12"/>
        <v>9774839.8114187066</v>
      </c>
      <c r="AJ49" s="228">
        <f t="shared" si="12"/>
        <v>478296900</v>
      </c>
      <c r="AK49" s="229">
        <f t="shared" si="13"/>
        <v>15621.647477321634</v>
      </c>
      <c r="AL49" s="194" t="str">
        <f t="shared" si="14"/>
        <v>berat</v>
      </c>
      <c r="AM49" s="1">
        <v>1</v>
      </c>
    </row>
    <row r="50" spans="1:42" ht="16.5" x14ac:dyDescent="0.3">
      <c r="A50" s="13">
        <v>40</v>
      </c>
      <c r="B50" s="63" t="s">
        <v>33</v>
      </c>
      <c r="C50" s="196" t="s">
        <v>105</v>
      </c>
      <c r="D50" s="204">
        <v>43775</v>
      </c>
      <c r="E50" s="198">
        <v>22</v>
      </c>
      <c r="F50" s="25">
        <v>1</v>
      </c>
      <c r="G50" s="222">
        <v>26</v>
      </c>
      <c r="H50" s="222">
        <v>61</v>
      </c>
      <c r="I50" s="222">
        <v>0.4</v>
      </c>
      <c r="J50" s="220">
        <v>11199000</v>
      </c>
      <c r="K50" s="220">
        <v>27550000</v>
      </c>
      <c r="L50" s="6">
        <v>50</v>
      </c>
      <c r="M50" s="6">
        <v>4</v>
      </c>
      <c r="N50" s="6">
        <v>3</v>
      </c>
      <c r="O50" s="6">
        <v>25</v>
      </c>
      <c r="P50" s="6">
        <v>0.2</v>
      </c>
      <c r="Q50" s="6">
        <v>1000</v>
      </c>
      <c r="R50" s="6">
        <v>5000</v>
      </c>
      <c r="S50" s="7">
        <f t="shared" si="36"/>
        <v>0.44</v>
      </c>
      <c r="T50" s="7">
        <f t="shared" si="37"/>
        <v>0.5</v>
      </c>
      <c r="U50" s="7">
        <f t="shared" si="38"/>
        <v>8.6666666666666661</v>
      </c>
      <c r="V50" s="7">
        <f t="shared" si="39"/>
        <v>2.44</v>
      </c>
      <c r="W50" s="8">
        <f t="shared" si="40"/>
        <v>2</v>
      </c>
      <c r="X50" s="7">
        <f t="shared" si="41"/>
        <v>11199</v>
      </c>
      <c r="Y50" s="7"/>
      <c r="Z50" s="9">
        <f t="shared" si="42"/>
        <v>-0.78273661756906288</v>
      </c>
      <c r="AA50" s="9">
        <f t="shared" si="43"/>
        <v>0.5</v>
      </c>
      <c r="AB50" s="9">
        <f t="shared" si="44"/>
        <v>5.6892604662557771</v>
      </c>
      <c r="AC50" s="9">
        <f t="shared" si="45"/>
        <v>2.9369491316936474</v>
      </c>
      <c r="AD50" s="9">
        <f t="shared" si="46"/>
        <v>2</v>
      </c>
      <c r="AE50" s="9">
        <f t="shared" si="46"/>
        <v>11199</v>
      </c>
      <c r="AF50" s="9">
        <f t="shared" si="46"/>
        <v>0</v>
      </c>
      <c r="AG50" s="226">
        <f t="shared" si="10"/>
        <v>1601.3347818543402</v>
      </c>
      <c r="AH50" s="227">
        <f t="shared" si="11"/>
        <v>11199</v>
      </c>
      <c r="AI50" s="228">
        <f t="shared" si="12"/>
        <v>2564273.0835764874</v>
      </c>
      <c r="AJ50" s="228">
        <f t="shared" si="12"/>
        <v>125417601</v>
      </c>
      <c r="AK50" s="229">
        <f t="shared" si="13"/>
        <v>7999.4335450573153</v>
      </c>
      <c r="AL50" s="194" t="str">
        <f t="shared" si="14"/>
        <v>berat</v>
      </c>
      <c r="AM50" s="1">
        <v>1</v>
      </c>
    </row>
    <row r="51" spans="1:42" ht="16.5" x14ac:dyDescent="0.3">
      <c r="A51" s="13">
        <v>41</v>
      </c>
      <c r="B51" s="63" t="s">
        <v>34</v>
      </c>
      <c r="C51" s="196" t="s">
        <v>106</v>
      </c>
      <c r="D51" s="204">
        <v>43775</v>
      </c>
      <c r="E51" s="198">
        <v>30</v>
      </c>
      <c r="F51" s="25">
        <v>1.29</v>
      </c>
      <c r="G51" s="222">
        <v>18</v>
      </c>
      <c r="H51" s="222">
        <v>100</v>
      </c>
      <c r="I51" s="222">
        <v>0.3</v>
      </c>
      <c r="J51" s="220">
        <v>4366500</v>
      </c>
      <c r="K51" s="220">
        <v>36730000</v>
      </c>
      <c r="L51" s="6">
        <v>50</v>
      </c>
      <c r="M51" s="6">
        <v>4</v>
      </c>
      <c r="N51" s="6">
        <v>3</v>
      </c>
      <c r="O51" s="6">
        <v>25</v>
      </c>
      <c r="P51" s="6">
        <v>0.2</v>
      </c>
      <c r="Q51" s="6">
        <v>1000</v>
      </c>
      <c r="R51" s="6">
        <v>5000</v>
      </c>
      <c r="S51" s="7">
        <f t="shared" si="36"/>
        <v>0.6</v>
      </c>
      <c r="T51" s="7">
        <f t="shared" si="37"/>
        <v>0.47583333333333333</v>
      </c>
      <c r="U51" s="7">
        <f t="shared" si="38"/>
        <v>6</v>
      </c>
      <c r="V51" s="7">
        <f t="shared" si="39"/>
        <v>4</v>
      </c>
      <c r="W51" s="8">
        <f t="shared" si="40"/>
        <v>1.4999999999999998</v>
      </c>
      <c r="X51" s="7">
        <f t="shared" si="41"/>
        <v>4366.5</v>
      </c>
      <c r="Y51" s="7"/>
      <c r="Z51" s="9">
        <f t="shared" si="42"/>
        <v>-0.10924374808178205</v>
      </c>
      <c r="AA51" s="9">
        <f t="shared" si="43"/>
        <v>0.47583333333333333</v>
      </c>
      <c r="AB51" s="9">
        <f t="shared" si="44"/>
        <v>4.8907562519182184</v>
      </c>
      <c r="AC51" s="9">
        <f t="shared" si="45"/>
        <v>4.0102999566398125</v>
      </c>
      <c r="AD51" s="9">
        <f t="shared" si="46"/>
        <v>1.4999999999999998</v>
      </c>
      <c r="AE51" s="9">
        <f t="shared" si="46"/>
        <v>4366.5</v>
      </c>
      <c r="AF51" s="9">
        <f t="shared" si="46"/>
        <v>0</v>
      </c>
      <c r="AG51" s="226">
        <f t="shared" si="10"/>
        <v>625.32394939911569</v>
      </c>
      <c r="AH51" s="227">
        <f t="shared" si="11"/>
        <v>4366.5</v>
      </c>
      <c r="AI51" s="228">
        <f t="shared" si="12"/>
        <v>391030.0416921078</v>
      </c>
      <c r="AJ51" s="228">
        <f t="shared" si="12"/>
        <v>19066322.25</v>
      </c>
      <c r="AK51" s="229">
        <f t="shared" si="13"/>
        <v>3119.0825807993692</v>
      </c>
      <c r="AL51" s="194" t="str">
        <f t="shared" si="14"/>
        <v>berat</v>
      </c>
      <c r="AM51" s="1">
        <v>1</v>
      </c>
    </row>
    <row r="52" spans="1:42" ht="16.5" x14ac:dyDescent="0.3">
      <c r="A52" s="13">
        <v>42</v>
      </c>
      <c r="B52" s="63" t="s">
        <v>54</v>
      </c>
      <c r="C52" s="196" t="s">
        <v>107</v>
      </c>
      <c r="D52" s="204">
        <v>43775</v>
      </c>
      <c r="E52" s="198">
        <v>26</v>
      </c>
      <c r="F52" s="25">
        <v>1</v>
      </c>
      <c r="G52" s="222">
        <v>78</v>
      </c>
      <c r="H52" s="222">
        <v>192</v>
      </c>
      <c r="I52" s="222">
        <v>1</v>
      </c>
      <c r="J52" s="220">
        <v>12010000</v>
      </c>
      <c r="K52" s="220">
        <v>111990000</v>
      </c>
      <c r="L52" s="6">
        <v>50</v>
      </c>
      <c r="M52" s="6">
        <v>4</v>
      </c>
      <c r="N52" s="6">
        <v>3</v>
      </c>
      <c r="O52" s="6">
        <v>25</v>
      </c>
      <c r="P52" s="6">
        <v>0.2</v>
      </c>
      <c r="Q52" s="6">
        <v>1000</v>
      </c>
      <c r="R52" s="6">
        <v>5000</v>
      </c>
      <c r="S52" s="7">
        <f t="shared" si="36"/>
        <v>0.52</v>
      </c>
      <c r="T52" s="7">
        <f t="shared" si="37"/>
        <v>0.5</v>
      </c>
      <c r="U52" s="7">
        <f t="shared" si="38"/>
        <v>26</v>
      </c>
      <c r="V52" s="7">
        <f t="shared" si="39"/>
        <v>7.68</v>
      </c>
      <c r="W52" s="8">
        <f t="shared" si="40"/>
        <v>5</v>
      </c>
      <c r="X52" s="7">
        <f t="shared" si="41"/>
        <v>12010</v>
      </c>
      <c r="Y52" s="7"/>
      <c r="Z52" s="9">
        <f t="shared" si="42"/>
        <v>-0.41998328182600408</v>
      </c>
      <c r="AA52" s="9">
        <f t="shared" si="43"/>
        <v>0.5</v>
      </c>
      <c r="AB52" s="9">
        <f t="shared" si="44"/>
        <v>8.074866739854091</v>
      </c>
      <c r="AC52" s="9">
        <f t="shared" si="45"/>
        <v>5.4268061001575596</v>
      </c>
      <c r="AD52" s="9">
        <f t="shared" si="46"/>
        <v>5</v>
      </c>
      <c r="AE52" s="9">
        <f t="shared" si="46"/>
        <v>12010</v>
      </c>
      <c r="AF52" s="9">
        <f t="shared" si="46"/>
        <v>0</v>
      </c>
      <c r="AG52" s="226">
        <f t="shared" si="10"/>
        <v>1718.3688127940263</v>
      </c>
      <c r="AH52" s="227">
        <f t="shared" si="11"/>
        <v>12010</v>
      </c>
      <c r="AI52" s="228">
        <f t="shared" si="12"/>
        <v>2952791.3767831516</v>
      </c>
      <c r="AJ52" s="228">
        <f t="shared" si="12"/>
        <v>144240100</v>
      </c>
      <c r="AK52" s="229">
        <f t="shared" si="13"/>
        <v>8578.8370825183283</v>
      </c>
      <c r="AL52" s="194" t="str">
        <f t="shared" si="14"/>
        <v>berat</v>
      </c>
      <c r="AM52" s="1">
        <v>1</v>
      </c>
    </row>
    <row r="53" spans="1:42" ht="16.5" x14ac:dyDescent="0.3">
      <c r="A53" s="13">
        <v>43</v>
      </c>
      <c r="B53" s="63" t="s">
        <v>27</v>
      </c>
      <c r="C53" s="196" t="s">
        <v>108</v>
      </c>
      <c r="D53" s="204">
        <v>43773</v>
      </c>
      <c r="E53" s="221">
        <v>98</v>
      </c>
      <c r="F53" s="222">
        <v>6.19</v>
      </c>
      <c r="G53" s="222">
        <v>22</v>
      </c>
      <c r="H53" s="222">
        <v>50</v>
      </c>
      <c r="I53" s="222">
        <v>0.22</v>
      </c>
      <c r="J53" s="220">
        <v>3076000</v>
      </c>
      <c r="K53" s="220">
        <v>17220000</v>
      </c>
      <c r="L53" s="6">
        <v>50</v>
      </c>
      <c r="M53" s="6">
        <v>4</v>
      </c>
      <c r="N53" s="6">
        <v>3</v>
      </c>
      <c r="O53" s="6">
        <v>25</v>
      </c>
      <c r="P53" s="6">
        <v>0.2</v>
      </c>
      <c r="Q53" s="6">
        <v>1000</v>
      </c>
      <c r="R53" s="6">
        <v>5000</v>
      </c>
      <c r="S53" s="7">
        <f t="shared" si="36"/>
        <v>1.96</v>
      </c>
      <c r="T53" s="7">
        <f t="shared" si="37"/>
        <v>6.7499999999999963E-2</v>
      </c>
      <c r="U53" s="7">
        <f t="shared" si="38"/>
        <v>7.333333333333333</v>
      </c>
      <c r="V53" s="7">
        <f t="shared" si="39"/>
        <v>2</v>
      </c>
      <c r="W53" s="8">
        <f t="shared" si="40"/>
        <v>1.0999999999999999</v>
      </c>
      <c r="X53" s="7">
        <f t="shared" si="41"/>
        <v>3076</v>
      </c>
      <c r="Y53" s="7"/>
      <c r="Z53" s="9">
        <f t="shared" si="42"/>
        <v>2.46128035678238</v>
      </c>
      <c r="AA53" s="9">
        <f t="shared" si="43"/>
        <v>6.7499999999999963E-2</v>
      </c>
      <c r="AB53" s="9">
        <f t="shared" si="44"/>
        <v>5.3265071305127192</v>
      </c>
      <c r="AC53" s="9">
        <f t="shared" si="45"/>
        <v>2.5051499783199063</v>
      </c>
      <c r="AD53" s="9">
        <f t="shared" si="46"/>
        <v>1.0999999999999999</v>
      </c>
      <c r="AE53" s="9">
        <f t="shared" si="46"/>
        <v>3076</v>
      </c>
      <c r="AF53" s="9">
        <f t="shared" si="46"/>
        <v>0</v>
      </c>
      <c r="AG53" s="18">
        <f t="shared" si="10"/>
        <v>441.06577678080214</v>
      </c>
      <c r="AH53" s="19">
        <f t="shared" si="11"/>
        <v>3076</v>
      </c>
      <c r="AI53" s="20">
        <f t="shared" si="12"/>
        <v>194539.01944725239</v>
      </c>
      <c r="AJ53" s="20">
        <f t="shared" si="12"/>
        <v>9461776</v>
      </c>
      <c r="AK53" s="21">
        <f t="shared" si="13"/>
        <v>2197.3068765476582</v>
      </c>
      <c r="AL53" s="194" t="str">
        <f t="shared" si="14"/>
        <v>berat</v>
      </c>
      <c r="AM53" s="1">
        <v>1</v>
      </c>
    </row>
    <row r="54" spans="1:42" ht="16.5" x14ac:dyDescent="0.3">
      <c r="A54" s="13">
        <v>44</v>
      </c>
      <c r="B54" s="63" t="s">
        <v>28</v>
      </c>
      <c r="C54" s="196" t="s">
        <v>109</v>
      </c>
      <c r="D54" s="204">
        <v>43773</v>
      </c>
      <c r="E54" s="221">
        <v>72</v>
      </c>
      <c r="F54" s="222">
        <v>5.53</v>
      </c>
      <c r="G54" s="222">
        <v>39</v>
      </c>
      <c r="H54" s="222">
        <v>92</v>
      </c>
      <c r="I54" s="25">
        <v>0.16</v>
      </c>
      <c r="J54" s="220">
        <v>5475000</v>
      </c>
      <c r="K54" s="220">
        <v>22470000</v>
      </c>
      <c r="L54" s="6">
        <v>50</v>
      </c>
      <c r="M54" s="6">
        <v>4</v>
      </c>
      <c r="N54" s="6">
        <v>3</v>
      </c>
      <c r="O54" s="6">
        <v>25</v>
      </c>
      <c r="P54" s="6">
        <v>0.2</v>
      </c>
      <c r="Q54" s="6">
        <v>1000</v>
      </c>
      <c r="R54" s="6">
        <v>5000</v>
      </c>
      <c r="S54" s="7">
        <f t="shared" si="36"/>
        <v>1.44</v>
      </c>
      <c r="T54" s="7">
        <f t="shared" si="37"/>
        <v>0.12249999999999998</v>
      </c>
      <c r="U54" s="7">
        <f t="shared" si="38"/>
        <v>13</v>
      </c>
      <c r="V54" s="7">
        <f t="shared" si="39"/>
        <v>3.68</v>
      </c>
      <c r="W54" s="8">
        <f t="shared" si="40"/>
        <v>0.79999999999999993</v>
      </c>
      <c r="X54" s="7">
        <f t="shared" si="41"/>
        <v>5475</v>
      </c>
      <c r="Y54" s="7"/>
      <c r="Z54" s="9">
        <f t="shared" si="42"/>
        <v>1.7918124604762482</v>
      </c>
      <c r="AA54" s="9">
        <f t="shared" si="43"/>
        <v>0.12249999999999998</v>
      </c>
      <c r="AB54" s="9">
        <f t="shared" si="44"/>
        <v>6.5697167615341838</v>
      </c>
      <c r="AC54" s="9">
        <f t="shared" si="45"/>
        <v>3.8292390933675882</v>
      </c>
      <c r="AD54" s="9">
        <f t="shared" si="46"/>
        <v>0.79999999999999993</v>
      </c>
      <c r="AE54" s="9">
        <f t="shared" si="46"/>
        <v>5475</v>
      </c>
      <c r="AF54" s="9">
        <f t="shared" si="46"/>
        <v>0</v>
      </c>
      <c r="AG54" s="18">
        <f t="shared" si="10"/>
        <v>784.01618118791123</v>
      </c>
      <c r="AH54" s="19">
        <f t="shared" si="11"/>
        <v>5475</v>
      </c>
      <c r="AI54" s="20">
        <f t="shared" si="12"/>
        <v>614681.37236447562</v>
      </c>
      <c r="AJ54" s="20">
        <f t="shared" si="12"/>
        <v>29975625</v>
      </c>
      <c r="AK54" s="21">
        <f t="shared" si="13"/>
        <v>3910.9018379629829</v>
      </c>
      <c r="AL54" s="194" t="str">
        <f t="shared" si="14"/>
        <v>berat</v>
      </c>
      <c r="AM54" s="1">
        <v>1</v>
      </c>
    </row>
    <row r="55" spans="1:42" ht="16.5" x14ac:dyDescent="0.3">
      <c r="A55" s="13">
        <v>45</v>
      </c>
      <c r="B55" s="63" t="s">
        <v>29</v>
      </c>
      <c r="C55" s="196" t="s">
        <v>113</v>
      </c>
      <c r="D55" s="204">
        <v>43773</v>
      </c>
      <c r="E55" s="221">
        <v>57</v>
      </c>
      <c r="F55" s="222">
        <v>4.3099999999999996</v>
      </c>
      <c r="G55" s="222">
        <v>21</v>
      </c>
      <c r="H55" s="222">
        <v>73</v>
      </c>
      <c r="I55" s="25">
        <v>0.16</v>
      </c>
      <c r="J55" s="220">
        <v>1455000</v>
      </c>
      <c r="K55" s="220">
        <v>22470000</v>
      </c>
      <c r="L55" s="6">
        <v>50</v>
      </c>
      <c r="M55" s="6">
        <v>4</v>
      </c>
      <c r="N55" s="6">
        <v>3</v>
      </c>
      <c r="O55" s="6">
        <v>25</v>
      </c>
      <c r="P55" s="6">
        <v>0.2</v>
      </c>
      <c r="Q55" s="6">
        <v>1000</v>
      </c>
      <c r="R55" s="6">
        <v>5000</v>
      </c>
      <c r="S55" s="7">
        <f t="shared" si="36"/>
        <v>1.1399999999999999</v>
      </c>
      <c r="T55" s="7">
        <f t="shared" si="37"/>
        <v>0.22416666666666671</v>
      </c>
      <c r="U55" s="7">
        <f t="shared" si="38"/>
        <v>7</v>
      </c>
      <c r="V55" s="7">
        <f t="shared" si="39"/>
        <v>2.92</v>
      </c>
      <c r="W55" s="8">
        <f t="shared" si="40"/>
        <v>0.79999999999999993</v>
      </c>
      <c r="X55" s="7">
        <f t="shared" si="41"/>
        <v>1455</v>
      </c>
      <c r="Y55" s="7"/>
      <c r="Z55" s="9">
        <f t="shared" si="42"/>
        <v>1.2845242566823627</v>
      </c>
      <c r="AA55" s="9">
        <f t="shared" si="43"/>
        <v>0.22416666666666671</v>
      </c>
      <c r="AB55" s="9">
        <f t="shared" si="44"/>
        <v>5.2254902000712837</v>
      </c>
      <c r="AC55" s="9">
        <f t="shared" si="45"/>
        <v>3.3269142572420916</v>
      </c>
      <c r="AD55" s="9">
        <f t="shared" si="46"/>
        <v>0.79999999999999993</v>
      </c>
      <c r="AE55" s="9">
        <f t="shared" si="46"/>
        <v>1455</v>
      </c>
      <c r="AF55" s="9">
        <f t="shared" si="46"/>
        <v>0</v>
      </c>
      <c r="AG55" s="18">
        <f t="shared" si="10"/>
        <v>209.40872791152319</v>
      </c>
      <c r="AH55" s="19">
        <f t="shared" si="11"/>
        <v>1455</v>
      </c>
      <c r="AI55" s="20">
        <f t="shared" si="12"/>
        <v>43852.015325522349</v>
      </c>
      <c r="AJ55" s="20">
        <f t="shared" si="12"/>
        <v>2117025</v>
      </c>
      <c r="AK55" s="21">
        <f t="shared" si="13"/>
        <v>1039.4414402277607</v>
      </c>
      <c r="AL55" s="194" t="str">
        <f t="shared" si="14"/>
        <v>berat</v>
      </c>
      <c r="AM55" s="1">
        <v>1</v>
      </c>
    </row>
    <row r="56" spans="1:42" x14ac:dyDescent="0.25">
      <c r="AM56" s="1">
        <f>SUM(AM9:AM55)</f>
        <v>43</v>
      </c>
      <c r="AN56" s="1">
        <f>SUM(AN9:AN55)</f>
        <v>1</v>
      </c>
      <c r="AO56" s="1">
        <f>SUM(AO9:AO55)</f>
        <v>1</v>
      </c>
      <c r="AP56" s="231">
        <f>SUM(AM56:AO56)</f>
        <v>45</v>
      </c>
    </row>
    <row r="57" spans="1:42" x14ac:dyDescent="0.25">
      <c r="A57" s="1" t="s">
        <v>36</v>
      </c>
    </row>
    <row r="58" spans="1:42" x14ac:dyDescent="0.25">
      <c r="A58" s="26" t="s">
        <v>37</v>
      </c>
      <c r="B58" s="1" t="s">
        <v>38</v>
      </c>
    </row>
    <row r="59" spans="1:42" x14ac:dyDescent="0.25">
      <c r="A59" s="26" t="s">
        <v>39</v>
      </c>
      <c r="B59" s="230" t="s">
        <v>40</v>
      </c>
    </row>
    <row r="61" spans="1:42" ht="16.5" x14ac:dyDescent="0.3">
      <c r="A61" s="26" t="s">
        <v>41</v>
      </c>
      <c r="B61" s="27" t="s">
        <v>42</v>
      </c>
      <c r="D61" s="28"/>
    </row>
    <row r="62" spans="1:42" ht="16.5" x14ac:dyDescent="0.3">
      <c r="B62" s="29" t="s">
        <v>43</v>
      </c>
      <c r="C62" s="30" t="s">
        <v>44</v>
      </c>
      <c r="D62" s="30" t="s">
        <v>45</v>
      </c>
      <c r="E62" s="30" t="s">
        <v>46</v>
      </c>
      <c r="F62" s="31" t="s">
        <v>47</v>
      </c>
    </row>
    <row r="63" spans="1:42" x14ac:dyDescent="0.25">
      <c r="B63" s="13" t="s">
        <v>48</v>
      </c>
      <c r="C63" s="13">
        <v>0</v>
      </c>
      <c r="D63" s="32">
        <f>C63/C67</f>
        <v>0</v>
      </c>
      <c r="E63" s="13">
        <v>70</v>
      </c>
      <c r="F63" s="33">
        <f>E63*D63</f>
        <v>0</v>
      </c>
    </row>
    <row r="64" spans="1:42" x14ac:dyDescent="0.25">
      <c r="B64" s="13" t="s">
        <v>49</v>
      </c>
      <c r="C64" s="13">
        <f>AN56</f>
        <v>1</v>
      </c>
      <c r="D64" s="32">
        <f>C64/C67</f>
        <v>2.2222222222222223E-2</v>
      </c>
      <c r="E64" s="13">
        <v>50</v>
      </c>
      <c r="F64" s="33">
        <f>D64*E64</f>
        <v>1.1111111111111112</v>
      </c>
    </row>
    <row r="65" spans="2:6" x14ac:dyDescent="0.25">
      <c r="B65" s="13" t="s">
        <v>50</v>
      </c>
      <c r="C65" s="13">
        <f>AO56</f>
        <v>1</v>
      </c>
      <c r="D65" s="32">
        <f>C65/C67</f>
        <v>2.2222222222222223E-2</v>
      </c>
      <c r="E65" s="13">
        <v>30</v>
      </c>
      <c r="F65" s="33">
        <f>E65*D65</f>
        <v>0.66666666666666674</v>
      </c>
    </row>
    <row r="66" spans="2:6" x14ac:dyDescent="0.25">
      <c r="B66" s="13" t="s">
        <v>51</v>
      </c>
      <c r="C66" s="13">
        <f>AM56</f>
        <v>43</v>
      </c>
      <c r="D66" s="32">
        <f>C66/C67</f>
        <v>0.9555555555555556</v>
      </c>
      <c r="E66" s="13">
        <v>10</v>
      </c>
      <c r="F66" s="33">
        <f>E66*D66</f>
        <v>9.5555555555555554</v>
      </c>
    </row>
    <row r="67" spans="2:6" x14ac:dyDescent="0.25">
      <c r="B67" s="202" t="s">
        <v>44</v>
      </c>
      <c r="C67" s="13">
        <f>SUM(C63:C66)</f>
        <v>45</v>
      </c>
      <c r="D67" s="34"/>
      <c r="E67" s="13"/>
      <c r="F67" s="35"/>
    </row>
    <row r="68" spans="2:6" x14ac:dyDescent="0.25">
      <c r="B68" s="486" t="s">
        <v>373</v>
      </c>
      <c r="C68" s="37"/>
      <c r="D68" s="37"/>
      <c r="E68" s="37"/>
      <c r="F68" s="38">
        <f>SUM(F63:F67)</f>
        <v>11.333333333333334</v>
      </c>
    </row>
  </sheetData>
  <pageMargins left="0.7" right="0.7" top="0.75" bottom="0.75" header="0.3" footer="0.3"/>
  <pageSetup paperSize="9" scale="85" orientation="portrait" horizontalDpi="0" verticalDpi="0" r:id="rId1"/>
  <colBreaks count="1" manualBreakCount="1">
    <brk id="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L37"/>
  <sheetViews>
    <sheetView topLeftCell="A4" zoomScale="132" zoomScaleNormal="100" workbookViewId="0">
      <pane ySplit="4" topLeftCell="A12" activePane="bottomLeft" state="frozen"/>
      <selection activeCell="O29" sqref="O29"/>
      <selection pane="bottomLeft" activeCell="F35" sqref="F35"/>
    </sheetView>
  </sheetViews>
  <sheetFormatPr defaultColWidth="9.140625" defaultRowHeight="15" x14ac:dyDescent="0.25"/>
  <cols>
    <col min="1" max="1" width="4.140625" style="53" bestFit="1" customWidth="1"/>
    <col min="2" max="2" width="38.28515625" style="53" customWidth="1"/>
    <col min="3" max="3" width="21.28515625" style="53" hidden="1" customWidth="1"/>
    <col min="4" max="4" width="14.140625" style="53" customWidth="1"/>
    <col min="5" max="5" width="9.140625" style="53"/>
    <col min="6" max="6" width="10.140625" style="53" customWidth="1"/>
    <col min="7" max="9" width="9.140625" style="53"/>
    <col min="10" max="10" width="9.7109375" style="53" bestFit="1" customWidth="1"/>
    <col min="11" max="11" width="11.7109375" style="53" bestFit="1" customWidth="1"/>
    <col min="12" max="12" width="4.42578125" style="53" bestFit="1" customWidth="1"/>
    <col min="13" max="13" width="3.7109375" style="53" bestFit="1" customWidth="1"/>
    <col min="14" max="14" width="4.7109375" style="53" bestFit="1" customWidth="1"/>
    <col min="15" max="15" width="5" style="53" bestFit="1" customWidth="1"/>
    <col min="16" max="16" width="5.7109375" style="53" bestFit="1" customWidth="1"/>
    <col min="17" max="17" width="9.140625" style="53" bestFit="1" customWidth="1"/>
    <col min="18" max="18" width="7.7109375" style="53" bestFit="1" customWidth="1"/>
    <col min="19" max="19" width="6.28515625" style="53" bestFit="1" customWidth="1"/>
    <col min="20" max="20" width="6" style="53" bestFit="1" customWidth="1"/>
    <col min="21" max="22" width="6.28515625" style="53" bestFit="1" customWidth="1"/>
    <col min="23" max="23" width="8.28515625" style="53" bestFit="1" customWidth="1"/>
    <col min="24" max="24" width="8.7109375" style="53" bestFit="1" customWidth="1"/>
    <col min="25" max="25" width="9.7109375" style="53" bestFit="1" customWidth="1"/>
    <col min="26" max="26" width="6.28515625" style="53" bestFit="1" customWidth="1"/>
    <col min="27" max="27" width="6" style="53" bestFit="1" customWidth="1"/>
    <col min="28" max="30" width="6.28515625" style="53" bestFit="1" customWidth="1"/>
    <col min="31" max="31" width="8.7109375" style="53" bestFit="1" customWidth="1"/>
    <col min="32" max="32" width="7.7109375" style="53" bestFit="1" customWidth="1"/>
    <col min="33" max="33" width="9.140625" style="53"/>
    <col min="34" max="34" width="7.7109375" style="53" bestFit="1" customWidth="1"/>
    <col min="35" max="35" width="9.140625" style="53"/>
    <col min="36" max="36" width="10.42578125" style="53" bestFit="1" customWidth="1"/>
    <col min="37" max="37" width="9.140625" style="53"/>
    <col min="38" max="38" width="10.7109375" style="53" bestFit="1" customWidth="1"/>
    <col min="39" max="16384" width="9.140625" style="53"/>
  </cols>
  <sheetData>
    <row r="1" spans="1:38" x14ac:dyDescent="0.25">
      <c r="B1" s="54" t="s">
        <v>0</v>
      </c>
    </row>
    <row r="3" spans="1:38" x14ac:dyDescent="0.25">
      <c r="B3" s="54" t="s">
        <v>1</v>
      </c>
    </row>
    <row r="4" spans="1:38" x14ac:dyDescent="0.25">
      <c r="B4" s="54" t="s">
        <v>2</v>
      </c>
    </row>
    <row r="6" spans="1:38" x14ac:dyDescent="0.25">
      <c r="B6" s="54" t="s">
        <v>3</v>
      </c>
    </row>
    <row r="7" spans="1:38" ht="33.75" thickBot="1" x14ac:dyDescent="0.3">
      <c r="A7" s="56" t="s">
        <v>4</v>
      </c>
      <c r="B7" s="57" t="s">
        <v>5</v>
      </c>
      <c r="C7" s="57" t="s">
        <v>6</v>
      </c>
      <c r="D7" s="57" t="s">
        <v>7</v>
      </c>
      <c r="E7" s="58" t="s">
        <v>8</v>
      </c>
      <c r="F7" s="58" t="s">
        <v>9</v>
      </c>
      <c r="G7" s="58" t="s">
        <v>10</v>
      </c>
      <c r="H7" s="58" t="s">
        <v>11</v>
      </c>
      <c r="I7" s="58" t="s">
        <v>12</v>
      </c>
      <c r="J7" s="58" t="s">
        <v>13</v>
      </c>
      <c r="K7" s="58" t="s">
        <v>14</v>
      </c>
      <c r="L7" s="59" t="s">
        <v>8</v>
      </c>
      <c r="M7" s="59" t="s">
        <v>9</v>
      </c>
      <c r="N7" s="59" t="s">
        <v>10</v>
      </c>
      <c r="O7" s="59" t="s">
        <v>11</v>
      </c>
      <c r="P7" s="59" t="s">
        <v>12</v>
      </c>
      <c r="Q7" s="59" t="s">
        <v>13</v>
      </c>
      <c r="R7" s="59"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60" t="s">
        <v>15</v>
      </c>
      <c r="AH7" s="60" t="s">
        <v>16</v>
      </c>
      <c r="AI7" s="60" t="s">
        <v>17</v>
      </c>
      <c r="AJ7" s="60" t="s">
        <v>18</v>
      </c>
      <c r="AK7" s="60" t="s">
        <v>19</v>
      </c>
      <c r="AL7" s="61" t="s">
        <v>20</v>
      </c>
    </row>
    <row r="8" spans="1:38" ht="17.25" thickBot="1" x14ac:dyDescent="0.35">
      <c r="A8" s="62">
        <v>1</v>
      </c>
      <c r="B8" s="63" t="s">
        <v>21</v>
      </c>
      <c r="C8" s="63"/>
      <c r="D8" s="87"/>
      <c r="E8" s="88"/>
      <c r="F8" s="89">
        <v>7.25</v>
      </c>
      <c r="G8" s="89">
        <v>0</v>
      </c>
      <c r="H8" s="89">
        <v>14.4</v>
      </c>
      <c r="I8" s="89"/>
      <c r="J8" s="98">
        <v>4600</v>
      </c>
      <c r="K8" s="98">
        <v>990000</v>
      </c>
      <c r="L8" s="59">
        <v>50</v>
      </c>
      <c r="M8" s="59">
        <v>4</v>
      </c>
      <c r="N8" s="59">
        <v>3</v>
      </c>
      <c r="O8" s="59">
        <v>25</v>
      </c>
      <c r="P8" s="59">
        <v>0.2</v>
      </c>
      <c r="Q8" s="59">
        <v>1000</v>
      </c>
      <c r="R8" s="59">
        <v>5000</v>
      </c>
      <c r="S8" s="7">
        <f t="shared" ref="S8:S22" si="0">E8/L8</f>
        <v>0</v>
      </c>
      <c r="T8" s="7">
        <f>((7-F8)/(7-M8))/M8</f>
        <v>-2.0833333333333332E-2</v>
      </c>
      <c r="U8" s="7">
        <f t="shared" ref="U8:Y22" si="1">G8/N8</f>
        <v>0</v>
      </c>
      <c r="V8" s="7">
        <f t="shared" si="1"/>
        <v>0.57600000000000007</v>
      </c>
      <c r="W8" s="8">
        <f t="shared" si="1"/>
        <v>0</v>
      </c>
      <c r="X8" s="7">
        <f t="shared" si="1"/>
        <v>4.5999999999999996</v>
      </c>
      <c r="Y8" s="7">
        <f t="shared" si="1"/>
        <v>198</v>
      </c>
      <c r="Z8" s="9">
        <f>S8</f>
        <v>0</v>
      </c>
      <c r="AA8" s="9">
        <f>T8</f>
        <v>-2.0833333333333332E-2</v>
      </c>
      <c r="AB8" s="9">
        <f>U8</f>
        <v>0</v>
      </c>
      <c r="AC8" s="9">
        <f>V8</f>
        <v>0.57600000000000007</v>
      </c>
      <c r="AD8" s="9">
        <f t="shared" ref="AA8:AD22" si="2">W8</f>
        <v>0</v>
      </c>
      <c r="AE8" s="9">
        <f t="shared" ref="AE8:AF22" si="3">1+(5*(LOG10(J8/Q8)))</f>
        <v>4.3137891584078707</v>
      </c>
      <c r="AF8" s="9">
        <f t="shared" si="3"/>
        <v>12.483325951307656</v>
      </c>
      <c r="AG8" s="68">
        <f>AVERAGE(Z8:AF8)</f>
        <v>2.4788973966260275</v>
      </c>
      <c r="AH8" s="69">
        <f>MAX(Z8:AG8)</f>
        <v>12.483325951307656</v>
      </c>
      <c r="AI8" s="70">
        <f>POWER(AG8,2)</f>
        <v>6.1449323029992966</v>
      </c>
      <c r="AJ8" s="70">
        <f>POWER(AH8,2)</f>
        <v>155.83342680659118</v>
      </c>
      <c r="AK8" s="71">
        <f>SQRT((AI8+AJ8)/2)</f>
        <v>8.999398844078156</v>
      </c>
      <c r="AL8" s="90" t="str">
        <f>IF(ISNUMBER(AK8),IF(AK8&lt;=1,"memenuhi",IF(AK8&lt;=5,"ringan",IF(AK8&lt;=10,"sedang","berat"))),"")</f>
        <v>sedang</v>
      </c>
    </row>
    <row r="9" spans="1:38" ht="17.25" thickBot="1" x14ac:dyDescent="0.35">
      <c r="A9" s="62">
        <v>2</v>
      </c>
      <c r="B9" s="63" t="s">
        <v>22</v>
      </c>
      <c r="C9" s="63"/>
      <c r="D9" s="87">
        <v>41037</v>
      </c>
      <c r="E9" s="88">
        <v>121</v>
      </c>
      <c r="F9" s="89">
        <v>5.13</v>
      </c>
      <c r="G9" s="89">
        <v>4.95</v>
      </c>
      <c r="H9" s="89">
        <v>14.5</v>
      </c>
      <c r="I9" s="89"/>
      <c r="J9" s="98">
        <v>100000</v>
      </c>
      <c r="K9" s="98">
        <v>212000000</v>
      </c>
      <c r="L9" s="59">
        <v>50</v>
      </c>
      <c r="M9" s="59">
        <v>4</v>
      </c>
      <c r="N9" s="59">
        <v>3</v>
      </c>
      <c r="O9" s="59">
        <v>25</v>
      </c>
      <c r="P9" s="59">
        <v>0.2</v>
      </c>
      <c r="Q9" s="59">
        <v>1000</v>
      </c>
      <c r="R9" s="59">
        <v>5000</v>
      </c>
      <c r="S9" s="7">
        <f t="shared" si="0"/>
        <v>2.42</v>
      </c>
      <c r="T9" s="7">
        <f t="shared" ref="T9:T21" si="4">((7-F9)/(7-M9))/M9</f>
        <v>0.15583333333333335</v>
      </c>
      <c r="U9" s="7">
        <f t="shared" si="1"/>
        <v>1.6500000000000001</v>
      </c>
      <c r="V9" s="7">
        <f t="shared" si="1"/>
        <v>0.57999999999999996</v>
      </c>
      <c r="W9" s="8">
        <f t="shared" si="1"/>
        <v>0</v>
      </c>
      <c r="X9" s="7">
        <f t="shared" si="1"/>
        <v>100</v>
      </c>
      <c r="Y9" s="7">
        <f t="shared" si="1"/>
        <v>42400</v>
      </c>
      <c r="Z9" s="9">
        <f t="shared" ref="Z9:AC22" si="5">1+(5*(LOG10(E9/L9)))</f>
        <v>2.9190768299021563</v>
      </c>
      <c r="AA9" s="9">
        <f>T9</f>
        <v>0.15583333333333335</v>
      </c>
      <c r="AB9" s="9">
        <f t="shared" si="5"/>
        <v>2.0874197210695318</v>
      </c>
      <c r="AC9" s="9">
        <f t="shared" si="5"/>
        <v>-0.18286003218531377</v>
      </c>
      <c r="AD9" s="9">
        <f t="shared" si="2"/>
        <v>0</v>
      </c>
      <c r="AE9" s="9">
        <f t="shared" si="3"/>
        <v>11</v>
      </c>
      <c r="AF9" s="9">
        <f t="shared" si="3"/>
        <v>24.136829282963664</v>
      </c>
      <c r="AG9" s="68">
        <f t="shared" ref="AG9:AG22" si="6">AVERAGE(Z9:AF9)</f>
        <v>5.7308998764404819</v>
      </c>
      <c r="AH9" s="69">
        <f t="shared" ref="AH9:AH22" si="7">MAX(Z9:AG9)</f>
        <v>24.136829282963664</v>
      </c>
      <c r="AI9" s="70">
        <f t="shared" ref="AI9:AJ22" si="8">POWER(AG9,2)</f>
        <v>32.843213393785533</v>
      </c>
      <c r="AJ9" s="70">
        <f t="shared" si="8"/>
        <v>582.58652783493221</v>
      </c>
      <c r="AK9" s="71">
        <f t="shared" ref="AK9:AK22" si="9">SQRT((AI9+AJ9)/2)</f>
        <v>17.541803516581723</v>
      </c>
      <c r="AL9" s="92" t="str">
        <f>IF(ISNUMBER(AK9),IF(AK9&lt;=1,"memenuhi",IF(AK9&lt;=5,"ringan",IF(AK9&lt;=10,"sedang","berat"))),"")</f>
        <v>berat</v>
      </c>
    </row>
    <row r="10" spans="1:38" ht="17.25" thickBot="1" x14ac:dyDescent="0.35">
      <c r="A10" s="62">
        <v>3</v>
      </c>
      <c r="B10" s="63" t="s">
        <v>23</v>
      </c>
      <c r="C10" s="63"/>
      <c r="D10" s="87">
        <v>41036</v>
      </c>
      <c r="E10" s="88">
        <v>707</v>
      </c>
      <c r="F10" s="89">
        <v>3.02</v>
      </c>
      <c r="G10" s="89">
        <v>7.86</v>
      </c>
      <c r="H10" s="89">
        <v>34.700000000000003</v>
      </c>
      <c r="I10" s="89"/>
      <c r="J10" s="98">
        <v>2500</v>
      </c>
      <c r="K10" s="98">
        <v>296000000</v>
      </c>
      <c r="L10" s="59">
        <v>50</v>
      </c>
      <c r="M10" s="59">
        <v>4</v>
      </c>
      <c r="N10" s="59">
        <v>3</v>
      </c>
      <c r="O10" s="59">
        <v>25</v>
      </c>
      <c r="P10" s="59">
        <v>0.2</v>
      </c>
      <c r="Q10" s="59">
        <v>1000</v>
      </c>
      <c r="R10" s="59">
        <v>5000</v>
      </c>
      <c r="S10" s="7">
        <f t="shared" si="0"/>
        <v>14.14</v>
      </c>
      <c r="T10" s="7">
        <f t="shared" si="4"/>
        <v>0.33166666666666667</v>
      </c>
      <c r="U10" s="7">
        <f t="shared" si="1"/>
        <v>2.62</v>
      </c>
      <c r="V10" s="7">
        <f t="shared" si="1"/>
        <v>1.3880000000000001</v>
      </c>
      <c r="W10" s="8">
        <f t="shared" si="1"/>
        <v>0</v>
      </c>
      <c r="X10" s="7">
        <f t="shared" si="1"/>
        <v>2.5</v>
      </c>
      <c r="Y10" s="7">
        <f t="shared" si="1"/>
        <v>59200</v>
      </c>
      <c r="Z10" s="9">
        <f t="shared" si="5"/>
        <v>6.7522470473044027</v>
      </c>
      <c r="AA10" s="9">
        <f t="shared" si="2"/>
        <v>0.33166666666666667</v>
      </c>
      <c r="AB10" s="9">
        <f t="shared" si="5"/>
        <v>3.0915064565987276</v>
      </c>
      <c r="AC10" s="9">
        <f t="shared" si="5"/>
        <v>1.7119473305941808</v>
      </c>
      <c r="AD10" s="9">
        <f t="shared" si="2"/>
        <v>0</v>
      </c>
      <c r="AE10" s="9">
        <f t="shared" si="3"/>
        <v>2.9897000433601879</v>
      </c>
      <c r="AF10" s="9">
        <f t="shared" si="3"/>
        <v>24.8616085336146</v>
      </c>
      <c r="AG10" s="68">
        <f t="shared" si="6"/>
        <v>5.6769537254483948</v>
      </c>
      <c r="AH10" s="69">
        <f t="shared" si="7"/>
        <v>24.8616085336146</v>
      </c>
      <c r="AI10" s="70">
        <f t="shared" si="8"/>
        <v>32.22780360088241</v>
      </c>
      <c r="AJ10" s="70">
        <f t="shared" si="8"/>
        <v>618.09957887869825</v>
      </c>
      <c r="AK10" s="71">
        <f t="shared" si="9"/>
        <v>18.032295783948044</v>
      </c>
      <c r="AL10" s="92" t="str">
        <f>IF(ISNUMBER(AK10),IF(AK10&lt;=1,"memenuhi",IF(AK10&lt;=5,"ringan",IF(AK10&lt;=10,"sedang","berat"))),"")</f>
        <v>berat</v>
      </c>
    </row>
    <row r="11" spans="1:38" ht="17.25" thickBot="1" x14ac:dyDescent="0.35">
      <c r="A11" s="62">
        <v>4</v>
      </c>
      <c r="B11" s="63" t="s">
        <v>24</v>
      </c>
      <c r="C11" s="63"/>
      <c r="D11" s="87"/>
      <c r="E11" s="88">
        <v>0</v>
      </c>
      <c r="F11" s="89">
        <v>3.3</v>
      </c>
      <c r="G11" s="89">
        <v>14.7</v>
      </c>
      <c r="H11" s="89">
        <v>56.2</v>
      </c>
      <c r="I11" s="89"/>
      <c r="J11" s="98">
        <v>1460000</v>
      </c>
      <c r="K11" s="98">
        <v>2080000</v>
      </c>
      <c r="L11" s="59">
        <v>50</v>
      </c>
      <c r="M11" s="59">
        <v>4</v>
      </c>
      <c r="N11" s="59">
        <v>3</v>
      </c>
      <c r="O11" s="59">
        <v>25</v>
      </c>
      <c r="P11" s="59">
        <v>0.2</v>
      </c>
      <c r="Q11" s="59">
        <v>1000</v>
      </c>
      <c r="R11" s="59">
        <v>5000</v>
      </c>
      <c r="S11" s="7">
        <f t="shared" si="0"/>
        <v>0</v>
      </c>
      <c r="T11" s="7">
        <f t="shared" si="4"/>
        <v>0.30833333333333335</v>
      </c>
      <c r="U11" s="7">
        <f t="shared" si="1"/>
        <v>4.8999999999999995</v>
      </c>
      <c r="V11" s="7">
        <f t="shared" si="1"/>
        <v>2.2480000000000002</v>
      </c>
      <c r="W11" s="8">
        <f t="shared" si="1"/>
        <v>0</v>
      </c>
      <c r="X11" s="7">
        <f t="shared" si="1"/>
        <v>1460</v>
      </c>
      <c r="Y11" s="7">
        <f t="shared" si="1"/>
        <v>416</v>
      </c>
      <c r="Z11" s="9">
        <f>S11</f>
        <v>0</v>
      </c>
      <c r="AA11" s="9">
        <f t="shared" si="2"/>
        <v>0.30833333333333335</v>
      </c>
      <c r="AB11" s="9">
        <f t="shared" si="5"/>
        <v>4.4509804001425683</v>
      </c>
      <c r="AC11" s="9">
        <f t="shared" si="5"/>
        <v>2.7589815344851178</v>
      </c>
      <c r="AD11" s="9">
        <f t="shared" si="2"/>
        <v>0</v>
      </c>
      <c r="AE11" s="9">
        <f t="shared" si="3"/>
        <v>16.821764278922185</v>
      </c>
      <c r="AF11" s="9">
        <f t="shared" si="3"/>
        <v>14.095466653133714</v>
      </c>
      <c r="AG11" s="68">
        <f t="shared" si="6"/>
        <v>5.490789457145274</v>
      </c>
      <c r="AH11" s="69">
        <f t="shared" si="7"/>
        <v>16.821764278922185</v>
      </c>
      <c r="AI11" s="70">
        <f t="shared" si="8"/>
        <v>30.148768862697693</v>
      </c>
      <c r="AJ11" s="70">
        <f t="shared" si="8"/>
        <v>282.97175345562243</v>
      </c>
      <c r="AK11" s="71">
        <f t="shared" si="9"/>
        <v>12.512404291708291</v>
      </c>
      <c r="AL11" s="92" t="str">
        <f>IF(ISNUMBER(AK11),IF(AK11&lt;=1,"memenuhi",IF(AK11&lt;=5,"ringan",IF(AK11&lt;=10,"sedang","berat"))),"")</f>
        <v>berat</v>
      </c>
    </row>
    <row r="12" spans="1:38" ht="17.25" thickBot="1" x14ac:dyDescent="0.35">
      <c r="A12" s="62">
        <v>5</v>
      </c>
      <c r="B12" s="63" t="s">
        <v>25</v>
      </c>
      <c r="C12" s="63"/>
      <c r="D12" s="87">
        <v>41036</v>
      </c>
      <c r="E12" s="88">
        <v>829</v>
      </c>
      <c r="F12" s="89">
        <v>2.0099999999999998</v>
      </c>
      <c r="G12" s="89">
        <v>34.700000000000003</v>
      </c>
      <c r="H12" s="89">
        <v>184</v>
      </c>
      <c r="I12" s="89"/>
      <c r="J12" s="98">
        <v>120000</v>
      </c>
      <c r="K12" s="98">
        <v>217000000</v>
      </c>
      <c r="L12" s="59">
        <v>50</v>
      </c>
      <c r="M12" s="59">
        <v>4</v>
      </c>
      <c r="N12" s="59">
        <v>3</v>
      </c>
      <c r="O12" s="59">
        <v>25</v>
      </c>
      <c r="P12" s="59">
        <v>0.2</v>
      </c>
      <c r="Q12" s="59">
        <v>1000</v>
      </c>
      <c r="R12" s="59">
        <v>5000</v>
      </c>
      <c r="S12" s="7">
        <f t="shared" si="0"/>
        <v>16.579999999999998</v>
      </c>
      <c r="T12" s="7">
        <f t="shared" si="4"/>
        <v>0.41583333333333333</v>
      </c>
      <c r="U12" s="7">
        <f t="shared" si="1"/>
        <v>11.566666666666668</v>
      </c>
      <c r="V12" s="7">
        <f t="shared" si="1"/>
        <v>7.36</v>
      </c>
      <c r="W12" s="8">
        <f t="shared" si="1"/>
        <v>0</v>
      </c>
      <c r="X12" s="7">
        <f t="shared" si="1"/>
        <v>120</v>
      </c>
      <c r="Y12" s="7">
        <f t="shared" si="1"/>
        <v>43400</v>
      </c>
      <c r="Z12" s="9">
        <f t="shared" si="5"/>
        <v>7.0979226310712731</v>
      </c>
      <c r="AA12" s="9">
        <f t="shared" si="2"/>
        <v>0.41583333333333333</v>
      </c>
      <c r="AB12" s="9">
        <f t="shared" si="5"/>
        <v>6.316041100356057</v>
      </c>
      <c r="AC12" s="9">
        <f t="shared" si="5"/>
        <v>5.3343890716874949</v>
      </c>
      <c r="AD12" s="9">
        <f t="shared" si="2"/>
        <v>0</v>
      </c>
      <c r="AE12" s="9">
        <f t="shared" si="3"/>
        <v>11.395906230238124</v>
      </c>
      <c r="AF12" s="9">
        <f t="shared" si="3"/>
        <v>24.187448647562551</v>
      </c>
      <c r="AG12" s="68">
        <f t="shared" si="6"/>
        <v>7.8210772877498345</v>
      </c>
      <c r="AH12" s="69">
        <f t="shared" si="7"/>
        <v>24.187448647562551</v>
      </c>
      <c r="AI12" s="70">
        <f t="shared" si="8"/>
        <v>61.169249940956306</v>
      </c>
      <c r="AJ12" s="70">
        <f t="shared" si="8"/>
        <v>585.03267207847546</v>
      </c>
      <c r="AK12" s="71">
        <f t="shared" si="9"/>
        <v>17.975009346582155</v>
      </c>
      <c r="AL12" s="92" t="str">
        <f>IF(ISNUMBER(AK12),IF(AK12&lt;=1,"memenuhi",IF(AK12&lt;=5,"ringan",IF(AK12&lt;=10,"sedang","berat"))),"")</f>
        <v>berat</v>
      </c>
    </row>
    <row r="13" spans="1:38" ht="17.25" thickBot="1" x14ac:dyDescent="0.35">
      <c r="A13" s="62">
        <v>6</v>
      </c>
      <c r="B13" s="63" t="s">
        <v>26</v>
      </c>
      <c r="C13" s="63"/>
      <c r="D13" s="87">
        <v>41037</v>
      </c>
      <c r="E13" s="88">
        <v>893</v>
      </c>
      <c r="F13" s="89">
        <v>0.77900000000000003</v>
      </c>
      <c r="G13" s="89">
        <v>65.2</v>
      </c>
      <c r="H13" s="89">
        <v>272</v>
      </c>
      <c r="I13" s="89"/>
      <c r="J13" s="98">
        <v>500000</v>
      </c>
      <c r="K13" s="98">
        <v>40000000</v>
      </c>
      <c r="L13" s="59">
        <v>50</v>
      </c>
      <c r="M13" s="59">
        <v>4</v>
      </c>
      <c r="N13" s="59">
        <v>3</v>
      </c>
      <c r="O13" s="59">
        <v>25</v>
      </c>
      <c r="P13" s="59">
        <v>0.2</v>
      </c>
      <c r="Q13" s="59">
        <v>1000</v>
      </c>
      <c r="R13" s="59">
        <v>5000</v>
      </c>
      <c r="S13" s="7">
        <f t="shared" si="0"/>
        <v>17.86</v>
      </c>
      <c r="T13" s="7">
        <f t="shared" si="4"/>
        <v>0.51841666666666664</v>
      </c>
      <c r="U13" s="7">
        <f t="shared" si="1"/>
        <v>21.733333333333334</v>
      </c>
      <c r="V13" s="7">
        <f t="shared" si="1"/>
        <v>10.88</v>
      </c>
      <c r="W13" s="8">
        <f t="shared" si="1"/>
        <v>0</v>
      </c>
      <c r="X13" s="7">
        <f t="shared" si="1"/>
        <v>500</v>
      </c>
      <c r="Y13" s="7">
        <f t="shared" si="1"/>
        <v>8000</v>
      </c>
      <c r="Z13" s="9">
        <f t="shared" si="5"/>
        <v>7.2594072727626386</v>
      </c>
      <c r="AA13" s="9">
        <f t="shared" si="2"/>
        <v>0.51841666666666664</v>
      </c>
      <c r="AB13" s="9">
        <f t="shared" si="5"/>
        <v>7.6856317050612892</v>
      </c>
      <c r="AC13" s="9">
        <f t="shared" si="5"/>
        <v>6.1831444768108064</v>
      </c>
      <c r="AD13" s="9">
        <f t="shared" si="2"/>
        <v>0</v>
      </c>
      <c r="AE13" s="9">
        <f t="shared" si="3"/>
        <v>14.494850021680094</v>
      </c>
      <c r="AF13" s="9">
        <f t="shared" si="3"/>
        <v>20.515449934959719</v>
      </c>
      <c r="AG13" s="68">
        <f t="shared" si="6"/>
        <v>8.0938428682773171</v>
      </c>
      <c r="AH13" s="69">
        <f t="shared" si="7"/>
        <v>20.515449934959719</v>
      </c>
      <c r="AI13" s="70">
        <f t="shared" si="8"/>
        <v>65.510292376363594</v>
      </c>
      <c r="AJ13" s="70">
        <f t="shared" si="8"/>
        <v>420.88368603383873</v>
      </c>
      <c r="AK13" s="71">
        <f t="shared" si="9"/>
        <v>15.594774419820927</v>
      </c>
      <c r="AL13" s="92" t="str">
        <f t="shared" ref="AL13:AL22" si="10">IF(ISNUMBER(AK13),IF(AK13&lt;=1,"memenuhi",IF(AK13&lt;=5,"ringan",IF(AK13&lt;=10,"sedang","berat"))),"")</f>
        <v>berat</v>
      </c>
    </row>
    <row r="14" spans="1:38" ht="17.25" thickBot="1" x14ac:dyDescent="0.35">
      <c r="A14" s="62">
        <v>7</v>
      </c>
      <c r="B14" s="63" t="s">
        <v>27</v>
      </c>
      <c r="C14" s="63"/>
      <c r="D14" s="87">
        <v>41038</v>
      </c>
      <c r="E14" s="88">
        <v>298</v>
      </c>
      <c r="F14" s="89">
        <v>5.79</v>
      </c>
      <c r="G14" s="89">
        <v>14.9</v>
      </c>
      <c r="H14" s="89">
        <v>51.3</v>
      </c>
      <c r="I14" s="89"/>
      <c r="J14" s="98">
        <v>3000000</v>
      </c>
      <c r="K14" s="98">
        <v>115000000</v>
      </c>
      <c r="L14" s="59">
        <v>50</v>
      </c>
      <c r="M14" s="59">
        <v>4</v>
      </c>
      <c r="N14" s="59">
        <v>3</v>
      </c>
      <c r="O14" s="59">
        <v>25</v>
      </c>
      <c r="P14" s="59">
        <v>0.2</v>
      </c>
      <c r="Q14" s="59">
        <v>1000</v>
      </c>
      <c r="R14" s="59">
        <v>5000</v>
      </c>
      <c r="S14" s="7">
        <f t="shared" si="0"/>
        <v>5.96</v>
      </c>
      <c r="T14" s="7">
        <f t="shared" si="4"/>
        <v>0.10083333333333333</v>
      </c>
      <c r="U14" s="7">
        <f t="shared" si="1"/>
        <v>4.9666666666666668</v>
      </c>
      <c r="V14" s="7">
        <f t="shared" si="1"/>
        <v>2.052</v>
      </c>
      <c r="W14" s="8">
        <f t="shared" si="1"/>
        <v>0</v>
      </c>
      <c r="X14" s="7">
        <f t="shared" si="1"/>
        <v>3000</v>
      </c>
      <c r="Y14" s="7">
        <f t="shared" si="1"/>
        <v>23000</v>
      </c>
      <c r="Z14" s="9">
        <f t="shared" si="5"/>
        <v>4.8762312987011818</v>
      </c>
      <c r="AA14" s="9">
        <f t="shared" si="2"/>
        <v>0.10083333333333333</v>
      </c>
      <c r="AB14" s="9">
        <f t="shared" si="5"/>
        <v>4.480325068463058</v>
      </c>
      <c r="AC14" s="9">
        <f t="shared" si="5"/>
        <v>2.5608867821988932</v>
      </c>
      <c r="AD14" s="9">
        <f t="shared" si="2"/>
        <v>0</v>
      </c>
      <c r="AE14" s="9">
        <f t="shared" si="3"/>
        <v>18.385606273598313</v>
      </c>
      <c r="AF14" s="9">
        <f t="shared" si="3"/>
        <v>22.808639180087965</v>
      </c>
      <c r="AG14" s="68">
        <f t="shared" si="6"/>
        <v>7.6017888480546771</v>
      </c>
      <c r="AH14" s="69">
        <f t="shared" si="7"/>
        <v>22.808639180087965</v>
      </c>
      <c r="AI14" s="70">
        <f t="shared" si="8"/>
        <v>57.787193690408458</v>
      </c>
      <c r="AJ14" s="70">
        <f t="shared" si="8"/>
        <v>520.23402124744382</v>
      </c>
      <c r="AK14" s="71">
        <f t="shared" si="9"/>
        <v>17.000311981517459</v>
      </c>
      <c r="AL14" s="92" t="str">
        <f t="shared" si="10"/>
        <v>berat</v>
      </c>
    </row>
    <row r="15" spans="1:38" ht="17.25" thickBot="1" x14ac:dyDescent="0.35">
      <c r="A15" s="62">
        <v>8</v>
      </c>
      <c r="B15" s="63" t="s">
        <v>28</v>
      </c>
      <c r="C15" s="63"/>
      <c r="D15" s="87">
        <v>41038</v>
      </c>
      <c r="E15" s="88">
        <v>288</v>
      </c>
      <c r="F15" s="89">
        <v>3.18</v>
      </c>
      <c r="G15" s="89">
        <v>11.8</v>
      </c>
      <c r="H15" s="89">
        <v>71.7</v>
      </c>
      <c r="I15" s="89"/>
      <c r="J15" s="98">
        <v>3000000</v>
      </c>
      <c r="K15" s="98">
        <v>6700000</v>
      </c>
      <c r="L15" s="59">
        <v>50</v>
      </c>
      <c r="M15" s="59">
        <v>4</v>
      </c>
      <c r="N15" s="59">
        <v>3</v>
      </c>
      <c r="O15" s="59">
        <v>25</v>
      </c>
      <c r="P15" s="59">
        <v>0.2</v>
      </c>
      <c r="Q15" s="59">
        <v>1000</v>
      </c>
      <c r="R15" s="59">
        <v>5000</v>
      </c>
      <c r="S15" s="7">
        <f t="shared" si="0"/>
        <v>5.76</v>
      </c>
      <c r="T15" s="7">
        <f t="shared" si="4"/>
        <v>0.3183333333333333</v>
      </c>
      <c r="U15" s="7">
        <f t="shared" si="1"/>
        <v>3.9333333333333336</v>
      </c>
      <c r="V15" s="7">
        <f t="shared" si="1"/>
        <v>2.8680000000000003</v>
      </c>
      <c r="W15" s="8">
        <f t="shared" si="1"/>
        <v>0</v>
      </c>
      <c r="X15" s="7">
        <f t="shared" si="1"/>
        <v>3000</v>
      </c>
      <c r="Y15" s="7">
        <f t="shared" si="1"/>
        <v>1340</v>
      </c>
      <c r="Z15" s="9">
        <f t="shared" si="5"/>
        <v>4.8021124171160601</v>
      </c>
      <c r="AA15" s="9">
        <f t="shared" si="2"/>
        <v>0.3183333333333333</v>
      </c>
      <c r="AB15" s="9">
        <f>1+(5*(LOG10(G15/N15)))</f>
        <v>3.9738037629323149</v>
      </c>
      <c r="AC15" s="9">
        <f t="shared" si="5"/>
        <v>3.2878957349788127</v>
      </c>
      <c r="AD15" s="9">
        <f t="shared" si="2"/>
        <v>0</v>
      </c>
      <c r="AE15" s="9">
        <f t="shared" si="3"/>
        <v>18.385606273598313</v>
      </c>
      <c r="AF15" s="9">
        <f t="shared" si="3"/>
        <v>16.635523991824037</v>
      </c>
      <c r="AG15" s="68">
        <f t="shared" si="6"/>
        <v>6.7718965019689819</v>
      </c>
      <c r="AH15" s="69">
        <f t="shared" si="7"/>
        <v>18.385606273598313</v>
      </c>
      <c r="AI15" s="70">
        <f t="shared" si="8"/>
        <v>45.858582233379735</v>
      </c>
      <c r="AJ15" s="70">
        <f t="shared" si="8"/>
        <v>338.03051804777766</v>
      </c>
      <c r="AK15" s="71">
        <f t="shared" si="9"/>
        <v>13.85440544161238</v>
      </c>
      <c r="AL15" s="92" t="str">
        <f t="shared" si="10"/>
        <v>berat</v>
      </c>
    </row>
    <row r="16" spans="1:38" ht="17.25" thickBot="1" x14ac:dyDescent="0.35">
      <c r="A16" s="62">
        <v>9</v>
      </c>
      <c r="B16" s="63" t="s">
        <v>29</v>
      </c>
      <c r="C16" s="63"/>
      <c r="D16" s="87">
        <v>41038</v>
      </c>
      <c r="E16" s="24">
        <v>535</v>
      </c>
      <c r="F16" s="89">
        <v>0</v>
      </c>
      <c r="G16" s="89">
        <v>1255</v>
      </c>
      <c r="H16" s="89">
        <v>2867</v>
      </c>
      <c r="I16" s="89"/>
      <c r="J16" s="98">
        <v>5000000</v>
      </c>
      <c r="K16" s="98">
        <v>9000000</v>
      </c>
      <c r="L16" s="59">
        <v>50</v>
      </c>
      <c r="M16" s="59">
        <v>4</v>
      </c>
      <c r="N16" s="59">
        <v>3</v>
      </c>
      <c r="O16" s="59">
        <v>25</v>
      </c>
      <c r="P16" s="59">
        <v>0.2</v>
      </c>
      <c r="Q16" s="59">
        <v>1000</v>
      </c>
      <c r="R16" s="59">
        <v>5000</v>
      </c>
      <c r="S16" s="7">
        <f t="shared" si="0"/>
        <v>10.7</v>
      </c>
      <c r="T16" s="7">
        <f t="shared" si="4"/>
        <v>0.58333333333333337</v>
      </c>
      <c r="U16" s="7">
        <f t="shared" si="1"/>
        <v>418.33333333333331</v>
      </c>
      <c r="V16" s="7">
        <f t="shared" si="1"/>
        <v>114.68</v>
      </c>
      <c r="W16" s="8">
        <f t="shared" si="1"/>
        <v>0</v>
      </c>
      <c r="X16" s="7">
        <f t="shared" si="1"/>
        <v>5000</v>
      </c>
      <c r="Y16" s="7">
        <f t="shared" si="1"/>
        <v>1800</v>
      </c>
      <c r="Z16" s="9">
        <f t="shared" si="5"/>
        <v>6.1469188884260486</v>
      </c>
      <c r="AA16" s="9">
        <f t="shared" si="2"/>
        <v>0.58333333333333337</v>
      </c>
      <c r="AB16" s="9">
        <f t="shared" si="5"/>
        <v>14.107612355486973</v>
      </c>
      <c r="AC16" s="9">
        <f t="shared" si="5"/>
        <v>11.297438421372235</v>
      </c>
      <c r="AD16" s="9">
        <f t="shared" si="2"/>
        <v>0</v>
      </c>
      <c r="AE16" s="9">
        <f t="shared" si="3"/>
        <v>19.494850021680094</v>
      </c>
      <c r="AF16" s="9">
        <f t="shared" si="3"/>
        <v>17.276362525516529</v>
      </c>
      <c r="AG16" s="68">
        <f t="shared" si="6"/>
        <v>9.8437879351164579</v>
      </c>
      <c r="AH16" s="69">
        <f t="shared" si="7"/>
        <v>19.494850021680094</v>
      </c>
      <c r="AI16" s="70">
        <f t="shared" si="8"/>
        <v>96.900160911544333</v>
      </c>
      <c r="AJ16" s="70">
        <f t="shared" si="8"/>
        <v>380.04917736780033</v>
      </c>
      <c r="AK16" s="71">
        <f t="shared" si="9"/>
        <v>15.442625072819464</v>
      </c>
      <c r="AL16" s="92" t="str">
        <f t="shared" si="10"/>
        <v>berat</v>
      </c>
    </row>
    <row r="17" spans="1:38" ht="17.25" thickBot="1" x14ac:dyDescent="0.35">
      <c r="A17" s="62">
        <v>10</v>
      </c>
      <c r="B17" s="63" t="s">
        <v>30</v>
      </c>
      <c r="C17" s="63"/>
      <c r="D17" s="87"/>
      <c r="E17" s="88">
        <v>0</v>
      </c>
      <c r="F17" s="89">
        <v>4.84</v>
      </c>
      <c r="G17" s="89">
        <v>12.6</v>
      </c>
      <c r="H17" s="89">
        <v>46.5</v>
      </c>
      <c r="I17" s="89"/>
      <c r="J17" s="98">
        <v>2680000</v>
      </c>
      <c r="K17" s="98">
        <v>151000000</v>
      </c>
      <c r="L17" s="59">
        <v>50</v>
      </c>
      <c r="M17" s="59">
        <v>4</v>
      </c>
      <c r="N17" s="59">
        <v>3</v>
      </c>
      <c r="O17" s="59">
        <v>25</v>
      </c>
      <c r="P17" s="59">
        <v>0.2</v>
      </c>
      <c r="Q17" s="59">
        <v>1000</v>
      </c>
      <c r="R17" s="59">
        <v>5000</v>
      </c>
      <c r="S17" s="7">
        <f t="shared" si="0"/>
        <v>0</v>
      </c>
      <c r="T17" s="7">
        <f t="shared" si="4"/>
        <v>0.18000000000000002</v>
      </c>
      <c r="U17" s="7">
        <f t="shared" si="1"/>
        <v>4.2</v>
      </c>
      <c r="V17" s="7">
        <f t="shared" si="1"/>
        <v>1.86</v>
      </c>
      <c r="W17" s="8">
        <f t="shared" si="1"/>
        <v>0</v>
      </c>
      <c r="X17" s="7">
        <f t="shared" si="1"/>
        <v>2680</v>
      </c>
      <c r="Y17" s="7">
        <f t="shared" si="1"/>
        <v>30200</v>
      </c>
      <c r="Z17" s="9">
        <f>S17</f>
        <v>0</v>
      </c>
      <c r="AA17" s="9">
        <f t="shared" si="2"/>
        <v>0.18000000000000002</v>
      </c>
      <c r="AB17" s="9">
        <f t="shared" si="5"/>
        <v>4.1162464519895021</v>
      </c>
      <c r="AC17" s="9">
        <f t="shared" si="5"/>
        <v>2.3475647210895816</v>
      </c>
      <c r="AD17" s="9">
        <f t="shared" si="2"/>
        <v>0</v>
      </c>
      <c r="AE17" s="9">
        <f t="shared" si="3"/>
        <v>18.140673970143943</v>
      </c>
      <c r="AF17" s="9">
        <f t="shared" si="3"/>
        <v>23.400034714785754</v>
      </c>
      <c r="AG17" s="68">
        <f t="shared" si="6"/>
        <v>6.8835028368583977</v>
      </c>
      <c r="AH17" s="69">
        <f t="shared" si="7"/>
        <v>23.400034714785754</v>
      </c>
      <c r="AI17" s="70">
        <f t="shared" si="8"/>
        <v>47.382611305037607</v>
      </c>
      <c r="AJ17" s="70">
        <f t="shared" si="8"/>
        <v>547.56162465317846</v>
      </c>
      <c r="AK17" s="71">
        <f t="shared" si="9"/>
        <v>17.247380032315284</v>
      </c>
      <c r="AL17" s="92" t="str">
        <f t="shared" si="10"/>
        <v>berat</v>
      </c>
    </row>
    <row r="18" spans="1:38" ht="17.25" thickBot="1" x14ac:dyDescent="0.35">
      <c r="A18" s="62">
        <v>11</v>
      </c>
      <c r="B18" s="63" t="s">
        <v>31</v>
      </c>
      <c r="C18" s="63"/>
      <c r="D18" s="87">
        <v>41031</v>
      </c>
      <c r="E18" s="88">
        <v>239</v>
      </c>
      <c r="F18" s="89">
        <v>1.08</v>
      </c>
      <c r="G18" s="89">
        <v>19.600000000000001</v>
      </c>
      <c r="H18" s="89">
        <v>54.8</v>
      </c>
      <c r="I18" s="89"/>
      <c r="J18" s="98">
        <v>590000</v>
      </c>
      <c r="K18" s="98">
        <v>37000000</v>
      </c>
      <c r="L18" s="59">
        <v>50</v>
      </c>
      <c r="M18" s="59">
        <v>4</v>
      </c>
      <c r="N18" s="59">
        <v>3</v>
      </c>
      <c r="O18" s="59">
        <v>25</v>
      </c>
      <c r="P18" s="59">
        <v>0.2</v>
      </c>
      <c r="Q18" s="59">
        <v>1000</v>
      </c>
      <c r="R18" s="59">
        <v>5000</v>
      </c>
      <c r="S18" s="7">
        <f t="shared" si="0"/>
        <v>4.78</v>
      </c>
      <c r="T18" s="7">
        <f t="shared" si="4"/>
        <v>0.49333333333333335</v>
      </c>
      <c r="U18" s="7">
        <f t="shared" si="1"/>
        <v>6.5333333333333341</v>
      </c>
      <c r="V18" s="7">
        <f t="shared" si="1"/>
        <v>2.1919999999999997</v>
      </c>
      <c r="W18" s="8">
        <f t="shared" si="1"/>
        <v>0</v>
      </c>
      <c r="X18" s="7">
        <f t="shared" si="1"/>
        <v>590</v>
      </c>
      <c r="Y18" s="7">
        <f t="shared" si="1"/>
        <v>7400</v>
      </c>
      <c r="Z18" s="9">
        <f t="shared" si="5"/>
        <v>4.3971394830605943</v>
      </c>
      <c r="AA18" s="9">
        <f t="shared" si="2"/>
        <v>0.49333333333333335</v>
      </c>
      <c r="AB18" s="9">
        <f t="shared" si="5"/>
        <v>5.0756740831840679</v>
      </c>
      <c r="AC18" s="9">
        <f t="shared" si="5"/>
        <v>2.7042027490616576</v>
      </c>
      <c r="AD18" s="9">
        <f t="shared" si="2"/>
        <v>0</v>
      </c>
      <c r="AE18" s="9">
        <f t="shared" si="3"/>
        <v>14.854260058210722</v>
      </c>
      <c r="AF18" s="9">
        <f t="shared" si="3"/>
        <v>20.346158598654881</v>
      </c>
      <c r="AG18" s="68">
        <f t="shared" si="6"/>
        <v>6.8386811865007511</v>
      </c>
      <c r="AH18" s="69">
        <f t="shared" si="7"/>
        <v>20.346158598654881</v>
      </c>
      <c r="AI18" s="70">
        <f t="shared" si="8"/>
        <v>46.76756037059932</v>
      </c>
      <c r="AJ18" s="70">
        <f t="shared" si="8"/>
        <v>413.96616972161797</v>
      </c>
      <c r="AK18" s="71">
        <f t="shared" si="9"/>
        <v>15.177841251182878</v>
      </c>
      <c r="AL18" s="92" t="str">
        <f t="shared" si="10"/>
        <v>berat</v>
      </c>
    </row>
    <row r="19" spans="1:38" ht="17.25" thickBot="1" x14ac:dyDescent="0.35">
      <c r="A19" s="62">
        <v>12</v>
      </c>
      <c r="B19" s="63" t="s">
        <v>32</v>
      </c>
      <c r="C19" s="63"/>
      <c r="D19" s="87">
        <v>41036</v>
      </c>
      <c r="E19" s="88">
        <v>1170</v>
      </c>
      <c r="F19" s="89">
        <v>7.5999999999999998E-2</v>
      </c>
      <c r="G19" s="89">
        <v>26.2</v>
      </c>
      <c r="H19" s="89">
        <v>83.4</v>
      </c>
      <c r="I19" s="89"/>
      <c r="J19" s="98">
        <v>260000</v>
      </c>
      <c r="K19" s="98">
        <v>327000000</v>
      </c>
      <c r="L19" s="59">
        <v>50</v>
      </c>
      <c r="M19" s="59">
        <v>4</v>
      </c>
      <c r="N19" s="59">
        <v>3</v>
      </c>
      <c r="O19" s="59">
        <v>25</v>
      </c>
      <c r="P19" s="59">
        <v>0.2</v>
      </c>
      <c r="Q19" s="59">
        <v>1000</v>
      </c>
      <c r="R19" s="59">
        <v>5000</v>
      </c>
      <c r="S19" s="7">
        <f t="shared" si="0"/>
        <v>23.4</v>
      </c>
      <c r="T19" s="7">
        <f t="shared" si="4"/>
        <v>0.57700000000000007</v>
      </c>
      <c r="U19" s="7">
        <f t="shared" si="1"/>
        <v>8.7333333333333325</v>
      </c>
      <c r="V19" s="7">
        <f t="shared" si="1"/>
        <v>3.3360000000000003</v>
      </c>
      <c r="W19" s="8">
        <f t="shared" si="1"/>
        <v>0</v>
      </c>
      <c r="X19" s="7">
        <f t="shared" si="1"/>
        <v>260</v>
      </c>
      <c r="Y19" s="7">
        <f t="shared" si="1"/>
        <v>65400</v>
      </c>
      <c r="Z19" s="9">
        <f t="shared" si="5"/>
        <v>7.8460792870507134</v>
      </c>
      <c r="AA19" s="9">
        <f t="shared" si="2"/>
        <v>0.57700000000000007</v>
      </c>
      <c r="AB19" s="9">
        <f t="shared" si="5"/>
        <v>5.7059001830004146</v>
      </c>
      <c r="AC19" s="9">
        <f t="shared" si="5"/>
        <v>3.6161302098285057</v>
      </c>
      <c r="AD19" s="9">
        <f t="shared" si="2"/>
        <v>0</v>
      </c>
      <c r="AE19" s="9">
        <f t="shared" si="3"/>
        <v>13.074866739854089</v>
      </c>
      <c r="AF19" s="9">
        <f t="shared" si="3"/>
        <v>25.077888741621337</v>
      </c>
      <c r="AG19" s="68">
        <f t="shared" si="6"/>
        <v>7.985409308765008</v>
      </c>
      <c r="AH19" s="69">
        <f t="shared" si="7"/>
        <v>25.077888741621337</v>
      </c>
      <c r="AI19" s="70">
        <f t="shared" si="8"/>
        <v>63.766761828510845</v>
      </c>
      <c r="AJ19" s="70">
        <f t="shared" si="8"/>
        <v>628.90050373713814</v>
      </c>
      <c r="AK19" s="71">
        <f t="shared" si="9"/>
        <v>18.610041181653106</v>
      </c>
      <c r="AL19" s="92" t="str">
        <f t="shared" si="10"/>
        <v>berat</v>
      </c>
    </row>
    <row r="20" spans="1:38" ht="17.25" thickBot="1" x14ac:dyDescent="0.35">
      <c r="A20" s="62">
        <v>13</v>
      </c>
      <c r="B20" s="63" t="s">
        <v>33</v>
      </c>
      <c r="C20" s="63"/>
      <c r="D20" s="87">
        <v>41031</v>
      </c>
      <c r="E20" s="88">
        <v>244</v>
      </c>
      <c r="F20" s="89">
        <v>5.26</v>
      </c>
      <c r="G20" s="89">
        <v>9.4700000000000006</v>
      </c>
      <c r="H20" s="89">
        <v>24.4</v>
      </c>
      <c r="I20" s="89"/>
      <c r="J20" s="98">
        <v>490000</v>
      </c>
      <c r="K20" s="98">
        <v>770000</v>
      </c>
      <c r="L20" s="59">
        <v>50</v>
      </c>
      <c r="M20" s="59">
        <v>4</v>
      </c>
      <c r="N20" s="59">
        <v>3</v>
      </c>
      <c r="O20" s="59">
        <v>25</v>
      </c>
      <c r="P20" s="59">
        <v>0.2</v>
      </c>
      <c r="Q20" s="59">
        <v>1000</v>
      </c>
      <c r="R20" s="59">
        <v>5000</v>
      </c>
      <c r="S20" s="7">
        <f t="shared" si="0"/>
        <v>4.88</v>
      </c>
      <c r="T20" s="7">
        <f t="shared" si="4"/>
        <v>0.14500000000000002</v>
      </c>
      <c r="U20" s="7">
        <f t="shared" si="1"/>
        <v>3.1566666666666667</v>
      </c>
      <c r="V20" s="7">
        <f t="shared" si="1"/>
        <v>0.97599999999999998</v>
      </c>
      <c r="W20" s="8">
        <f t="shared" si="1"/>
        <v>0</v>
      </c>
      <c r="X20" s="7">
        <f t="shared" si="1"/>
        <v>490</v>
      </c>
      <c r="Y20" s="7">
        <f t="shared" si="1"/>
        <v>154</v>
      </c>
      <c r="Z20" s="9">
        <f t="shared" si="5"/>
        <v>4.4420991100135527</v>
      </c>
      <c r="AA20" s="9">
        <f t="shared" si="2"/>
        <v>0.14500000000000002</v>
      </c>
      <c r="AB20" s="9">
        <f t="shared" si="5"/>
        <v>3.4961436214180548</v>
      </c>
      <c r="AC20" s="9">
        <f t="shared" si="5"/>
        <v>0.947249088333459</v>
      </c>
      <c r="AD20" s="9">
        <f t="shared" si="2"/>
        <v>0</v>
      </c>
      <c r="AE20" s="9">
        <f t="shared" si="3"/>
        <v>14.450980400142569</v>
      </c>
      <c r="AF20" s="9">
        <f t="shared" si="3"/>
        <v>11.937603604182316</v>
      </c>
      <c r="AG20" s="68">
        <f t="shared" si="6"/>
        <v>5.0598679748699933</v>
      </c>
      <c r="AH20" s="69">
        <f t="shared" si="7"/>
        <v>14.450980400142569</v>
      </c>
      <c r="AI20" s="70">
        <f t="shared" si="8"/>
        <v>25.602263923114968</v>
      </c>
      <c r="AJ20" s="70">
        <f t="shared" si="8"/>
        <v>208.83083452530468</v>
      </c>
      <c r="AK20" s="71">
        <f t="shared" si="9"/>
        <v>10.826659190360147</v>
      </c>
      <c r="AL20" s="92" t="str">
        <f t="shared" si="10"/>
        <v>berat</v>
      </c>
    </row>
    <row r="21" spans="1:38" ht="17.25" thickBot="1" x14ac:dyDescent="0.35">
      <c r="A21" s="62">
        <v>14</v>
      </c>
      <c r="B21" s="63" t="s">
        <v>34</v>
      </c>
      <c r="C21" s="63"/>
      <c r="D21" s="87">
        <v>41031</v>
      </c>
      <c r="E21" s="88">
        <v>523</v>
      </c>
      <c r="F21" s="89">
        <v>2.11</v>
      </c>
      <c r="G21" s="89">
        <v>117</v>
      </c>
      <c r="H21" s="89">
        <v>308</v>
      </c>
      <c r="I21" s="89"/>
      <c r="J21" s="98">
        <v>220000</v>
      </c>
      <c r="K21" s="98">
        <v>2320000</v>
      </c>
      <c r="L21" s="59">
        <v>50</v>
      </c>
      <c r="M21" s="59">
        <v>4</v>
      </c>
      <c r="N21" s="59">
        <v>3</v>
      </c>
      <c r="O21" s="59">
        <v>25</v>
      </c>
      <c r="P21" s="59">
        <v>0.2</v>
      </c>
      <c r="Q21" s="59">
        <v>1000</v>
      </c>
      <c r="R21" s="59">
        <v>5000</v>
      </c>
      <c r="S21" s="7">
        <f t="shared" si="0"/>
        <v>10.46</v>
      </c>
      <c r="T21" s="7">
        <f t="shared" si="4"/>
        <v>0.40750000000000003</v>
      </c>
      <c r="U21" s="7">
        <f t="shared" si="1"/>
        <v>39</v>
      </c>
      <c r="V21" s="7">
        <f t="shared" si="1"/>
        <v>12.32</v>
      </c>
      <c r="W21" s="8">
        <f t="shared" si="1"/>
        <v>0</v>
      </c>
      <c r="X21" s="7">
        <f t="shared" si="1"/>
        <v>220</v>
      </c>
      <c r="Y21" s="7">
        <f t="shared" si="1"/>
        <v>464</v>
      </c>
      <c r="Z21" s="9">
        <f t="shared" si="5"/>
        <v>6.0976584226562771</v>
      </c>
      <c r="AA21" s="9">
        <f t="shared" si="2"/>
        <v>0.40750000000000003</v>
      </c>
      <c r="AB21" s="9">
        <f t="shared" si="5"/>
        <v>8.9553230351324959</v>
      </c>
      <c r="AC21" s="9">
        <f t="shared" si="5"/>
        <v>6.4530535391420329</v>
      </c>
      <c r="AD21" s="9">
        <f t="shared" si="2"/>
        <v>0</v>
      </c>
      <c r="AE21" s="9">
        <f t="shared" si="3"/>
        <v>12.712113404111031</v>
      </c>
      <c r="AF21" s="9">
        <f t="shared" si="3"/>
        <v>14.332589902774403</v>
      </c>
      <c r="AG21" s="68">
        <f t="shared" si="6"/>
        <v>6.99403404340232</v>
      </c>
      <c r="AH21" s="69">
        <f t="shared" si="7"/>
        <v>14.332589902774403</v>
      </c>
      <c r="AI21" s="70">
        <f t="shared" si="8"/>
        <v>48.916512200270603</v>
      </c>
      <c r="AJ21" s="70">
        <f t="shared" si="8"/>
        <v>205.42313332111078</v>
      </c>
      <c r="AK21" s="71">
        <f t="shared" si="9"/>
        <v>11.276959819059865</v>
      </c>
      <c r="AL21" s="92" t="str">
        <f t="shared" si="10"/>
        <v>berat</v>
      </c>
    </row>
    <row r="22" spans="1:38" ht="16.5" x14ac:dyDescent="0.3">
      <c r="A22" s="62">
        <v>15</v>
      </c>
      <c r="B22" s="63" t="s">
        <v>35</v>
      </c>
      <c r="C22" s="63"/>
      <c r="D22" s="87">
        <v>41037</v>
      </c>
      <c r="E22" s="88">
        <v>1260</v>
      </c>
      <c r="F22" s="89">
        <v>0</v>
      </c>
      <c r="G22" s="89">
        <v>126</v>
      </c>
      <c r="H22" s="89">
        <v>380</v>
      </c>
      <c r="I22" s="89"/>
      <c r="J22" s="98">
        <v>500</v>
      </c>
      <c r="K22" s="98">
        <v>3000000</v>
      </c>
      <c r="L22" s="59">
        <v>50</v>
      </c>
      <c r="M22" s="59">
        <v>4</v>
      </c>
      <c r="N22" s="59">
        <v>3</v>
      </c>
      <c r="O22" s="59">
        <v>25</v>
      </c>
      <c r="P22" s="59">
        <v>0.2</v>
      </c>
      <c r="Q22" s="59">
        <v>1000</v>
      </c>
      <c r="R22" s="59">
        <v>5000</v>
      </c>
      <c r="S22" s="7">
        <f t="shared" si="0"/>
        <v>25.2</v>
      </c>
      <c r="T22" s="7">
        <f>((7-F22)/(7-M22))/M22</f>
        <v>0.58333333333333337</v>
      </c>
      <c r="U22" s="7">
        <f t="shared" si="1"/>
        <v>42</v>
      </c>
      <c r="V22" s="7">
        <f t="shared" si="1"/>
        <v>15.2</v>
      </c>
      <c r="W22" s="8">
        <f t="shared" si="1"/>
        <v>0</v>
      </c>
      <c r="X22" s="7">
        <f t="shared" si="1"/>
        <v>0.5</v>
      </c>
      <c r="Y22" s="7">
        <f t="shared" si="1"/>
        <v>600</v>
      </c>
      <c r="Z22" s="9">
        <f t="shared" si="5"/>
        <v>8.0070027039077214</v>
      </c>
      <c r="AA22" s="9">
        <f t="shared" si="2"/>
        <v>0.58333333333333337</v>
      </c>
      <c r="AB22" s="9">
        <f t="shared" si="5"/>
        <v>9.1162464519895021</v>
      </c>
      <c r="AC22" s="9">
        <f t="shared" si="5"/>
        <v>6.9092179397238631</v>
      </c>
      <c r="AD22" s="9">
        <f t="shared" si="2"/>
        <v>0</v>
      </c>
      <c r="AE22" s="9">
        <f>X22</f>
        <v>0.5</v>
      </c>
      <c r="AF22" s="9">
        <f t="shared" si="3"/>
        <v>14.890756251918218</v>
      </c>
      <c r="AG22" s="68">
        <f t="shared" si="6"/>
        <v>5.7152223829818052</v>
      </c>
      <c r="AH22" s="69">
        <f t="shared" si="7"/>
        <v>14.890756251918218</v>
      </c>
      <c r="AI22" s="70">
        <f t="shared" si="8"/>
        <v>32.663766886936223</v>
      </c>
      <c r="AJ22" s="70">
        <f t="shared" si="8"/>
        <v>221.73462175404148</v>
      </c>
      <c r="AK22" s="71">
        <f t="shared" si="9"/>
        <v>11.278262025706304</v>
      </c>
      <c r="AL22" s="92" t="str">
        <f t="shared" si="10"/>
        <v>berat</v>
      </c>
    </row>
    <row r="24" spans="1:38" x14ac:dyDescent="0.25">
      <c r="A24" s="53" t="s">
        <v>36</v>
      </c>
    </row>
    <row r="25" spans="1:38" x14ac:dyDescent="0.25">
      <c r="A25" s="77" t="s">
        <v>37</v>
      </c>
      <c r="B25" s="53" t="s">
        <v>38</v>
      </c>
    </row>
    <row r="26" spans="1:38" x14ac:dyDescent="0.25">
      <c r="A26" s="77" t="s">
        <v>39</v>
      </c>
      <c r="B26" s="53" t="s">
        <v>40</v>
      </c>
    </row>
    <row r="28" spans="1:38" ht="16.5" x14ac:dyDescent="0.3">
      <c r="A28" s="77" t="s">
        <v>41</v>
      </c>
      <c r="B28" s="78" t="s">
        <v>42</v>
      </c>
      <c r="D28" s="79"/>
    </row>
    <row r="29" spans="1:38" ht="16.5" x14ac:dyDescent="0.3">
      <c r="B29" s="80" t="s">
        <v>43</v>
      </c>
      <c r="C29" s="81" t="s">
        <v>44</v>
      </c>
      <c r="D29" s="81" t="s">
        <v>45</v>
      </c>
      <c r="E29" s="81" t="s">
        <v>46</v>
      </c>
      <c r="F29" s="31" t="s">
        <v>47</v>
      </c>
    </row>
    <row r="30" spans="1:38" x14ac:dyDescent="0.25">
      <c r="B30" s="62" t="s">
        <v>48</v>
      </c>
      <c r="C30" s="62">
        <v>0</v>
      </c>
      <c r="D30" s="32">
        <f>C30/C34</f>
        <v>0</v>
      </c>
      <c r="E30" s="62">
        <v>70</v>
      </c>
      <c r="F30" s="33">
        <f>E30*D30</f>
        <v>0</v>
      </c>
    </row>
    <row r="31" spans="1:38" x14ac:dyDescent="0.25">
      <c r="B31" s="62" t="s">
        <v>49</v>
      </c>
      <c r="C31" s="62">
        <v>0</v>
      </c>
      <c r="D31" s="32">
        <f>C31/C34</f>
        <v>0</v>
      </c>
      <c r="E31" s="62">
        <v>50</v>
      </c>
      <c r="F31" s="33">
        <f>D31*E31</f>
        <v>0</v>
      </c>
    </row>
    <row r="32" spans="1:38" x14ac:dyDescent="0.25">
      <c r="B32" s="62" t="s">
        <v>50</v>
      </c>
      <c r="C32" s="62">
        <v>1</v>
      </c>
      <c r="D32" s="32">
        <f>C32/C34</f>
        <v>6.6666666666666666E-2</v>
      </c>
      <c r="E32" s="62">
        <v>30</v>
      </c>
      <c r="F32" s="33">
        <f>E32*D32</f>
        <v>2</v>
      </c>
    </row>
    <row r="33" spans="2:10" x14ac:dyDescent="0.25">
      <c r="B33" s="62" t="s">
        <v>51</v>
      </c>
      <c r="C33" s="62">
        <v>14</v>
      </c>
      <c r="D33" s="32">
        <f>C33/C34</f>
        <v>0.93333333333333335</v>
      </c>
      <c r="E33" s="62">
        <v>10</v>
      </c>
      <c r="F33" s="33">
        <f>E33*D33</f>
        <v>9.3333333333333339</v>
      </c>
    </row>
    <row r="34" spans="2:10" x14ac:dyDescent="0.25">
      <c r="B34" s="62"/>
      <c r="C34" s="62">
        <f>SUM(C30:C33)</f>
        <v>15</v>
      </c>
      <c r="D34" s="82"/>
      <c r="E34" s="62"/>
      <c r="F34" s="35"/>
    </row>
    <row r="35" spans="2:10" x14ac:dyDescent="0.25">
      <c r="B35" s="84" t="s">
        <v>52</v>
      </c>
      <c r="C35" s="85"/>
      <c r="D35" s="85"/>
      <c r="E35" s="85"/>
      <c r="F35" s="38">
        <f>SUM(F30:F34)</f>
        <v>11.333333333333334</v>
      </c>
    </row>
    <row r="37" spans="2:10" x14ac:dyDescent="0.25">
      <c r="J37"/>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50"/>
  <sheetViews>
    <sheetView view="pageBreakPreview" topLeftCell="B1" zoomScale="158" zoomScaleSheetLayoutView="80" workbookViewId="0">
      <selection activeCell="D30" sqref="D30"/>
    </sheetView>
  </sheetViews>
  <sheetFormatPr defaultColWidth="9.140625" defaultRowHeight="15" x14ac:dyDescent="0.25"/>
  <cols>
    <col min="1" max="2" width="9.140625" style="39"/>
    <col min="3" max="3" width="17.28515625" style="39" customWidth="1"/>
    <col min="4" max="4" width="19.42578125" style="39" customWidth="1"/>
    <col min="5" max="5" width="17.28515625" style="39" bestFit="1" customWidth="1"/>
    <col min="6" max="6" width="10.7109375" style="39" bestFit="1" customWidth="1"/>
    <col min="7" max="7" width="11.28515625" style="39" bestFit="1" customWidth="1"/>
    <col min="8" max="8" width="11.140625" style="39" bestFit="1" customWidth="1"/>
    <col min="9" max="9" width="13.140625" style="39" customWidth="1"/>
    <col min="10" max="10" width="43.28515625" style="39" customWidth="1"/>
    <col min="11" max="11" width="23" style="39" customWidth="1"/>
    <col min="12" max="16384" width="9.140625" style="39"/>
  </cols>
  <sheetData>
    <row r="1" spans="1:12" ht="34.5" x14ac:dyDescent="0.35">
      <c r="A1" s="506" t="s">
        <v>4</v>
      </c>
      <c r="B1" s="506" t="s">
        <v>90</v>
      </c>
      <c r="C1" s="506" t="s">
        <v>89</v>
      </c>
      <c r="D1" s="507" t="s">
        <v>88</v>
      </c>
      <c r="E1" s="51" t="s">
        <v>87</v>
      </c>
      <c r="F1" s="51" t="s">
        <v>86</v>
      </c>
      <c r="G1" s="51" t="s">
        <v>85</v>
      </c>
      <c r="H1" s="52" t="s">
        <v>84</v>
      </c>
      <c r="I1" s="51" t="s">
        <v>83</v>
      </c>
      <c r="J1" s="51" t="s">
        <v>82</v>
      </c>
      <c r="K1" s="51" t="s">
        <v>81</v>
      </c>
      <c r="L1" s="50" t="s">
        <v>80</v>
      </c>
    </row>
    <row r="2" spans="1:12" ht="39.75" customHeight="1" x14ac:dyDescent="0.3">
      <c r="A2" s="506"/>
      <c r="B2" s="506"/>
      <c r="C2" s="506"/>
      <c r="D2" s="507"/>
      <c r="E2" s="48" t="s">
        <v>79</v>
      </c>
      <c r="F2" s="48" t="s">
        <v>79</v>
      </c>
      <c r="G2" s="48" t="s">
        <v>79</v>
      </c>
      <c r="H2" s="49" t="s">
        <v>79</v>
      </c>
      <c r="I2" s="48" t="s">
        <v>79</v>
      </c>
      <c r="J2" s="48" t="s">
        <v>79</v>
      </c>
      <c r="K2" s="47" t="s">
        <v>78</v>
      </c>
      <c r="L2" s="46" t="s">
        <v>78</v>
      </c>
    </row>
    <row r="3" spans="1:12" ht="16.5" x14ac:dyDescent="0.3">
      <c r="A3" s="508">
        <v>1</v>
      </c>
      <c r="B3" s="509" t="s">
        <v>77</v>
      </c>
      <c r="C3" s="509" t="s">
        <v>76</v>
      </c>
      <c r="D3" s="42" t="s">
        <v>75</v>
      </c>
      <c r="E3" s="41">
        <v>9.86</v>
      </c>
      <c r="F3" s="41"/>
      <c r="G3" s="41"/>
      <c r="H3" s="41"/>
      <c r="I3" s="45">
        <f>AVERAGE(E3:E10)</f>
        <v>21.550625000000004</v>
      </c>
      <c r="J3" s="45"/>
      <c r="K3" s="44">
        <f>((I3/20)+(J3/40))/2</f>
        <v>0.53876562500000014</v>
      </c>
      <c r="L3" s="43">
        <f>100-(50/0.9*(K3-0.1))</f>
        <v>75.624131944444429</v>
      </c>
    </row>
    <row r="4" spans="1:12" ht="16.5" x14ac:dyDescent="0.3">
      <c r="A4" s="508"/>
      <c r="B4" s="509"/>
      <c r="C4" s="509"/>
      <c r="D4" s="42" t="s">
        <v>74</v>
      </c>
      <c r="E4" s="41">
        <f>(57.92+95.77)/2</f>
        <v>76.844999999999999</v>
      </c>
      <c r="F4" s="41"/>
      <c r="G4" s="41"/>
      <c r="H4" s="41"/>
      <c r="I4" s="505"/>
      <c r="J4" s="505"/>
      <c r="K4" s="505"/>
      <c r="L4" s="505"/>
    </row>
    <row r="5" spans="1:12" ht="16.5" x14ac:dyDescent="0.3">
      <c r="A5" s="508"/>
      <c r="B5" s="509"/>
      <c r="C5" s="509"/>
      <c r="D5" s="42" t="s">
        <v>73</v>
      </c>
      <c r="E5" s="41">
        <v>16.7</v>
      </c>
      <c r="F5" s="41"/>
      <c r="G5" s="41"/>
      <c r="H5" s="41"/>
      <c r="I5" s="505"/>
      <c r="J5" s="505"/>
      <c r="K5" s="505"/>
      <c r="L5" s="505"/>
    </row>
    <row r="6" spans="1:12" ht="16.5" x14ac:dyDescent="0.3">
      <c r="A6" s="508"/>
      <c r="B6" s="509"/>
      <c r="C6" s="509"/>
      <c r="D6" s="42" t="s">
        <v>72</v>
      </c>
      <c r="E6" s="41">
        <v>44.24</v>
      </c>
      <c r="F6" s="41"/>
      <c r="G6" s="41"/>
      <c r="H6" s="41"/>
      <c r="I6" s="505"/>
      <c r="J6" s="505"/>
      <c r="K6" s="505"/>
      <c r="L6" s="505"/>
    </row>
    <row r="7" spans="1:12" ht="16.5" x14ac:dyDescent="0.3">
      <c r="A7" s="508"/>
      <c r="B7" s="509"/>
      <c r="C7" s="509"/>
      <c r="D7" s="42" t="s">
        <v>71</v>
      </c>
      <c r="E7" s="41">
        <f>(3.55+2.19)/2</f>
        <v>2.87</v>
      </c>
      <c r="F7" s="41"/>
      <c r="G7" s="41"/>
      <c r="H7" s="41"/>
      <c r="I7" s="505"/>
      <c r="J7" s="505"/>
      <c r="K7" s="505"/>
      <c r="L7" s="505"/>
    </row>
    <row r="8" spans="1:12" ht="16.5" x14ac:dyDescent="0.3">
      <c r="A8" s="508"/>
      <c r="B8" s="509"/>
      <c r="C8" s="509"/>
      <c r="D8" s="42" t="s">
        <v>70</v>
      </c>
      <c r="E8" s="41">
        <v>5.27</v>
      </c>
      <c r="F8" s="41"/>
      <c r="G8" s="41"/>
      <c r="H8" s="41"/>
      <c r="I8" s="505"/>
      <c r="J8" s="505"/>
      <c r="K8" s="505"/>
      <c r="L8" s="505"/>
    </row>
    <row r="9" spans="1:12" ht="33" x14ac:dyDescent="0.3">
      <c r="A9" s="508"/>
      <c r="B9" s="509"/>
      <c r="C9" s="509"/>
      <c r="D9" s="42" t="s">
        <v>69</v>
      </c>
      <c r="E9" s="41">
        <v>6.4</v>
      </c>
      <c r="F9" s="41"/>
      <c r="G9" s="41"/>
      <c r="H9" s="41"/>
      <c r="I9" s="505"/>
      <c r="J9" s="505"/>
      <c r="K9" s="505"/>
      <c r="L9" s="505"/>
    </row>
    <row r="10" spans="1:12" ht="16.5" x14ac:dyDescent="0.3">
      <c r="A10" s="508"/>
      <c r="B10" s="509"/>
      <c r="C10" s="509"/>
      <c r="D10" s="42" t="s">
        <v>68</v>
      </c>
      <c r="E10" s="41">
        <v>10.220000000000001</v>
      </c>
      <c r="F10" s="41"/>
      <c r="G10" s="41"/>
      <c r="H10" s="41"/>
      <c r="I10" s="505"/>
      <c r="J10" s="505"/>
      <c r="K10" s="505"/>
      <c r="L10" s="505"/>
    </row>
    <row r="11" spans="1:12" ht="16.5" x14ac:dyDescent="0.3">
      <c r="A11" s="40"/>
      <c r="B11" s="40"/>
      <c r="C11" s="40"/>
      <c r="D11" s="40"/>
      <c r="E11" s="40"/>
      <c r="F11" s="40"/>
      <c r="G11" s="40"/>
      <c r="H11" s="40"/>
    </row>
    <row r="12" spans="1:12" ht="16.5" x14ac:dyDescent="0.3">
      <c r="A12" s="40"/>
      <c r="B12" s="40"/>
      <c r="C12" s="40"/>
      <c r="D12" s="40"/>
      <c r="E12" s="40"/>
      <c r="F12" s="40"/>
      <c r="G12" s="40"/>
      <c r="H12" s="40"/>
    </row>
    <row r="13" spans="1:12" ht="16.5" x14ac:dyDescent="0.3">
      <c r="A13" s="40"/>
      <c r="B13" s="40"/>
      <c r="C13" s="40"/>
      <c r="D13" s="40"/>
      <c r="E13" s="40"/>
      <c r="F13" s="40"/>
      <c r="G13" s="40"/>
      <c r="H13" s="40"/>
    </row>
    <row r="14" spans="1:12" x14ac:dyDescent="0.25">
      <c r="H14" s="39">
        <f>(G4+H4)/2</f>
        <v>0</v>
      </c>
    </row>
    <row r="17" spans="2:5" x14ac:dyDescent="0.25">
      <c r="B17" s="39" t="s">
        <v>67</v>
      </c>
    </row>
    <row r="18" spans="2:5" x14ac:dyDescent="0.25">
      <c r="B18" s="39" t="s">
        <v>64</v>
      </c>
      <c r="C18" s="39" t="s">
        <v>63</v>
      </c>
      <c r="D18" s="39" t="s">
        <v>66</v>
      </c>
      <c r="E18" s="39" t="s">
        <v>20</v>
      </c>
    </row>
    <row r="19" spans="2:5" x14ac:dyDescent="0.25">
      <c r="B19" s="39">
        <v>1</v>
      </c>
      <c r="C19" s="39" t="s">
        <v>21</v>
      </c>
      <c r="D19" s="39">
        <v>-21</v>
      </c>
      <c r="E19" s="39" t="s">
        <v>58</v>
      </c>
    </row>
    <row r="20" spans="2:5" x14ac:dyDescent="0.25">
      <c r="B20" s="39">
        <v>2</v>
      </c>
      <c r="C20" s="39" t="s">
        <v>61</v>
      </c>
      <c r="D20" s="39">
        <v>-21</v>
      </c>
      <c r="E20" s="39" t="s">
        <v>58</v>
      </c>
    </row>
    <row r="21" spans="2:5" x14ac:dyDescent="0.25">
      <c r="B21" s="39">
        <v>3</v>
      </c>
      <c r="C21" s="39" t="s">
        <v>60</v>
      </c>
      <c r="D21" s="39">
        <v>-36</v>
      </c>
      <c r="E21" s="39" t="s">
        <v>53</v>
      </c>
    </row>
    <row r="22" spans="2:5" x14ac:dyDescent="0.25">
      <c r="B22" s="39">
        <v>4</v>
      </c>
      <c r="C22" s="39" t="s">
        <v>30</v>
      </c>
      <c r="D22" s="39">
        <v>-48</v>
      </c>
      <c r="E22" s="39" t="s">
        <v>53</v>
      </c>
    </row>
    <row r="23" spans="2:5" x14ac:dyDescent="0.25">
      <c r="B23" s="39">
        <v>5</v>
      </c>
      <c r="C23" s="39" t="s">
        <v>31</v>
      </c>
      <c r="D23" s="39">
        <v>-48</v>
      </c>
      <c r="E23" s="39" t="s">
        <v>53</v>
      </c>
    </row>
    <row r="24" spans="2:5" x14ac:dyDescent="0.25">
      <c r="B24" s="39">
        <v>6</v>
      </c>
      <c r="C24" s="39" t="s">
        <v>32</v>
      </c>
      <c r="D24" s="39">
        <v>-54</v>
      </c>
      <c r="E24" s="39" t="s">
        <v>53</v>
      </c>
    </row>
    <row r="25" spans="2:5" x14ac:dyDescent="0.25">
      <c r="B25" s="39">
        <v>7</v>
      </c>
      <c r="C25" s="39" t="s">
        <v>24</v>
      </c>
      <c r="D25" s="39">
        <v>-36</v>
      </c>
      <c r="E25" s="39" t="s">
        <v>53</v>
      </c>
    </row>
    <row r="26" spans="2:5" x14ac:dyDescent="0.25">
      <c r="B26" s="39">
        <v>8</v>
      </c>
      <c r="C26" s="39" t="s">
        <v>65</v>
      </c>
      <c r="D26" s="39">
        <v>-51</v>
      </c>
      <c r="E26" s="39" t="s">
        <v>53</v>
      </c>
    </row>
    <row r="27" spans="2:5" x14ac:dyDescent="0.25">
      <c r="B27" s="39">
        <v>9</v>
      </c>
      <c r="C27" s="39" t="s">
        <v>26</v>
      </c>
      <c r="D27" s="39">
        <v>-60</v>
      </c>
      <c r="E27" s="39" t="s">
        <v>53</v>
      </c>
    </row>
    <row r="28" spans="2:5" x14ac:dyDescent="0.25">
      <c r="B28" s="39">
        <v>10</v>
      </c>
      <c r="C28" s="39" t="s">
        <v>33</v>
      </c>
      <c r="E28" s="39" t="s">
        <v>53</v>
      </c>
    </row>
    <row r="29" spans="2:5" x14ac:dyDescent="0.25">
      <c r="B29" s="39">
        <v>11</v>
      </c>
      <c r="C29" s="39" t="s">
        <v>34</v>
      </c>
      <c r="D29" s="39">
        <v>-51</v>
      </c>
      <c r="E29" s="39" t="s">
        <v>53</v>
      </c>
    </row>
    <row r="30" spans="2:5" x14ac:dyDescent="0.25">
      <c r="B30" s="39">
        <v>12</v>
      </c>
      <c r="C30" s="39" t="s">
        <v>54</v>
      </c>
      <c r="D30" s="39">
        <v>-54</v>
      </c>
      <c r="E30" s="39" t="s">
        <v>53</v>
      </c>
    </row>
    <row r="31" spans="2:5" x14ac:dyDescent="0.25">
      <c r="B31" s="39">
        <v>13</v>
      </c>
      <c r="C31" s="39" t="s">
        <v>27</v>
      </c>
      <c r="D31" s="39">
        <v>-51</v>
      </c>
      <c r="E31" s="39" t="s">
        <v>53</v>
      </c>
    </row>
    <row r="32" spans="2:5" x14ac:dyDescent="0.25">
      <c r="B32" s="39">
        <v>14</v>
      </c>
      <c r="C32" s="39" t="s">
        <v>28</v>
      </c>
      <c r="D32" s="39">
        <v>-45</v>
      </c>
      <c r="E32" s="39" t="s">
        <v>53</v>
      </c>
    </row>
    <row r="33" spans="2:5" x14ac:dyDescent="0.25">
      <c r="B33" s="39">
        <v>15</v>
      </c>
      <c r="C33" s="39" t="s">
        <v>29</v>
      </c>
      <c r="D33" s="39">
        <v>-36</v>
      </c>
      <c r="E33" s="39" t="s">
        <v>53</v>
      </c>
    </row>
    <row r="35" spans="2:5" x14ac:dyDescent="0.25">
      <c r="B35" s="39" t="s">
        <v>64</v>
      </c>
      <c r="C35" s="39" t="s">
        <v>63</v>
      </c>
      <c r="D35" s="39" t="s">
        <v>62</v>
      </c>
      <c r="E35" s="39" t="s">
        <v>20</v>
      </c>
    </row>
    <row r="36" spans="2:5" x14ac:dyDescent="0.25">
      <c r="B36" s="39">
        <v>1</v>
      </c>
      <c r="C36" s="39" t="s">
        <v>21</v>
      </c>
      <c r="D36" s="39">
        <v>1.5534067121083071</v>
      </c>
      <c r="E36" s="39" t="s">
        <v>55</v>
      </c>
    </row>
    <row r="37" spans="2:5" x14ac:dyDescent="0.25">
      <c r="B37" s="39">
        <v>2</v>
      </c>
      <c r="C37" s="39" t="s">
        <v>61</v>
      </c>
      <c r="D37" s="39">
        <v>3.193255044621397</v>
      </c>
      <c r="E37" s="39" t="s">
        <v>55</v>
      </c>
    </row>
    <row r="38" spans="2:5" x14ac:dyDescent="0.25">
      <c r="B38" s="39">
        <v>3</v>
      </c>
      <c r="C38" s="39" t="s">
        <v>60</v>
      </c>
      <c r="D38" s="39">
        <v>130.81780551275889</v>
      </c>
      <c r="E38" s="39" t="s">
        <v>53</v>
      </c>
    </row>
    <row r="39" spans="2:5" x14ac:dyDescent="0.25">
      <c r="B39" s="39">
        <v>4</v>
      </c>
      <c r="C39" s="39" t="s">
        <v>30</v>
      </c>
      <c r="D39" s="39">
        <v>13.207565114489205</v>
      </c>
      <c r="E39" s="39" t="s">
        <v>53</v>
      </c>
    </row>
    <row r="40" spans="2:5" x14ac:dyDescent="0.25">
      <c r="B40" s="39">
        <v>5</v>
      </c>
      <c r="C40" s="39" t="s">
        <v>31</v>
      </c>
      <c r="D40" s="39">
        <v>130.64535341165239</v>
      </c>
      <c r="E40" s="39" t="s">
        <v>53</v>
      </c>
    </row>
    <row r="41" spans="2:5" x14ac:dyDescent="0.25">
      <c r="B41" s="39">
        <v>6</v>
      </c>
      <c r="C41" s="39" t="s">
        <v>32</v>
      </c>
      <c r="D41" s="39">
        <v>130.86717160156678</v>
      </c>
      <c r="E41" s="39" t="s">
        <v>53</v>
      </c>
    </row>
    <row r="42" spans="2:5" x14ac:dyDescent="0.25">
      <c r="B42" s="39">
        <v>7</v>
      </c>
      <c r="C42" s="39" t="s">
        <v>59</v>
      </c>
      <c r="D42" s="39">
        <v>5.0009579252518108</v>
      </c>
      <c r="E42" s="39" t="s">
        <v>58</v>
      </c>
    </row>
    <row r="43" spans="2:5" x14ac:dyDescent="0.25">
      <c r="B43" s="39">
        <v>8</v>
      </c>
      <c r="C43" s="39" t="s">
        <v>57</v>
      </c>
      <c r="D43" s="39">
        <v>13.521459066286079</v>
      </c>
      <c r="E43" s="39" t="s">
        <v>53</v>
      </c>
    </row>
    <row r="44" spans="2:5" x14ac:dyDescent="0.25">
      <c r="B44" s="39">
        <v>9</v>
      </c>
      <c r="C44" s="39" t="s">
        <v>56</v>
      </c>
      <c r="D44" s="39">
        <v>280.86230240218975</v>
      </c>
      <c r="E44" s="39" t="s">
        <v>53</v>
      </c>
    </row>
    <row r="45" spans="2:5" x14ac:dyDescent="0.25">
      <c r="B45" s="39">
        <v>10</v>
      </c>
      <c r="C45" s="39" t="s">
        <v>33</v>
      </c>
      <c r="D45" s="39">
        <v>4.9547042979188891</v>
      </c>
      <c r="E45" s="39" t="s">
        <v>55</v>
      </c>
    </row>
    <row r="46" spans="2:5" x14ac:dyDescent="0.25">
      <c r="B46" s="39">
        <v>11</v>
      </c>
      <c r="C46" s="39" t="s">
        <v>34</v>
      </c>
      <c r="D46" s="39">
        <v>281.02586144487987</v>
      </c>
      <c r="E46" s="39" t="s">
        <v>53</v>
      </c>
    </row>
    <row r="47" spans="2:5" x14ac:dyDescent="0.25">
      <c r="B47" s="39">
        <v>12</v>
      </c>
      <c r="C47" s="39" t="s">
        <v>54</v>
      </c>
      <c r="D47" s="39">
        <v>351.36250577374619</v>
      </c>
      <c r="E47" s="39" t="s">
        <v>53</v>
      </c>
    </row>
    <row r="48" spans="2:5" x14ac:dyDescent="0.25">
      <c r="B48" s="39">
        <v>13</v>
      </c>
      <c r="C48" s="39" t="s">
        <v>27</v>
      </c>
      <c r="D48" s="39">
        <v>13.22195314156988</v>
      </c>
      <c r="E48" s="39" t="s">
        <v>53</v>
      </c>
    </row>
    <row r="49" spans="2:5" x14ac:dyDescent="0.25">
      <c r="B49" s="39">
        <v>14</v>
      </c>
      <c r="C49" s="39" t="s">
        <v>28</v>
      </c>
      <c r="D49" s="39">
        <v>22.302861675746211</v>
      </c>
      <c r="E49" s="39" t="s">
        <v>53</v>
      </c>
    </row>
    <row r="50" spans="2:5" x14ac:dyDescent="0.25">
      <c r="B50" s="39">
        <v>15</v>
      </c>
      <c r="C50" s="39" t="s">
        <v>29</v>
      </c>
      <c r="D50" s="39">
        <v>28.141726608196358</v>
      </c>
      <c r="E50" s="39" t="s">
        <v>53</v>
      </c>
    </row>
  </sheetData>
  <mergeCells count="8">
    <mergeCell ref="I4:L10"/>
    <mergeCell ref="A1:A2"/>
    <mergeCell ref="B1:B2"/>
    <mergeCell ref="C1:C2"/>
    <mergeCell ref="D1:D2"/>
    <mergeCell ref="A3:A10"/>
    <mergeCell ref="B3:B10"/>
    <mergeCell ref="C3:C10"/>
  </mergeCells>
  <pageMargins left="0.7" right="0.7" top="0.75" bottom="0.75" header="0.3" footer="0.3"/>
  <pageSetup paperSize="9" scale="5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L35"/>
  <sheetViews>
    <sheetView topLeftCell="A4" zoomScale="170" zoomScaleNormal="115" workbookViewId="0">
      <pane ySplit="4" topLeftCell="A8" activePane="bottomLeft" state="frozen"/>
      <selection activeCell="O29" sqref="O29"/>
      <selection pane="bottomLeft" activeCell="E8" sqref="E8"/>
    </sheetView>
  </sheetViews>
  <sheetFormatPr defaultColWidth="9.140625" defaultRowHeight="15" x14ac:dyDescent="0.25"/>
  <cols>
    <col min="1" max="1" width="4.140625" style="53" bestFit="1" customWidth="1"/>
    <col min="2" max="2" width="38.28515625" style="53" customWidth="1"/>
    <col min="3" max="3" width="21.28515625" style="53" customWidth="1"/>
    <col min="4" max="4" width="14.140625" style="53" customWidth="1"/>
    <col min="5" max="5" width="9.140625" style="53"/>
    <col min="6" max="6" width="10.140625" style="53" customWidth="1"/>
    <col min="7" max="10" width="9.140625" style="53"/>
    <col min="11" max="11" width="10" style="53" bestFit="1" customWidth="1"/>
    <col min="12" max="12" width="4.42578125" style="53" bestFit="1" customWidth="1"/>
    <col min="13" max="13" width="3.7109375" style="53" bestFit="1" customWidth="1"/>
    <col min="14" max="14" width="4.7109375" style="53" bestFit="1" customWidth="1"/>
    <col min="15" max="15" width="5" style="53" bestFit="1" customWidth="1"/>
    <col min="16" max="16" width="5.7109375" style="53" bestFit="1" customWidth="1"/>
    <col min="17" max="17" width="9.140625" style="53" bestFit="1" customWidth="1"/>
    <col min="18" max="18" width="7.7109375" style="53" bestFit="1" customWidth="1"/>
    <col min="19" max="19" width="6.28515625" style="53" bestFit="1" customWidth="1"/>
    <col min="20" max="20" width="6" style="53" bestFit="1" customWidth="1"/>
    <col min="21" max="22" width="6.28515625" style="53" bestFit="1" customWidth="1"/>
    <col min="23" max="23" width="8.28515625" style="53" bestFit="1" customWidth="1"/>
    <col min="24" max="24" width="8.7109375" style="53" bestFit="1" customWidth="1"/>
    <col min="25" max="25" width="9.7109375" style="53" bestFit="1" customWidth="1"/>
    <col min="26" max="26" width="6.28515625" style="53" bestFit="1" customWidth="1"/>
    <col min="27" max="27" width="6" style="53" bestFit="1" customWidth="1"/>
    <col min="28" max="30" width="6.28515625" style="53" bestFit="1" customWidth="1"/>
    <col min="31" max="31" width="8.7109375" style="53" bestFit="1" customWidth="1"/>
    <col min="32" max="32" width="7.7109375" style="53" bestFit="1" customWidth="1"/>
    <col min="33" max="35" width="9.140625" style="53"/>
    <col min="36" max="36" width="10.42578125" style="53" bestFit="1" customWidth="1"/>
    <col min="37" max="37" width="9.140625" style="53"/>
    <col min="38" max="38" width="10.7109375" style="53" bestFit="1" customWidth="1"/>
    <col min="39" max="16384" width="9.140625" style="53"/>
  </cols>
  <sheetData>
    <row r="1" spans="1:38" x14ac:dyDescent="0.25">
      <c r="B1" s="54" t="s">
        <v>0</v>
      </c>
    </row>
    <row r="3" spans="1:38" x14ac:dyDescent="0.25">
      <c r="B3" s="54" t="s">
        <v>1</v>
      </c>
    </row>
    <row r="4" spans="1:38" x14ac:dyDescent="0.25">
      <c r="B4" s="54" t="s">
        <v>2</v>
      </c>
    </row>
    <row r="6" spans="1:38" x14ac:dyDescent="0.25">
      <c r="B6" s="54" t="s">
        <v>3</v>
      </c>
    </row>
    <row r="7" spans="1:38" ht="33.75" thickBot="1" x14ac:dyDescent="0.3">
      <c r="A7" s="56" t="s">
        <v>4</v>
      </c>
      <c r="B7" s="57" t="s">
        <v>5</v>
      </c>
      <c r="C7" s="57" t="s">
        <v>6</v>
      </c>
      <c r="D7" s="57" t="s">
        <v>7</v>
      </c>
      <c r="E7" s="58" t="s">
        <v>8</v>
      </c>
      <c r="F7" s="58" t="s">
        <v>9</v>
      </c>
      <c r="G7" s="58" t="s">
        <v>10</v>
      </c>
      <c r="H7" s="58" t="s">
        <v>11</v>
      </c>
      <c r="I7" s="58" t="s">
        <v>12</v>
      </c>
      <c r="J7" s="58" t="s">
        <v>13</v>
      </c>
      <c r="K7" s="58" t="s">
        <v>14</v>
      </c>
      <c r="L7" s="59" t="s">
        <v>8</v>
      </c>
      <c r="M7" s="59" t="s">
        <v>9</v>
      </c>
      <c r="N7" s="59" t="s">
        <v>10</v>
      </c>
      <c r="O7" s="59" t="s">
        <v>11</v>
      </c>
      <c r="P7" s="59" t="s">
        <v>12</v>
      </c>
      <c r="Q7" s="59" t="s">
        <v>13</v>
      </c>
      <c r="R7" s="59"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60" t="s">
        <v>15</v>
      </c>
      <c r="AH7" s="60" t="s">
        <v>16</v>
      </c>
      <c r="AI7" s="60" t="s">
        <v>17</v>
      </c>
      <c r="AJ7" s="60" t="s">
        <v>18</v>
      </c>
      <c r="AK7" s="60" t="s">
        <v>19</v>
      </c>
      <c r="AL7" s="61" t="s">
        <v>20</v>
      </c>
    </row>
    <row r="8" spans="1:38" ht="17.25" thickBot="1" x14ac:dyDescent="0.35">
      <c r="A8" s="62">
        <v>1</v>
      </c>
      <c r="B8" s="94" t="s">
        <v>21</v>
      </c>
      <c r="C8" s="94"/>
      <c r="D8" s="95">
        <v>41589</v>
      </c>
      <c r="E8" s="88">
        <v>108</v>
      </c>
      <c r="F8" s="89">
        <v>6.87</v>
      </c>
      <c r="G8" s="89">
        <v>0</v>
      </c>
      <c r="H8" s="89">
        <v>0</v>
      </c>
      <c r="I8" s="89"/>
      <c r="J8" s="89">
        <v>1100</v>
      </c>
      <c r="K8" s="89"/>
      <c r="L8" s="59">
        <v>50</v>
      </c>
      <c r="M8" s="59">
        <v>4</v>
      </c>
      <c r="N8" s="59">
        <v>3</v>
      </c>
      <c r="O8" s="59">
        <v>25</v>
      </c>
      <c r="P8" s="59">
        <v>0.2</v>
      </c>
      <c r="Q8" s="59">
        <v>1000</v>
      </c>
      <c r="R8" s="59">
        <v>5000</v>
      </c>
      <c r="S8" s="7">
        <f t="shared" ref="S8:S22" si="0">E8/L8</f>
        <v>2.16</v>
      </c>
      <c r="T8" s="7">
        <f>((7-F8)/(7-M8))/M8</f>
        <v>1.0833333333333325E-2</v>
      </c>
      <c r="U8" s="7">
        <f t="shared" ref="U8:Y22" si="1">G8/N8</f>
        <v>0</v>
      </c>
      <c r="V8" s="7">
        <f t="shared" si="1"/>
        <v>0</v>
      </c>
      <c r="W8" s="8">
        <f t="shared" si="1"/>
        <v>0</v>
      </c>
      <c r="X8" s="7">
        <f t="shared" si="1"/>
        <v>1.1000000000000001</v>
      </c>
      <c r="Y8" s="7">
        <f t="shared" si="1"/>
        <v>0</v>
      </c>
      <c r="Z8" s="9">
        <f t="shared" ref="Z8:AC22" si="2">1+(5*(LOG10(E8/L8)))</f>
        <v>2.6722687557546543</v>
      </c>
      <c r="AA8" s="9">
        <f>T8</f>
        <v>1.0833333333333325E-2</v>
      </c>
      <c r="AB8" s="9">
        <f>U8</f>
        <v>0</v>
      </c>
      <c r="AC8" s="9">
        <f>V8</f>
        <v>0</v>
      </c>
      <c r="AD8" s="9">
        <f t="shared" ref="AA8:AF22" si="3">W8</f>
        <v>0</v>
      </c>
      <c r="AE8" s="9">
        <f t="shared" ref="AE8:AE11" si="4">1+(5*(LOG10(J8/Q8)))</f>
        <v>1.2069634257911255</v>
      </c>
      <c r="AF8" s="9">
        <f t="shared" si="3"/>
        <v>0</v>
      </c>
      <c r="AG8" s="68">
        <f>AVERAGE(Z8:AF8)</f>
        <v>0.55572364498273041</v>
      </c>
      <c r="AH8" s="69">
        <f>MAX(Z8:AG8)</f>
        <v>2.6722687557546543</v>
      </c>
      <c r="AI8" s="70">
        <f>POWER(AG8,2)</f>
        <v>0.30882876959289179</v>
      </c>
      <c r="AJ8" s="70">
        <f>POWER(AH8,2)</f>
        <v>7.1410203029825281</v>
      </c>
      <c r="AK8" s="71">
        <f>SQRT((AI8+AJ8)/2)</f>
        <v>1.9300063565407524</v>
      </c>
      <c r="AL8" s="90" t="str">
        <f>IF(ISNUMBER(AK8),IF(AK8&lt;=1,"memenuhi",IF(AK8&lt;=5,"ringan",IF(AK8&lt;=10,"sedang","berat"))),"")</f>
        <v>ringan</v>
      </c>
    </row>
    <row r="9" spans="1:38" ht="17.25" thickBot="1" x14ac:dyDescent="0.35">
      <c r="A9" s="62">
        <v>2</v>
      </c>
      <c r="B9" s="94" t="s">
        <v>22</v>
      </c>
      <c r="C9" s="94"/>
      <c r="D9" s="95">
        <v>41584</v>
      </c>
      <c r="E9" s="88">
        <v>187</v>
      </c>
      <c r="F9" s="89">
        <v>3.91</v>
      </c>
      <c r="G9" s="89">
        <v>11.1</v>
      </c>
      <c r="H9" s="89">
        <v>38</v>
      </c>
      <c r="I9" s="89"/>
      <c r="J9" s="89">
        <v>1100</v>
      </c>
      <c r="K9" s="89"/>
      <c r="L9" s="59">
        <v>50</v>
      </c>
      <c r="M9" s="59">
        <v>4</v>
      </c>
      <c r="N9" s="59">
        <v>3</v>
      </c>
      <c r="O9" s="59">
        <v>25</v>
      </c>
      <c r="P9" s="59">
        <v>0.2</v>
      </c>
      <c r="Q9" s="59">
        <v>1000</v>
      </c>
      <c r="R9" s="59">
        <v>5000</v>
      </c>
      <c r="S9" s="7">
        <f t="shared" si="0"/>
        <v>3.74</v>
      </c>
      <c r="T9" s="7">
        <f t="shared" ref="T9:T21" si="5">((7-F9)/(7-M9))/M9</f>
        <v>0.25750000000000001</v>
      </c>
      <c r="U9" s="7">
        <f t="shared" si="1"/>
        <v>3.6999999999999997</v>
      </c>
      <c r="V9" s="7">
        <f t="shared" si="1"/>
        <v>1.52</v>
      </c>
      <c r="W9" s="8">
        <f t="shared" si="1"/>
        <v>0</v>
      </c>
      <c r="X9" s="7">
        <f t="shared" si="1"/>
        <v>1.1000000000000001</v>
      </c>
      <c r="Y9" s="7">
        <f t="shared" si="1"/>
        <v>0</v>
      </c>
      <c r="Z9" s="9">
        <f t="shared" si="2"/>
        <v>3.8643580110024009</v>
      </c>
      <c r="AA9" s="9">
        <f>T9</f>
        <v>0.25750000000000001</v>
      </c>
      <c r="AB9" s="9">
        <f t="shared" si="2"/>
        <v>3.8410086203349749</v>
      </c>
      <c r="AC9" s="9">
        <f t="shared" si="2"/>
        <v>1.9092179397238627</v>
      </c>
      <c r="AD9" s="9">
        <f t="shared" si="3"/>
        <v>0</v>
      </c>
      <c r="AE9" s="9">
        <f t="shared" si="4"/>
        <v>1.2069634257911255</v>
      </c>
      <c r="AF9" s="9">
        <f t="shared" si="3"/>
        <v>0</v>
      </c>
      <c r="AG9" s="68">
        <f t="shared" ref="AG9:AG22" si="6">AVERAGE(Z9:AF9)</f>
        <v>1.5827211424074805</v>
      </c>
      <c r="AH9" s="69">
        <f t="shared" ref="AH9:AH22" si="7">MAX(Z9:AG9)</f>
        <v>3.8643580110024009</v>
      </c>
      <c r="AI9" s="70">
        <f t="shared" ref="AI9:AJ22" si="8">POWER(AG9,2)</f>
        <v>2.50500621462364</v>
      </c>
      <c r="AJ9" s="70">
        <f t="shared" si="8"/>
        <v>14.933262837198432</v>
      </c>
      <c r="AK9" s="71">
        <f t="shared" ref="AK9:AK22" si="9">SQRT((AI9+AJ9)/2)</f>
        <v>2.9528180651559004</v>
      </c>
      <c r="AL9" s="96" t="str">
        <f>IF(ISNUMBER(AK9),IF(AK9&lt;=1,"memenuhi",IF(AK9&lt;=5,"ringan",IF(AK9&lt;=10,"sedang","berat"))),"")</f>
        <v>ringan</v>
      </c>
    </row>
    <row r="10" spans="1:38" ht="17.25" thickBot="1" x14ac:dyDescent="0.35">
      <c r="A10" s="62">
        <v>3</v>
      </c>
      <c r="B10" s="94" t="s">
        <v>23</v>
      </c>
      <c r="C10" s="94"/>
      <c r="D10" s="95">
        <v>41590</v>
      </c>
      <c r="E10" s="88">
        <v>1540</v>
      </c>
      <c r="F10" s="89"/>
      <c r="G10" s="89">
        <v>47.6</v>
      </c>
      <c r="H10" s="89">
        <v>267</v>
      </c>
      <c r="I10" s="89"/>
      <c r="J10" s="89">
        <v>1100</v>
      </c>
      <c r="K10" s="89">
        <v>0</v>
      </c>
      <c r="L10" s="59">
        <v>50</v>
      </c>
      <c r="M10" s="59">
        <v>4</v>
      </c>
      <c r="N10" s="59">
        <v>3</v>
      </c>
      <c r="O10" s="59">
        <v>25</v>
      </c>
      <c r="P10" s="59">
        <v>0.2</v>
      </c>
      <c r="Q10" s="59">
        <v>1000</v>
      </c>
      <c r="R10" s="59">
        <v>5000</v>
      </c>
      <c r="S10" s="7">
        <f t="shared" si="0"/>
        <v>30.8</v>
      </c>
      <c r="T10" s="7">
        <f t="shared" si="5"/>
        <v>0.58333333333333337</v>
      </c>
      <c r="U10" s="7">
        <f t="shared" si="1"/>
        <v>15.866666666666667</v>
      </c>
      <c r="V10" s="7">
        <f t="shared" si="1"/>
        <v>10.68</v>
      </c>
      <c r="W10" s="8">
        <f t="shared" si="1"/>
        <v>0</v>
      </c>
      <c r="X10" s="7">
        <f t="shared" si="1"/>
        <v>1.1000000000000001</v>
      </c>
      <c r="Y10" s="7">
        <f t="shared" si="1"/>
        <v>0</v>
      </c>
      <c r="Z10" s="9">
        <f t="shared" si="2"/>
        <v>8.4427535825022222</v>
      </c>
      <c r="AA10" s="9">
        <f t="shared" si="3"/>
        <v>0.58333333333333337</v>
      </c>
      <c r="AB10" s="9">
        <f t="shared" si="2"/>
        <v>7.0024284900041538</v>
      </c>
      <c r="AC10" s="9">
        <f t="shared" si="2"/>
        <v>6.1428562634626882</v>
      </c>
      <c r="AD10" s="9">
        <f t="shared" si="3"/>
        <v>0</v>
      </c>
      <c r="AE10" s="9">
        <f t="shared" si="4"/>
        <v>1.2069634257911255</v>
      </c>
      <c r="AF10" s="9">
        <f t="shared" si="3"/>
        <v>0</v>
      </c>
      <c r="AG10" s="68">
        <f t="shared" si="6"/>
        <v>3.3397621564419318</v>
      </c>
      <c r="AH10" s="69">
        <f t="shared" si="7"/>
        <v>8.4427535825022222</v>
      </c>
      <c r="AI10" s="70">
        <f t="shared" si="8"/>
        <v>11.154011261601662</v>
      </c>
      <c r="AJ10" s="70">
        <f t="shared" si="8"/>
        <v>71.280088054854104</v>
      </c>
      <c r="AK10" s="71">
        <f t="shared" si="9"/>
        <v>6.4200505962358179</v>
      </c>
      <c r="AL10" s="91" t="str">
        <f>IF(ISNUMBER(AK10),IF(AK10&lt;=1,"memenuhi",IF(AK10&lt;=5,"ringan",IF(AK10&lt;=10,"sedang","berat"))),"")</f>
        <v>sedang</v>
      </c>
    </row>
    <row r="11" spans="1:38" ht="17.25" thickBot="1" x14ac:dyDescent="0.35">
      <c r="A11" s="62">
        <v>4</v>
      </c>
      <c r="B11" s="94" t="s">
        <v>24</v>
      </c>
      <c r="C11" s="94"/>
      <c r="D11" s="95">
        <v>41590</v>
      </c>
      <c r="E11" s="88">
        <v>284</v>
      </c>
      <c r="F11" s="89">
        <v>0.84199999999999997</v>
      </c>
      <c r="G11" s="89">
        <v>35.5</v>
      </c>
      <c r="H11" s="89">
        <v>94.3</v>
      </c>
      <c r="I11" s="89"/>
      <c r="J11" s="89">
        <v>1100</v>
      </c>
      <c r="K11" s="89"/>
      <c r="L11" s="59">
        <v>50</v>
      </c>
      <c r="M11" s="59">
        <v>4</v>
      </c>
      <c r="N11" s="59">
        <v>3</v>
      </c>
      <c r="O11" s="59">
        <v>25</v>
      </c>
      <c r="P11" s="59">
        <v>0.2</v>
      </c>
      <c r="Q11" s="59">
        <v>1000</v>
      </c>
      <c r="R11" s="59">
        <v>5000</v>
      </c>
      <c r="S11" s="7">
        <f t="shared" si="0"/>
        <v>5.68</v>
      </c>
      <c r="T11" s="7">
        <f t="shared" si="5"/>
        <v>0.51316666666666666</v>
      </c>
      <c r="U11" s="7">
        <f t="shared" si="1"/>
        <v>11.833333333333334</v>
      </c>
      <c r="V11" s="7">
        <f t="shared" si="1"/>
        <v>3.7719999999999998</v>
      </c>
      <c r="W11" s="8">
        <f t="shared" si="1"/>
        <v>0</v>
      </c>
      <c r="X11" s="7">
        <f t="shared" si="1"/>
        <v>1.1000000000000001</v>
      </c>
      <c r="Y11" s="7">
        <f t="shared" si="1"/>
        <v>0</v>
      </c>
      <c r="Z11" s="9">
        <f t="shared" si="2"/>
        <v>4.7717416785550943</v>
      </c>
      <c r="AA11" s="9">
        <f t="shared" si="3"/>
        <v>0.51316666666666666</v>
      </c>
      <c r="AB11" s="9">
        <f t="shared" si="2"/>
        <v>6.365535491677158</v>
      </c>
      <c r="AC11" s="9">
        <f t="shared" si="2"/>
        <v>3.8828584203264533</v>
      </c>
      <c r="AD11" s="9">
        <f t="shared" si="3"/>
        <v>0</v>
      </c>
      <c r="AE11" s="9">
        <f t="shared" si="4"/>
        <v>1.2069634257911255</v>
      </c>
      <c r="AF11" s="9">
        <f t="shared" si="3"/>
        <v>0</v>
      </c>
      <c r="AG11" s="68">
        <f t="shared" si="6"/>
        <v>2.3914665261452144</v>
      </c>
      <c r="AH11" s="69">
        <f t="shared" si="7"/>
        <v>6.365535491677158</v>
      </c>
      <c r="AI11" s="70">
        <f t="shared" si="8"/>
        <v>5.7191121456730594</v>
      </c>
      <c r="AJ11" s="70">
        <f t="shared" si="8"/>
        <v>40.520042095801557</v>
      </c>
      <c r="AK11" s="71">
        <f t="shared" si="9"/>
        <v>4.8082821382212284</v>
      </c>
      <c r="AL11" s="96" t="str">
        <f>IF(ISNUMBER(AK11),IF(AK11&lt;=1,"memenuhi",IF(AK11&lt;=5,"ringan",IF(AK11&lt;=10,"sedang","berat"))),"")</f>
        <v>ringan</v>
      </c>
    </row>
    <row r="12" spans="1:38" ht="17.25" thickBot="1" x14ac:dyDescent="0.35">
      <c r="A12" s="62">
        <v>5</v>
      </c>
      <c r="B12" s="94" t="s">
        <v>25</v>
      </c>
      <c r="C12" s="94"/>
      <c r="D12" s="95">
        <v>41590</v>
      </c>
      <c r="E12" s="88">
        <v>924</v>
      </c>
      <c r="F12" s="89">
        <v>1.74</v>
      </c>
      <c r="G12" s="89">
        <v>271</v>
      </c>
      <c r="H12" s="89">
        <v>602</v>
      </c>
      <c r="I12" s="89"/>
      <c r="J12" s="89">
        <v>150</v>
      </c>
      <c r="K12" s="89"/>
      <c r="L12" s="59">
        <v>50</v>
      </c>
      <c r="M12" s="59">
        <v>4</v>
      </c>
      <c r="N12" s="59">
        <v>3</v>
      </c>
      <c r="O12" s="59">
        <v>25</v>
      </c>
      <c r="P12" s="59">
        <v>0.2</v>
      </c>
      <c r="Q12" s="59">
        <v>1000</v>
      </c>
      <c r="R12" s="59">
        <v>5000</v>
      </c>
      <c r="S12" s="7">
        <f t="shared" si="0"/>
        <v>18.48</v>
      </c>
      <c r="T12" s="7">
        <f t="shared" si="5"/>
        <v>0.4383333333333333</v>
      </c>
      <c r="U12" s="7">
        <f t="shared" si="1"/>
        <v>90.333333333333329</v>
      </c>
      <c r="V12" s="7">
        <f t="shared" si="1"/>
        <v>24.08</v>
      </c>
      <c r="W12" s="8">
        <f t="shared" si="1"/>
        <v>0</v>
      </c>
      <c r="X12" s="7">
        <f t="shared" si="1"/>
        <v>0.15</v>
      </c>
      <c r="Y12" s="7">
        <f t="shared" si="1"/>
        <v>0</v>
      </c>
      <c r="Z12" s="9">
        <f t="shared" si="2"/>
        <v>7.3335098344204397</v>
      </c>
      <c r="AA12" s="9">
        <f t="shared" si="3"/>
        <v>0.4383333333333333</v>
      </c>
      <c r="AB12" s="9">
        <f t="shared" si="2"/>
        <v>10.779240180773716</v>
      </c>
      <c r="AC12" s="9">
        <f t="shared" si="2"/>
        <v>7.9082824129289344</v>
      </c>
      <c r="AD12" s="9">
        <f t="shared" si="3"/>
        <v>0</v>
      </c>
      <c r="AE12" s="9">
        <f t="shared" si="3"/>
        <v>0.15</v>
      </c>
      <c r="AF12" s="9">
        <f t="shared" si="3"/>
        <v>0</v>
      </c>
      <c r="AG12" s="68">
        <f t="shared" si="6"/>
        <v>3.8013379659223459</v>
      </c>
      <c r="AH12" s="69">
        <f t="shared" si="7"/>
        <v>10.779240180773716</v>
      </c>
      <c r="AI12" s="70">
        <f t="shared" si="8"/>
        <v>14.450170331162639</v>
      </c>
      <c r="AJ12" s="70">
        <f t="shared" si="8"/>
        <v>116.19201887480656</v>
      </c>
      <c r="AK12" s="71">
        <f t="shared" si="9"/>
        <v>8.0821466580967591</v>
      </c>
      <c r="AL12" s="91" t="str">
        <f>IF(ISNUMBER(AK12),IF(AK12&lt;=1,"memenuhi",IF(AK12&lt;=5,"ringan",IF(AK12&lt;=10,"sedang","berat"))),"")</f>
        <v>sedang</v>
      </c>
    </row>
    <row r="13" spans="1:38" ht="17.25" thickBot="1" x14ac:dyDescent="0.35">
      <c r="A13" s="62">
        <v>6</v>
      </c>
      <c r="B13" s="94" t="s">
        <v>26</v>
      </c>
      <c r="C13" s="94"/>
      <c r="D13" s="95">
        <v>41590</v>
      </c>
      <c r="E13" s="88">
        <v>2040</v>
      </c>
      <c r="F13" s="89"/>
      <c r="G13" s="89">
        <v>62.1</v>
      </c>
      <c r="H13" s="89">
        <v>283</v>
      </c>
      <c r="I13" s="89"/>
      <c r="J13" s="89">
        <v>210</v>
      </c>
      <c r="K13" s="89"/>
      <c r="L13" s="59">
        <v>50</v>
      </c>
      <c r="M13" s="59">
        <v>4</v>
      </c>
      <c r="N13" s="59">
        <v>3</v>
      </c>
      <c r="O13" s="59">
        <v>25</v>
      </c>
      <c r="P13" s="59">
        <v>0.2</v>
      </c>
      <c r="Q13" s="59">
        <v>1000</v>
      </c>
      <c r="R13" s="59">
        <v>5000</v>
      </c>
      <c r="S13" s="7">
        <f t="shared" si="0"/>
        <v>40.799999999999997</v>
      </c>
      <c r="T13" s="7">
        <f t="shared" si="5"/>
        <v>0.58333333333333337</v>
      </c>
      <c r="U13" s="7">
        <f t="shared" si="1"/>
        <v>20.7</v>
      </c>
      <c r="V13" s="7">
        <f t="shared" si="1"/>
        <v>11.32</v>
      </c>
      <c r="W13" s="8">
        <f t="shared" si="1"/>
        <v>0</v>
      </c>
      <c r="X13" s="7">
        <f t="shared" si="1"/>
        <v>0.21</v>
      </c>
      <c r="Y13" s="7">
        <f t="shared" si="1"/>
        <v>0</v>
      </c>
      <c r="Z13" s="9">
        <f t="shared" si="2"/>
        <v>9.0533008154494006</v>
      </c>
      <c r="AA13" s="9">
        <f t="shared" si="3"/>
        <v>0.58333333333333337</v>
      </c>
      <c r="AB13" s="9">
        <f t="shared" si="2"/>
        <v>7.5798517272845896</v>
      </c>
      <c r="AC13" s="9">
        <f t="shared" si="2"/>
        <v>6.269232134261264</v>
      </c>
      <c r="AD13" s="9">
        <f t="shared" si="3"/>
        <v>0</v>
      </c>
      <c r="AE13" s="9">
        <f t="shared" si="3"/>
        <v>0.21</v>
      </c>
      <c r="AF13" s="9">
        <f t="shared" si="3"/>
        <v>0</v>
      </c>
      <c r="AG13" s="68">
        <f t="shared" si="6"/>
        <v>3.3851025729040845</v>
      </c>
      <c r="AH13" s="69">
        <f t="shared" si="7"/>
        <v>9.0533008154494006</v>
      </c>
      <c r="AI13" s="70">
        <f t="shared" si="8"/>
        <v>11.458919429081853</v>
      </c>
      <c r="AJ13" s="70">
        <f t="shared" si="8"/>
        <v>81.962255655016776</v>
      </c>
      <c r="AK13" s="71">
        <f t="shared" si="9"/>
        <v>6.8345144335241041</v>
      </c>
      <c r="AL13" s="91" t="str">
        <f t="shared" ref="AL13:AL22" si="10">IF(ISNUMBER(AK13),IF(AK13&lt;=1,"memenuhi",IF(AK13&lt;=5,"ringan",IF(AK13&lt;=10,"sedang","berat"))),"")</f>
        <v>sedang</v>
      </c>
    </row>
    <row r="14" spans="1:38" ht="17.25" thickBot="1" x14ac:dyDescent="0.35">
      <c r="A14" s="62">
        <v>7</v>
      </c>
      <c r="B14" s="94" t="s">
        <v>27</v>
      </c>
      <c r="C14" s="94"/>
      <c r="D14" s="95">
        <v>41590</v>
      </c>
      <c r="E14" s="88">
        <v>130</v>
      </c>
      <c r="F14" s="89">
        <v>4.51</v>
      </c>
      <c r="G14" s="89">
        <v>20.7</v>
      </c>
      <c r="H14" s="89">
        <v>114</v>
      </c>
      <c r="I14" s="89"/>
      <c r="J14" s="89">
        <v>150</v>
      </c>
      <c r="K14" s="89"/>
      <c r="L14" s="59">
        <v>50</v>
      </c>
      <c r="M14" s="59">
        <v>4</v>
      </c>
      <c r="N14" s="59">
        <v>3</v>
      </c>
      <c r="O14" s="59">
        <v>25</v>
      </c>
      <c r="P14" s="59">
        <v>0.2</v>
      </c>
      <c r="Q14" s="59">
        <v>1000</v>
      </c>
      <c r="R14" s="59">
        <v>5000</v>
      </c>
      <c r="S14" s="7">
        <f t="shared" si="0"/>
        <v>2.6</v>
      </c>
      <c r="T14" s="7">
        <f t="shared" si="5"/>
        <v>0.20750000000000002</v>
      </c>
      <c r="U14" s="7">
        <f t="shared" si="1"/>
        <v>6.8999999999999995</v>
      </c>
      <c r="V14" s="7">
        <f t="shared" si="1"/>
        <v>4.5599999999999996</v>
      </c>
      <c r="W14" s="8">
        <f t="shared" si="1"/>
        <v>0</v>
      </c>
      <c r="X14" s="7">
        <f t="shared" si="1"/>
        <v>0.15</v>
      </c>
      <c r="Y14" s="7">
        <f t="shared" si="1"/>
        <v>0</v>
      </c>
      <c r="Z14" s="9">
        <f t="shared" si="2"/>
        <v>3.0748667398540901</v>
      </c>
      <c r="AA14" s="9">
        <f t="shared" si="3"/>
        <v>0.20750000000000002</v>
      </c>
      <c r="AB14" s="9">
        <f t="shared" si="2"/>
        <v>5.1942454536862765</v>
      </c>
      <c r="AC14" s="9">
        <f t="shared" si="2"/>
        <v>4.2948242133221752</v>
      </c>
      <c r="AD14" s="9">
        <f t="shared" si="3"/>
        <v>0</v>
      </c>
      <c r="AE14" s="9">
        <f t="shared" si="3"/>
        <v>0.15</v>
      </c>
      <c r="AF14" s="9">
        <f t="shared" si="3"/>
        <v>0</v>
      </c>
      <c r="AG14" s="68">
        <f t="shared" si="6"/>
        <v>1.8459194866946489</v>
      </c>
      <c r="AH14" s="69">
        <f t="shared" si="7"/>
        <v>5.1942454536862765</v>
      </c>
      <c r="AI14" s="70">
        <f t="shared" si="8"/>
        <v>3.4074187513590362</v>
      </c>
      <c r="AJ14" s="70">
        <f t="shared" si="8"/>
        <v>26.980185833140553</v>
      </c>
      <c r="AK14" s="71">
        <f t="shared" si="9"/>
        <v>3.8979228176363105</v>
      </c>
      <c r="AL14" s="96" t="str">
        <f t="shared" si="10"/>
        <v>ringan</v>
      </c>
    </row>
    <row r="15" spans="1:38" ht="17.25" thickBot="1" x14ac:dyDescent="0.35">
      <c r="A15" s="62">
        <v>8</v>
      </c>
      <c r="B15" s="94" t="s">
        <v>28</v>
      </c>
      <c r="C15" s="94"/>
      <c r="D15" s="95">
        <v>41589</v>
      </c>
      <c r="E15" s="88">
        <v>227</v>
      </c>
      <c r="F15" s="89">
        <v>1.96</v>
      </c>
      <c r="G15" s="89">
        <v>17.899999999999999</v>
      </c>
      <c r="H15" s="89">
        <v>128</v>
      </c>
      <c r="I15" s="89"/>
      <c r="J15" s="89">
        <v>1100</v>
      </c>
      <c r="K15" s="89"/>
      <c r="L15" s="59">
        <v>50</v>
      </c>
      <c r="M15" s="59">
        <v>4</v>
      </c>
      <c r="N15" s="59">
        <v>3</v>
      </c>
      <c r="O15" s="59">
        <v>25</v>
      </c>
      <c r="P15" s="59">
        <v>0.2</v>
      </c>
      <c r="Q15" s="59">
        <v>1000</v>
      </c>
      <c r="R15" s="59">
        <v>5000</v>
      </c>
      <c r="S15" s="7">
        <f t="shared" si="0"/>
        <v>4.54</v>
      </c>
      <c r="T15" s="7">
        <f t="shared" si="5"/>
        <v>0.42</v>
      </c>
      <c r="U15" s="7">
        <f t="shared" si="1"/>
        <v>5.9666666666666659</v>
      </c>
      <c r="V15" s="7">
        <f t="shared" si="1"/>
        <v>5.12</v>
      </c>
      <c r="W15" s="8">
        <f t="shared" si="1"/>
        <v>0</v>
      </c>
      <c r="X15" s="7">
        <f t="shared" si="1"/>
        <v>1.1000000000000001</v>
      </c>
      <c r="Y15" s="7">
        <f t="shared" si="1"/>
        <v>0</v>
      </c>
      <c r="Z15" s="9">
        <f t="shared" si="2"/>
        <v>4.2852792642855189</v>
      </c>
      <c r="AA15" s="9">
        <f t="shared" si="3"/>
        <v>0.42</v>
      </c>
      <c r="AB15" s="9">
        <f>1+(5*(LOG10(G15/N15)))</f>
        <v>4.8786588813011535</v>
      </c>
      <c r="AC15" s="9">
        <f t="shared" si="2"/>
        <v>4.5463498048791537</v>
      </c>
      <c r="AD15" s="9">
        <f t="shared" si="3"/>
        <v>0</v>
      </c>
      <c r="AE15" s="9">
        <f t="shared" ref="AE15" si="11">1+(5*(LOG10(J15/Q15)))</f>
        <v>1.2069634257911255</v>
      </c>
      <c r="AF15" s="9">
        <f t="shared" si="3"/>
        <v>0</v>
      </c>
      <c r="AG15" s="68">
        <f t="shared" si="6"/>
        <v>2.19103591089385</v>
      </c>
      <c r="AH15" s="69">
        <f t="shared" si="7"/>
        <v>4.8786588813011535</v>
      </c>
      <c r="AI15" s="70">
        <f t="shared" si="8"/>
        <v>4.8006383628264429</v>
      </c>
      <c r="AJ15" s="70">
        <f t="shared" si="8"/>
        <v>23.801312480098623</v>
      </c>
      <c r="AK15" s="71">
        <f t="shared" si="9"/>
        <v>3.7816630496995014</v>
      </c>
      <c r="AL15" s="96" t="str">
        <f t="shared" si="10"/>
        <v>ringan</v>
      </c>
    </row>
    <row r="16" spans="1:38" ht="17.25" thickBot="1" x14ac:dyDescent="0.35">
      <c r="A16" s="62">
        <v>9</v>
      </c>
      <c r="B16" s="94" t="s">
        <v>29</v>
      </c>
      <c r="C16" s="94"/>
      <c r="D16" s="95">
        <v>41590</v>
      </c>
      <c r="E16" s="97">
        <v>118</v>
      </c>
      <c r="F16" s="89">
        <v>3.53</v>
      </c>
      <c r="G16" s="89">
        <v>35.200000000000003</v>
      </c>
      <c r="H16" s="89">
        <v>131</v>
      </c>
      <c r="I16" s="89"/>
      <c r="J16" s="89">
        <v>28</v>
      </c>
      <c r="K16" s="89"/>
      <c r="L16" s="59">
        <v>50</v>
      </c>
      <c r="M16" s="59">
        <v>4</v>
      </c>
      <c r="N16" s="59">
        <v>3</v>
      </c>
      <c r="O16" s="59">
        <v>25</v>
      </c>
      <c r="P16" s="59">
        <v>0.2</v>
      </c>
      <c r="Q16" s="59">
        <v>1000</v>
      </c>
      <c r="R16" s="59">
        <v>5000</v>
      </c>
      <c r="S16" s="7">
        <f t="shared" si="0"/>
        <v>2.36</v>
      </c>
      <c r="T16" s="7">
        <f t="shared" si="5"/>
        <v>0.28916666666666668</v>
      </c>
      <c r="U16" s="7">
        <f t="shared" si="1"/>
        <v>11.733333333333334</v>
      </c>
      <c r="V16" s="7">
        <f t="shared" si="1"/>
        <v>5.24</v>
      </c>
      <c r="W16" s="8">
        <f t="shared" si="1"/>
        <v>0</v>
      </c>
      <c r="X16" s="7">
        <f t="shared" si="1"/>
        <v>2.8000000000000001E-2</v>
      </c>
      <c r="Y16" s="7">
        <f t="shared" si="1"/>
        <v>0</v>
      </c>
      <c r="Z16" s="9">
        <f t="shared" si="2"/>
        <v>2.8645600148505328</v>
      </c>
      <c r="AA16" s="9">
        <f t="shared" si="3"/>
        <v>0.28916666666666668</v>
      </c>
      <c r="AB16" s="9">
        <f t="shared" si="2"/>
        <v>6.3471070437923434</v>
      </c>
      <c r="AC16" s="9">
        <f t="shared" si="2"/>
        <v>4.596656434918633</v>
      </c>
      <c r="AD16" s="9">
        <f t="shared" si="3"/>
        <v>0</v>
      </c>
      <c r="AE16" s="9">
        <f t="shared" si="3"/>
        <v>2.8000000000000001E-2</v>
      </c>
      <c r="AF16" s="9">
        <f t="shared" si="3"/>
        <v>0</v>
      </c>
      <c r="AG16" s="68">
        <f t="shared" si="6"/>
        <v>2.0179271657468822</v>
      </c>
      <c r="AH16" s="69">
        <f t="shared" si="7"/>
        <v>6.3471070437923434</v>
      </c>
      <c r="AI16" s="70">
        <f t="shared" si="8"/>
        <v>4.0720300462592451</v>
      </c>
      <c r="AJ16" s="70">
        <f t="shared" si="8"/>
        <v>40.285767825358377</v>
      </c>
      <c r="AK16" s="71">
        <f t="shared" si="9"/>
        <v>4.7094478376778746</v>
      </c>
      <c r="AL16" s="96" t="str">
        <f t="shared" si="10"/>
        <v>ringan</v>
      </c>
    </row>
    <row r="17" spans="1:38" ht="17.25" thickBot="1" x14ac:dyDescent="0.35">
      <c r="A17" s="62">
        <v>10</v>
      </c>
      <c r="B17" s="94" t="s">
        <v>30</v>
      </c>
      <c r="C17" s="94"/>
      <c r="D17" s="95">
        <v>41584</v>
      </c>
      <c r="E17" s="88">
        <v>289</v>
      </c>
      <c r="F17" s="89">
        <v>0.23</v>
      </c>
      <c r="G17" s="89">
        <v>22.8</v>
      </c>
      <c r="H17" s="89">
        <v>112</v>
      </c>
      <c r="I17" s="89"/>
      <c r="J17" s="89">
        <v>28</v>
      </c>
      <c r="K17" s="89"/>
      <c r="L17" s="59">
        <v>50</v>
      </c>
      <c r="M17" s="59">
        <v>4</v>
      </c>
      <c r="N17" s="59">
        <v>3</v>
      </c>
      <c r="O17" s="59">
        <v>25</v>
      </c>
      <c r="P17" s="59">
        <v>0.2</v>
      </c>
      <c r="Q17" s="59">
        <v>1000</v>
      </c>
      <c r="R17" s="59">
        <v>5000</v>
      </c>
      <c r="S17" s="7">
        <f t="shared" si="0"/>
        <v>5.78</v>
      </c>
      <c r="T17" s="7">
        <f t="shared" si="5"/>
        <v>0.56416666666666659</v>
      </c>
      <c r="U17" s="7">
        <f t="shared" si="1"/>
        <v>7.6000000000000005</v>
      </c>
      <c r="V17" s="7">
        <f t="shared" si="1"/>
        <v>4.4800000000000004</v>
      </c>
      <c r="W17" s="8">
        <f t="shared" si="1"/>
        <v>0</v>
      </c>
      <c r="X17" s="7">
        <f t="shared" si="1"/>
        <v>2.8000000000000001E-2</v>
      </c>
      <c r="Y17" s="7">
        <f t="shared" si="1"/>
        <v>0</v>
      </c>
      <c r="Z17" s="9">
        <f t="shared" si="2"/>
        <v>4.8096391921026456</v>
      </c>
      <c r="AA17" s="9">
        <f t="shared" si="3"/>
        <v>0.56416666666666659</v>
      </c>
      <c r="AB17" s="9">
        <f t="shared" si="2"/>
        <v>5.4040679614039568</v>
      </c>
      <c r="AC17" s="9">
        <f t="shared" si="2"/>
        <v>4.2563900699907204</v>
      </c>
      <c r="AD17" s="9">
        <f t="shared" si="3"/>
        <v>0</v>
      </c>
      <c r="AE17" s="9">
        <f t="shared" si="3"/>
        <v>2.8000000000000001E-2</v>
      </c>
      <c r="AF17" s="9">
        <f t="shared" si="3"/>
        <v>0</v>
      </c>
      <c r="AG17" s="68">
        <f t="shared" si="6"/>
        <v>2.1517519843091413</v>
      </c>
      <c r="AH17" s="69">
        <f t="shared" si="7"/>
        <v>5.4040679614039568</v>
      </c>
      <c r="AI17" s="70">
        <f t="shared" si="8"/>
        <v>4.6300366019783272</v>
      </c>
      <c r="AJ17" s="70">
        <f t="shared" si="8"/>
        <v>29.203950531472717</v>
      </c>
      <c r="AK17" s="71">
        <f t="shared" si="9"/>
        <v>4.1130272995356503</v>
      </c>
      <c r="AL17" s="96" t="str">
        <f t="shared" si="10"/>
        <v>ringan</v>
      </c>
    </row>
    <row r="18" spans="1:38" ht="17.25" thickBot="1" x14ac:dyDescent="0.35">
      <c r="A18" s="62">
        <v>11</v>
      </c>
      <c r="B18" s="94" t="s">
        <v>31</v>
      </c>
      <c r="C18" s="94"/>
      <c r="D18" s="95">
        <v>41584</v>
      </c>
      <c r="E18" s="88">
        <v>345</v>
      </c>
      <c r="F18" s="89">
        <v>0.23</v>
      </c>
      <c r="G18" s="89">
        <v>68.400000000000006</v>
      </c>
      <c r="H18" s="89">
        <v>147</v>
      </c>
      <c r="I18" s="89"/>
      <c r="J18" s="89">
        <v>120</v>
      </c>
      <c r="K18" s="89"/>
      <c r="L18" s="59">
        <v>50</v>
      </c>
      <c r="M18" s="59">
        <v>4</v>
      </c>
      <c r="N18" s="59">
        <v>3</v>
      </c>
      <c r="O18" s="59">
        <v>25</v>
      </c>
      <c r="P18" s="59">
        <v>0.2</v>
      </c>
      <c r="Q18" s="59">
        <v>1000</v>
      </c>
      <c r="R18" s="59">
        <v>5000</v>
      </c>
      <c r="S18" s="7">
        <f t="shared" si="0"/>
        <v>6.9</v>
      </c>
      <c r="T18" s="7">
        <f t="shared" si="5"/>
        <v>0.56416666666666659</v>
      </c>
      <c r="U18" s="7">
        <f t="shared" si="1"/>
        <v>22.8</v>
      </c>
      <c r="V18" s="7">
        <f t="shared" si="1"/>
        <v>5.88</v>
      </c>
      <c r="W18" s="8">
        <f t="shared" si="1"/>
        <v>0</v>
      </c>
      <c r="X18" s="7">
        <f t="shared" si="1"/>
        <v>0.12</v>
      </c>
      <c r="Y18" s="7">
        <f t="shared" si="1"/>
        <v>0</v>
      </c>
      <c r="Z18" s="9">
        <f t="shared" si="2"/>
        <v>5.1942454536862765</v>
      </c>
      <c r="AA18" s="9">
        <f t="shared" si="3"/>
        <v>0.56416666666666659</v>
      </c>
      <c r="AB18" s="9">
        <f t="shared" si="2"/>
        <v>7.789674235002269</v>
      </c>
      <c r="AC18" s="9">
        <f t="shared" si="2"/>
        <v>4.846886630380693</v>
      </c>
      <c r="AD18" s="9">
        <f t="shared" si="3"/>
        <v>0</v>
      </c>
      <c r="AE18" s="9">
        <f t="shared" si="3"/>
        <v>0.12</v>
      </c>
      <c r="AF18" s="9">
        <f t="shared" si="3"/>
        <v>0</v>
      </c>
      <c r="AG18" s="68">
        <f t="shared" si="6"/>
        <v>2.6449961408194151</v>
      </c>
      <c r="AH18" s="69">
        <f t="shared" si="7"/>
        <v>7.789674235002269</v>
      </c>
      <c r="AI18" s="70">
        <f t="shared" si="8"/>
        <v>6.9960045849495991</v>
      </c>
      <c r="AJ18" s="70">
        <f t="shared" si="8"/>
        <v>60.679024687458181</v>
      </c>
      <c r="AK18" s="71">
        <f t="shared" si="9"/>
        <v>5.8170022035584523</v>
      </c>
      <c r="AL18" s="91" t="str">
        <f t="shared" si="10"/>
        <v>sedang</v>
      </c>
    </row>
    <row r="19" spans="1:38" ht="17.25" thickBot="1" x14ac:dyDescent="0.35">
      <c r="A19" s="62">
        <v>12</v>
      </c>
      <c r="B19" s="94" t="s">
        <v>32</v>
      </c>
      <c r="C19" s="94"/>
      <c r="D19" s="95">
        <v>41590</v>
      </c>
      <c r="E19" s="88">
        <v>915</v>
      </c>
      <c r="F19" s="89">
        <v>0</v>
      </c>
      <c r="G19" s="89">
        <v>135</v>
      </c>
      <c r="H19" s="89">
        <v>552</v>
      </c>
      <c r="I19" s="89"/>
      <c r="J19" s="89">
        <v>120</v>
      </c>
      <c r="K19" s="89"/>
      <c r="L19" s="59">
        <v>50</v>
      </c>
      <c r="M19" s="59">
        <v>4</v>
      </c>
      <c r="N19" s="59">
        <v>3</v>
      </c>
      <c r="O19" s="59">
        <v>25</v>
      </c>
      <c r="P19" s="59">
        <v>0.2</v>
      </c>
      <c r="Q19" s="59">
        <v>1000</v>
      </c>
      <c r="R19" s="59">
        <v>5000</v>
      </c>
      <c r="S19" s="7">
        <f t="shared" si="0"/>
        <v>18.3</v>
      </c>
      <c r="T19" s="7">
        <f t="shared" si="5"/>
        <v>0.58333333333333337</v>
      </c>
      <c r="U19" s="7">
        <f t="shared" si="1"/>
        <v>45</v>
      </c>
      <c r="V19" s="7">
        <f t="shared" si="1"/>
        <v>22.08</v>
      </c>
      <c r="W19" s="8">
        <f t="shared" si="1"/>
        <v>0</v>
      </c>
      <c r="X19" s="7">
        <f t="shared" si="1"/>
        <v>0.12</v>
      </c>
      <c r="Y19" s="7">
        <f t="shared" si="1"/>
        <v>0</v>
      </c>
      <c r="Z19" s="9">
        <f t="shared" si="2"/>
        <v>7.3122554486521478</v>
      </c>
      <c r="AA19" s="9">
        <f t="shared" si="3"/>
        <v>0.58333333333333337</v>
      </c>
      <c r="AB19" s="9">
        <f t="shared" si="2"/>
        <v>9.266062568876718</v>
      </c>
      <c r="AC19" s="9">
        <f t="shared" si="2"/>
        <v>7.7199953452858061</v>
      </c>
      <c r="AD19" s="9">
        <f t="shared" si="3"/>
        <v>0</v>
      </c>
      <c r="AE19" s="9">
        <f t="shared" si="3"/>
        <v>0.12</v>
      </c>
      <c r="AF19" s="9">
        <f t="shared" si="3"/>
        <v>0</v>
      </c>
      <c r="AG19" s="68">
        <f t="shared" si="6"/>
        <v>3.5716638137354297</v>
      </c>
      <c r="AH19" s="69">
        <f t="shared" si="7"/>
        <v>9.266062568876718</v>
      </c>
      <c r="AI19" s="70">
        <f t="shared" si="8"/>
        <v>12.756782398347115</v>
      </c>
      <c r="AJ19" s="70">
        <f t="shared" si="8"/>
        <v>85.859915530338199</v>
      </c>
      <c r="AK19" s="71">
        <f t="shared" si="9"/>
        <v>7.0219903848084737</v>
      </c>
      <c r="AL19" s="91" t="str">
        <f t="shared" si="10"/>
        <v>sedang</v>
      </c>
    </row>
    <row r="20" spans="1:38" ht="17.25" thickBot="1" x14ac:dyDescent="0.35">
      <c r="A20" s="62">
        <v>13</v>
      </c>
      <c r="B20" s="94" t="s">
        <v>33</v>
      </c>
      <c r="C20" s="94"/>
      <c r="D20" s="95">
        <v>41589</v>
      </c>
      <c r="E20" s="88">
        <v>289</v>
      </c>
      <c r="F20" s="89">
        <v>0.79500000000000004</v>
      </c>
      <c r="G20" s="89">
        <v>27</v>
      </c>
      <c r="H20" s="89">
        <v>73</v>
      </c>
      <c r="I20" s="89"/>
      <c r="J20" s="89">
        <v>1100</v>
      </c>
      <c r="K20" s="89"/>
      <c r="L20" s="59">
        <v>50</v>
      </c>
      <c r="M20" s="59">
        <v>4</v>
      </c>
      <c r="N20" s="59">
        <v>3</v>
      </c>
      <c r="O20" s="59">
        <v>25</v>
      </c>
      <c r="P20" s="59">
        <v>0.2</v>
      </c>
      <c r="Q20" s="59">
        <v>1000</v>
      </c>
      <c r="R20" s="59">
        <v>5000</v>
      </c>
      <c r="S20" s="7">
        <f t="shared" si="0"/>
        <v>5.78</v>
      </c>
      <c r="T20" s="7">
        <f t="shared" si="5"/>
        <v>0.51708333333333334</v>
      </c>
      <c r="U20" s="7">
        <f t="shared" si="1"/>
        <v>9</v>
      </c>
      <c r="V20" s="7">
        <f t="shared" si="1"/>
        <v>2.92</v>
      </c>
      <c r="W20" s="8">
        <f t="shared" si="1"/>
        <v>0</v>
      </c>
      <c r="X20" s="7">
        <f t="shared" si="1"/>
        <v>1.1000000000000001</v>
      </c>
      <c r="Y20" s="7">
        <f t="shared" si="1"/>
        <v>0</v>
      </c>
      <c r="Z20" s="9">
        <f t="shared" si="2"/>
        <v>4.8096391921026456</v>
      </c>
      <c r="AA20" s="9">
        <f t="shared" si="3"/>
        <v>0.51708333333333334</v>
      </c>
      <c r="AB20" s="9">
        <f t="shared" si="2"/>
        <v>5.7712125471966242</v>
      </c>
      <c r="AC20" s="9">
        <f t="shared" si="2"/>
        <v>3.3269142572420916</v>
      </c>
      <c r="AD20" s="9">
        <f t="shared" si="3"/>
        <v>0</v>
      </c>
      <c r="AE20" s="9">
        <f t="shared" ref="AE20" si="12">1+(5*(LOG10(J20/Q20)))</f>
        <v>1.2069634257911255</v>
      </c>
      <c r="AF20" s="9">
        <f t="shared" si="3"/>
        <v>0</v>
      </c>
      <c r="AG20" s="68">
        <f t="shared" si="6"/>
        <v>2.2331161079522599</v>
      </c>
      <c r="AH20" s="69">
        <f t="shared" si="7"/>
        <v>5.7712125471966242</v>
      </c>
      <c r="AI20" s="70">
        <f t="shared" si="8"/>
        <v>4.9868075515958497</v>
      </c>
      <c r="AJ20" s="70">
        <f t="shared" si="8"/>
        <v>33.306894264919748</v>
      </c>
      <c r="AK20" s="71">
        <f t="shared" si="9"/>
        <v>4.3757114745213492</v>
      </c>
      <c r="AL20" s="96" t="str">
        <f t="shared" si="10"/>
        <v>ringan</v>
      </c>
    </row>
    <row r="21" spans="1:38" ht="17.25" thickBot="1" x14ac:dyDescent="0.35">
      <c r="A21" s="62">
        <v>14</v>
      </c>
      <c r="B21" s="94" t="s">
        <v>34</v>
      </c>
      <c r="C21" s="94"/>
      <c r="D21" s="95">
        <v>41589</v>
      </c>
      <c r="E21" s="88">
        <v>1480</v>
      </c>
      <c r="F21" s="89">
        <v>0</v>
      </c>
      <c r="G21" s="89">
        <v>266</v>
      </c>
      <c r="H21" s="89">
        <v>493</v>
      </c>
      <c r="I21" s="89"/>
      <c r="J21" s="89">
        <v>150</v>
      </c>
      <c r="K21" s="89"/>
      <c r="L21" s="59">
        <v>50</v>
      </c>
      <c r="M21" s="59">
        <v>4</v>
      </c>
      <c r="N21" s="59">
        <v>3</v>
      </c>
      <c r="O21" s="59">
        <v>25</v>
      </c>
      <c r="P21" s="59">
        <v>0.2</v>
      </c>
      <c r="Q21" s="59">
        <v>1000</v>
      </c>
      <c r="R21" s="59">
        <v>5000</v>
      </c>
      <c r="S21" s="7">
        <f t="shared" si="0"/>
        <v>29.6</v>
      </c>
      <c r="T21" s="7">
        <f t="shared" si="5"/>
        <v>0.58333333333333337</v>
      </c>
      <c r="U21" s="7">
        <f t="shared" si="1"/>
        <v>88.666666666666671</v>
      </c>
      <c r="V21" s="7">
        <f t="shared" si="1"/>
        <v>19.72</v>
      </c>
      <c r="W21" s="8">
        <f t="shared" si="1"/>
        <v>0</v>
      </c>
      <c r="X21" s="7">
        <f t="shared" si="1"/>
        <v>0.15</v>
      </c>
      <c r="Y21" s="7">
        <f t="shared" si="1"/>
        <v>0</v>
      </c>
      <c r="Z21" s="9">
        <f t="shared" si="2"/>
        <v>8.3564585552946937</v>
      </c>
      <c r="AA21" s="9">
        <f t="shared" si="3"/>
        <v>0.58333333333333337</v>
      </c>
      <c r="AB21" s="9">
        <f t="shared" si="3"/>
        <v>88.666666666666671</v>
      </c>
      <c r="AC21" s="9">
        <f t="shared" si="2"/>
        <v>7.4745345530259621</v>
      </c>
      <c r="AD21" s="9">
        <f t="shared" si="3"/>
        <v>0</v>
      </c>
      <c r="AE21" s="9">
        <f t="shared" si="3"/>
        <v>0.15</v>
      </c>
      <c r="AF21" s="9">
        <f t="shared" si="3"/>
        <v>0</v>
      </c>
      <c r="AG21" s="68">
        <f t="shared" si="6"/>
        <v>15.032999015474379</v>
      </c>
      <c r="AH21" s="69">
        <f t="shared" si="7"/>
        <v>88.666666666666671</v>
      </c>
      <c r="AI21" s="70">
        <f t="shared" si="8"/>
        <v>225.99105939925366</v>
      </c>
      <c r="AJ21" s="70">
        <f t="shared" si="8"/>
        <v>7861.7777777777783</v>
      </c>
      <c r="AK21" s="71">
        <f t="shared" si="9"/>
        <v>63.591543609103532</v>
      </c>
      <c r="AL21" s="72" t="str">
        <f t="shared" si="10"/>
        <v>berat</v>
      </c>
    </row>
    <row r="22" spans="1:38" ht="16.5" x14ac:dyDescent="0.3">
      <c r="A22" s="62">
        <v>15</v>
      </c>
      <c r="B22" s="94" t="s">
        <v>35</v>
      </c>
      <c r="C22" s="94"/>
      <c r="D22" s="95">
        <v>41589</v>
      </c>
      <c r="E22" s="88">
        <v>648</v>
      </c>
      <c r="F22" s="89">
        <v>0</v>
      </c>
      <c r="G22" s="89">
        <v>88.1</v>
      </c>
      <c r="H22" s="89">
        <v>373</v>
      </c>
      <c r="I22" s="89"/>
      <c r="J22" s="89">
        <v>1100</v>
      </c>
      <c r="K22" s="89"/>
      <c r="L22" s="59">
        <v>50</v>
      </c>
      <c r="M22" s="59">
        <v>4</v>
      </c>
      <c r="N22" s="59">
        <v>3</v>
      </c>
      <c r="O22" s="59">
        <v>25</v>
      </c>
      <c r="P22" s="59">
        <v>0.2</v>
      </c>
      <c r="Q22" s="59">
        <v>1000</v>
      </c>
      <c r="R22" s="59">
        <v>5000</v>
      </c>
      <c r="S22" s="7">
        <f t="shared" si="0"/>
        <v>12.96</v>
      </c>
      <c r="T22" s="7">
        <f>((7-F22)/(7-M22))/M22</f>
        <v>0.58333333333333337</v>
      </c>
      <c r="U22" s="7">
        <f t="shared" si="1"/>
        <v>29.366666666666664</v>
      </c>
      <c r="V22" s="7">
        <f t="shared" si="1"/>
        <v>14.92</v>
      </c>
      <c r="W22" s="8">
        <f t="shared" si="1"/>
        <v>0</v>
      </c>
      <c r="X22" s="7">
        <f t="shared" si="1"/>
        <v>1.1000000000000001</v>
      </c>
      <c r="Y22" s="7">
        <f t="shared" si="1"/>
        <v>0</v>
      </c>
      <c r="Z22" s="9">
        <f t="shared" si="2"/>
        <v>6.5630250076728727</v>
      </c>
      <c r="AA22" s="9">
        <f t="shared" si="3"/>
        <v>0.58333333333333337</v>
      </c>
      <c r="AB22" s="9">
        <f t="shared" si="2"/>
        <v>8.3392732684619268</v>
      </c>
      <c r="AC22" s="9">
        <f t="shared" si="2"/>
        <v>6.8688441156832507</v>
      </c>
      <c r="AD22" s="9">
        <f t="shared" si="3"/>
        <v>0</v>
      </c>
      <c r="AE22" s="9">
        <f t="shared" ref="AE22" si="13">1+(5*(LOG10(J22/Q22)))</f>
        <v>1.2069634257911255</v>
      </c>
      <c r="AF22" s="9">
        <f t="shared" si="3"/>
        <v>0</v>
      </c>
      <c r="AG22" s="68">
        <f t="shared" si="6"/>
        <v>3.3659198787060727</v>
      </c>
      <c r="AH22" s="69">
        <f t="shared" si="7"/>
        <v>8.3392732684619268</v>
      </c>
      <c r="AI22" s="70">
        <f t="shared" si="8"/>
        <v>11.329416629868703</v>
      </c>
      <c r="AJ22" s="70">
        <f t="shared" si="8"/>
        <v>69.54347864608367</v>
      </c>
      <c r="AK22" s="71">
        <f t="shared" si="9"/>
        <v>6.3589659252095529</v>
      </c>
      <c r="AL22" s="91" t="str">
        <f t="shared" si="10"/>
        <v>sedang</v>
      </c>
    </row>
    <row r="24" spans="1:38" x14ac:dyDescent="0.25">
      <c r="A24" s="53" t="s">
        <v>36</v>
      </c>
    </row>
    <row r="25" spans="1:38" x14ac:dyDescent="0.25">
      <c r="A25" s="77" t="s">
        <v>37</v>
      </c>
      <c r="B25" s="53" t="s">
        <v>38</v>
      </c>
    </row>
    <row r="26" spans="1:38" x14ac:dyDescent="0.25">
      <c r="A26" s="77" t="s">
        <v>39</v>
      </c>
      <c r="B26" s="53" t="s">
        <v>40</v>
      </c>
    </row>
    <row r="28" spans="1:38" ht="16.5" x14ac:dyDescent="0.3">
      <c r="A28" s="77" t="s">
        <v>41</v>
      </c>
      <c r="B28" s="78" t="s">
        <v>42</v>
      </c>
      <c r="D28" s="79"/>
    </row>
    <row r="29" spans="1:38" ht="16.5" x14ac:dyDescent="0.3">
      <c r="B29" s="80" t="s">
        <v>43</v>
      </c>
      <c r="C29" s="81" t="s">
        <v>44</v>
      </c>
      <c r="D29" s="81" t="s">
        <v>45</v>
      </c>
      <c r="E29" s="81" t="s">
        <v>46</v>
      </c>
      <c r="F29" s="31" t="s">
        <v>47</v>
      </c>
    </row>
    <row r="30" spans="1:38" x14ac:dyDescent="0.25">
      <c r="B30" s="62" t="s">
        <v>48</v>
      </c>
      <c r="C30" s="62">
        <v>0</v>
      </c>
      <c r="D30" s="32">
        <f>C30/C34</f>
        <v>0</v>
      </c>
      <c r="E30" s="62">
        <v>70</v>
      </c>
      <c r="F30" s="33">
        <f>E30*D30</f>
        <v>0</v>
      </c>
    </row>
    <row r="31" spans="1:38" x14ac:dyDescent="0.25">
      <c r="B31" s="62" t="s">
        <v>49</v>
      </c>
      <c r="C31" s="62">
        <v>8</v>
      </c>
      <c r="D31" s="32">
        <f>C31/C34</f>
        <v>0.53333333333333333</v>
      </c>
      <c r="E31" s="62">
        <v>50</v>
      </c>
      <c r="F31" s="33">
        <f>D31*E31</f>
        <v>26.666666666666668</v>
      </c>
    </row>
    <row r="32" spans="1:38" x14ac:dyDescent="0.25">
      <c r="B32" s="62" t="s">
        <v>50</v>
      </c>
      <c r="C32" s="62">
        <v>6</v>
      </c>
      <c r="D32" s="32">
        <f>C32/C34</f>
        <v>0.4</v>
      </c>
      <c r="E32" s="62">
        <v>30</v>
      </c>
      <c r="F32" s="33">
        <f>E32*D32</f>
        <v>12</v>
      </c>
    </row>
    <row r="33" spans="2:6" x14ac:dyDescent="0.25">
      <c r="B33" s="62" t="s">
        <v>51</v>
      </c>
      <c r="C33" s="62">
        <v>1</v>
      </c>
      <c r="D33" s="32">
        <f>C33/C34</f>
        <v>6.6666666666666666E-2</v>
      </c>
      <c r="E33" s="62">
        <v>10</v>
      </c>
      <c r="F33" s="33">
        <f>E33*D33</f>
        <v>0.66666666666666663</v>
      </c>
    </row>
    <row r="34" spans="2:6" x14ac:dyDescent="0.25">
      <c r="B34" s="62"/>
      <c r="C34" s="62">
        <f>SUM(C30:C33)</f>
        <v>15</v>
      </c>
      <c r="D34" s="82"/>
      <c r="E34" s="62"/>
      <c r="F34" s="35"/>
    </row>
    <row r="35" spans="2:6" x14ac:dyDescent="0.25">
      <c r="B35" s="84" t="s">
        <v>52</v>
      </c>
      <c r="C35" s="85"/>
      <c r="D35" s="85"/>
      <c r="E35" s="85"/>
      <c r="F35" s="38">
        <f>SUM(F30:F34)</f>
        <v>39.333333333333336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50"/>
  <sheetViews>
    <sheetView view="pageBreakPreview" zoomScale="118" workbookViewId="0">
      <selection activeCell="D30" sqref="D30"/>
    </sheetView>
  </sheetViews>
  <sheetFormatPr defaultColWidth="9.140625" defaultRowHeight="15" x14ac:dyDescent="0.25"/>
  <cols>
    <col min="1" max="2" width="9.140625" style="39"/>
    <col min="3" max="3" width="17.28515625" style="39" customWidth="1"/>
    <col min="4" max="4" width="19.42578125" style="39" customWidth="1"/>
    <col min="5" max="5" width="17.28515625" style="39" bestFit="1" customWidth="1"/>
    <col min="6" max="6" width="10.7109375" style="39" bestFit="1" customWidth="1"/>
    <col min="7" max="7" width="11.28515625" style="39" bestFit="1" customWidth="1"/>
    <col min="8" max="8" width="11.140625" style="39" bestFit="1" customWidth="1"/>
    <col min="9" max="9" width="13.140625" style="39" customWidth="1"/>
    <col min="10" max="10" width="11.42578125" style="39" customWidth="1"/>
    <col min="11" max="11" width="11.7109375" style="39" customWidth="1"/>
    <col min="12" max="16384" width="9.140625" style="39"/>
  </cols>
  <sheetData>
    <row r="1" spans="1:12" ht="34.5" x14ac:dyDescent="0.35">
      <c r="A1" s="506" t="s">
        <v>4</v>
      </c>
      <c r="B1" s="506" t="s">
        <v>90</v>
      </c>
      <c r="C1" s="506" t="s">
        <v>89</v>
      </c>
      <c r="D1" s="507" t="s">
        <v>88</v>
      </c>
      <c r="E1" s="51" t="s">
        <v>87</v>
      </c>
      <c r="F1" s="51" t="s">
        <v>86</v>
      </c>
      <c r="G1" s="51" t="s">
        <v>85</v>
      </c>
      <c r="H1" s="52" t="s">
        <v>84</v>
      </c>
      <c r="I1" s="51" t="s">
        <v>83</v>
      </c>
      <c r="J1" s="51" t="s">
        <v>82</v>
      </c>
      <c r="K1" s="51" t="s">
        <v>81</v>
      </c>
      <c r="L1" s="50" t="s">
        <v>80</v>
      </c>
    </row>
    <row r="2" spans="1:12" ht="39.75" customHeight="1" x14ac:dyDescent="0.3">
      <c r="A2" s="506"/>
      <c r="B2" s="506"/>
      <c r="C2" s="506"/>
      <c r="D2" s="507"/>
      <c r="E2" s="48" t="s">
        <v>79</v>
      </c>
      <c r="F2" s="48" t="s">
        <v>79</v>
      </c>
      <c r="G2" s="48" t="s">
        <v>79</v>
      </c>
      <c r="H2" s="49" t="s">
        <v>79</v>
      </c>
      <c r="I2" s="48" t="s">
        <v>79</v>
      </c>
      <c r="J2" s="48" t="s">
        <v>79</v>
      </c>
      <c r="K2" s="47" t="s">
        <v>78</v>
      </c>
      <c r="L2" s="46" t="s">
        <v>78</v>
      </c>
    </row>
    <row r="3" spans="1:12" ht="16.5" x14ac:dyDescent="0.3">
      <c r="A3" s="508">
        <v>1</v>
      </c>
      <c r="B3" s="509" t="s">
        <v>77</v>
      </c>
      <c r="C3" s="509" t="s">
        <v>76</v>
      </c>
      <c r="D3" s="42" t="s">
        <v>75</v>
      </c>
      <c r="E3" s="41">
        <v>3.82</v>
      </c>
      <c r="F3" s="41"/>
      <c r="G3" s="41">
        <v>8.65</v>
      </c>
      <c r="H3" s="41"/>
      <c r="I3" s="45">
        <f>AVERAGE(E3:E10)</f>
        <v>11.821428571428569</v>
      </c>
      <c r="J3" s="45">
        <f>AVERAGE(G3:G10)</f>
        <v>13.838125000000002</v>
      </c>
      <c r="K3" s="44">
        <f>((I3/20)+(J3/40))/2</f>
        <v>0.46851227678571428</v>
      </c>
      <c r="L3" s="43">
        <f>100-(50/0.9*(K3-0.1))</f>
        <v>79.527095734126988</v>
      </c>
    </row>
    <row r="4" spans="1:12" ht="16.5" x14ac:dyDescent="0.3">
      <c r="A4" s="508"/>
      <c r="B4" s="509"/>
      <c r="C4" s="509"/>
      <c r="D4" s="42" t="s">
        <v>74</v>
      </c>
      <c r="E4" s="41">
        <f>(11.32+28.3)/2</f>
        <v>19.810000000000002</v>
      </c>
      <c r="F4" s="41"/>
      <c r="G4" s="41">
        <f>(21.7+11.17)/2</f>
        <v>16.434999999999999</v>
      </c>
      <c r="H4" s="41"/>
      <c r="I4" s="505"/>
      <c r="J4" s="505"/>
      <c r="K4" s="505"/>
      <c r="L4" s="505"/>
    </row>
    <row r="5" spans="1:12" ht="16.5" x14ac:dyDescent="0.3">
      <c r="A5" s="508"/>
      <c r="B5" s="509"/>
      <c r="C5" s="509"/>
      <c r="D5" s="42" t="s">
        <v>73</v>
      </c>
      <c r="E5" s="41">
        <v>4.5599999999999996</v>
      </c>
      <c r="F5" s="41"/>
      <c r="G5" s="41">
        <v>9.82</v>
      </c>
      <c r="H5" s="41"/>
      <c r="I5" s="505"/>
      <c r="J5" s="505"/>
      <c r="K5" s="505"/>
      <c r="L5" s="505"/>
    </row>
    <row r="6" spans="1:12" ht="16.5" x14ac:dyDescent="0.3">
      <c r="A6" s="508"/>
      <c r="B6" s="509"/>
      <c r="C6" s="509"/>
      <c r="D6" s="42" t="s">
        <v>72</v>
      </c>
      <c r="E6" s="41" t="s">
        <v>114</v>
      </c>
      <c r="F6" s="41"/>
      <c r="G6" s="41">
        <v>10.37</v>
      </c>
      <c r="H6" s="41"/>
      <c r="I6" s="505"/>
      <c r="J6" s="505"/>
      <c r="K6" s="505"/>
      <c r="L6" s="505"/>
    </row>
    <row r="7" spans="1:12" ht="16.5" x14ac:dyDescent="0.3">
      <c r="A7" s="508"/>
      <c r="B7" s="509"/>
      <c r="C7" s="509"/>
      <c r="D7" s="42" t="s">
        <v>71</v>
      </c>
      <c r="E7" s="41">
        <f>(85.61+19.73)/2</f>
        <v>52.67</v>
      </c>
      <c r="F7" s="41"/>
      <c r="G7" s="41">
        <f>(13.37+22.93)/2</f>
        <v>18.149999999999999</v>
      </c>
      <c r="H7" s="41"/>
      <c r="I7" s="505"/>
      <c r="J7" s="505"/>
      <c r="K7" s="505"/>
      <c r="L7" s="505"/>
    </row>
    <row r="8" spans="1:12" ht="16.5" x14ac:dyDescent="0.3">
      <c r="A8" s="508"/>
      <c r="B8" s="509"/>
      <c r="C8" s="509"/>
      <c r="D8" s="42" t="s">
        <v>70</v>
      </c>
      <c r="E8" s="41">
        <v>0.63</v>
      </c>
      <c r="F8" s="41"/>
      <c r="G8" s="41">
        <v>14.73</v>
      </c>
      <c r="H8" s="41"/>
      <c r="I8" s="505"/>
      <c r="J8" s="505"/>
      <c r="K8" s="505"/>
      <c r="L8" s="505"/>
    </row>
    <row r="9" spans="1:12" ht="33" x14ac:dyDescent="0.3">
      <c r="A9" s="508"/>
      <c r="B9" s="509"/>
      <c r="C9" s="509"/>
      <c r="D9" s="42" t="s">
        <v>69</v>
      </c>
      <c r="E9" s="41">
        <v>0.63</v>
      </c>
      <c r="F9" s="41"/>
      <c r="G9" s="41">
        <v>5.43</v>
      </c>
      <c r="H9" s="41"/>
      <c r="I9" s="505"/>
      <c r="J9" s="505"/>
      <c r="K9" s="505"/>
      <c r="L9" s="505"/>
    </row>
    <row r="10" spans="1:12" ht="16.5" x14ac:dyDescent="0.3">
      <c r="A10" s="508"/>
      <c r="B10" s="509"/>
      <c r="C10" s="509"/>
      <c r="D10" s="42" t="s">
        <v>68</v>
      </c>
      <c r="E10" s="41">
        <v>0.63</v>
      </c>
      <c r="F10" s="41"/>
      <c r="G10" s="41">
        <v>27.12</v>
      </c>
      <c r="H10" s="41"/>
      <c r="I10" s="505"/>
      <c r="J10" s="505"/>
      <c r="K10" s="505"/>
      <c r="L10" s="505"/>
    </row>
    <row r="11" spans="1:12" ht="16.5" x14ac:dyDescent="0.3">
      <c r="A11" s="40"/>
      <c r="B11" s="40"/>
      <c r="C11" s="40"/>
      <c r="D11" s="40"/>
      <c r="E11" s="40"/>
      <c r="F11" s="40"/>
      <c r="G11" s="40"/>
      <c r="H11" s="40"/>
    </row>
    <row r="12" spans="1:12" ht="16.5" x14ac:dyDescent="0.3">
      <c r="A12" s="40"/>
      <c r="B12" s="40"/>
      <c r="C12" s="40"/>
      <c r="D12" s="40"/>
      <c r="E12" s="40"/>
      <c r="F12" s="40"/>
      <c r="G12" s="40"/>
      <c r="H12" s="40"/>
    </row>
    <row r="13" spans="1:12" ht="16.5" x14ac:dyDescent="0.3">
      <c r="A13" s="40"/>
      <c r="B13" s="40"/>
      <c r="C13" s="40"/>
      <c r="D13" s="40"/>
      <c r="E13" s="40"/>
      <c r="F13" s="40"/>
      <c r="G13" s="40"/>
      <c r="H13" s="40"/>
    </row>
    <row r="14" spans="1:12" x14ac:dyDescent="0.25">
      <c r="H14" s="39">
        <f>(G4+H4)/2</f>
        <v>8.2174999999999994</v>
      </c>
    </row>
    <row r="17" spans="2:5" x14ac:dyDescent="0.25">
      <c r="B17" s="39" t="s">
        <v>67</v>
      </c>
    </row>
    <row r="18" spans="2:5" x14ac:dyDescent="0.25">
      <c r="B18" s="39" t="s">
        <v>64</v>
      </c>
      <c r="C18" s="39" t="s">
        <v>63</v>
      </c>
      <c r="D18" s="39" t="s">
        <v>66</v>
      </c>
      <c r="E18" s="39" t="s">
        <v>20</v>
      </c>
    </row>
    <row r="19" spans="2:5" x14ac:dyDescent="0.25">
      <c r="B19" s="39">
        <v>1</v>
      </c>
      <c r="C19" s="39" t="s">
        <v>21</v>
      </c>
      <c r="D19" s="39">
        <v>-21</v>
      </c>
      <c r="E19" s="39" t="s">
        <v>58</v>
      </c>
    </row>
    <row r="20" spans="2:5" x14ac:dyDescent="0.25">
      <c r="B20" s="39">
        <v>2</v>
      </c>
      <c r="C20" s="39" t="s">
        <v>61</v>
      </c>
      <c r="D20" s="39">
        <v>-21</v>
      </c>
      <c r="E20" s="39" t="s">
        <v>58</v>
      </c>
    </row>
    <row r="21" spans="2:5" x14ac:dyDescent="0.25">
      <c r="B21" s="39">
        <v>3</v>
      </c>
      <c r="C21" s="39" t="s">
        <v>60</v>
      </c>
      <c r="D21" s="39">
        <v>-36</v>
      </c>
      <c r="E21" s="39" t="s">
        <v>53</v>
      </c>
    </row>
    <row r="22" spans="2:5" x14ac:dyDescent="0.25">
      <c r="B22" s="39">
        <v>4</v>
      </c>
      <c r="C22" s="39" t="s">
        <v>30</v>
      </c>
      <c r="D22" s="39">
        <v>-48</v>
      </c>
      <c r="E22" s="39" t="s">
        <v>53</v>
      </c>
    </row>
    <row r="23" spans="2:5" x14ac:dyDescent="0.25">
      <c r="B23" s="39">
        <v>5</v>
      </c>
      <c r="C23" s="39" t="s">
        <v>31</v>
      </c>
      <c r="D23" s="39">
        <v>-48</v>
      </c>
      <c r="E23" s="39" t="s">
        <v>53</v>
      </c>
    </row>
    <row r="24" spans="2:5" x14ac:dyDescent="0.25">
      <c r="B24" s="39">
        <v>6</v>
      </c>
      <c r="C24" s="39" t="s">
        <v>32</v>
      </c>
      <c r="D24" s="39">
        <v>-54</v>
      </c>
      <c r="E24" s="39" t="s">
        <v>53</v>
      </c>
    </row>
    <row r="25" spans="2:5" x14ac:dyDescent="0.25">
      <c r="B25" s="39">
        <v>7</v>
      </c>
      <c r="C25" s="39" t="s">
        <v>24</v>
      </c>
      <c r="D25" s="39">
        <v>-36</v>
      </c>
      <c r="E25" s="39" t="s">
        <v>53</v>
      </c>
    </row>
    <row r="26" spans="2:5" x14ac:dyDescent="0.25">
      <c r="B26" s="39">
        <v>8</v>
      </c>
      <c r="C26" s="39" t="s">
        <v>65</v>
      </c>
      <c r="D26" s="39">
        <v>-51</v>
      </c>
      <c r="E26" s="39" t="s">
        <v>53</v>
      </c>
    </row>
    <row r="27" spans="2:5" x14ac:dyDescent="0.25">
      <c r="B27" s="39">
        <v>9</v>
      </c>
      <c r="C27" s="39" t="s">
        <v>26</v>
      </c>
      <c r="D27" s="39">
        <v>-60</v>
      </c>
      <c r="E27" s="39" t="s">
        <v>53</v>
      </c>
    </row>
    <row r="28" spans="2:5" x14ac:dyDescent="0.25">
      <c r="B28" s="39">
        <v>10</v>
      </c>
      <c r="C28" s="39" t="s">
        <v>33</v>
      </c>
      <c r="E28" s="39" t="s">
        <v>53</v>
      </c>
    </row>
    <row r="29" spans="2:5" x14ac:dyDescent="0.25">
      <c r="B29" s="39">
        <v>11</v>
      </c>
      <c r="C29" s="39" t="s">
        <v>34</v>
      </c>
      <c r="D29" s="39">
        <v>-51</v>
      </c>
      <c r="E29" s="39" t="s">
        <v>53</v>
      </c>
    </row>
    <row r="30" spans="2:5" x14ac:dyDescent="0.25">
      <c r="B30" s="39">
        <v>12</v>
      </c>
      <c r="C30" s="39" t="s">
        <v>54</v>
      </c>
      <c r="D30" s="39">
        <v>-54</v>
      </c>
      <c r="E30" s="39" t="s">
        <v>53</v>
      </c>
    </row>
    <row r="31" spans="2:5" x14ac:dyDescent="0.25">
      <c r="B31" s="39">
        <v>13</v>
      </c>
      <c r="C31" s="39" t="s">
        <v>27</v>
      </c>
      <c r="D31" s="39">
        <v>-51</v>
      </c>
      <c r="E31" s="39" t="s">
        <v>53</v>
      </c>
    </row>
    <row r="32" spans="2:5" x14ac:dyDescent="0.25">
      <c r="B32" s="39">
        <v>14</v>
      </c>
      <c r="C32" s="39" t="s">
        <v>28</v>
      </c>
      <c r="D32" s="39">
        <v>-45</v>
      </c>
      <c r="E32" s="39" t="s">
        <v>53</v>
      </c>
    </row>
    <row r="33" spans="2:5" x14ac:dyDescent="0.25">
      <c r="B33" s="39">
        <v>15</v>
      </c>
      <c r="C33" s="39" t="s">
        <v>29</v>
      </c>
      <c r="D33" s="39">
        <v>-36</v>
      </c>
      <c r="E33" s="39" t="s">
        <v>53</v>
      </c>
    </row>
    <row r="35" spans="2:5" x14ac:dyDescent="0.25">
      <c r="B35" s="39" t="s">
        <v>64</v>
      </c>
      <c r="C35" s="39" t="s">
        <v>63</v>
      </c>
      <c r="D35" s="39" t="s">
        <v>62</v>
      </c>
      <c r="E35" s="39" t="s">
        <v>20</v>
      </c>
    </row>
    <row r="36" spans="2:5" x14ac:dyDescent="0.25">
      <c r="B36" s="39">
        <v>1</v>
      </c>
      <c r="C36" s="39" t="s">
        <v>21</v>
      </c>
      <c r="D36" s="39">
        <v>1.5534067121083071</v>
      </c>
      <c r="E36" s="39" t="s">
        <v>55</v>
      </c>
    </row>
    <row r="37" spans="2:5" x14ac:dyDescent="0.25">
      <c r="B37" s="39">
        <v>2</v>
      </c>
      <c r="C37" s="39" t="s">
        <v>61</v>
      </c>
      <c r="D37" s="39">
        <v>3.193255044621397</v>
      </c>
      <c r="E37" s="39" t="s">
        <v>55</v>
      </c>
    </row>
    <row r="38" spans="2:5" x14ac:dyDescent="0.25">
      <c r="B38" s="39">
        <v>3</v>
      </c>
      <c r="C38" s="39" t="s">
        <v>60</v>
      </c>
      <c r="D38" s="39">
        <v>130.81780551275889</v>
      </c>
      <c r="E38" s="39" t="s">
        <v>53</v>
      </c>
    </row>
    <row r="39" spans="2:5" x14ac:dyDescent="0.25">
      <c r="B39" s="39">
        <v>4</v>
      </c>
      <c r="C39" s="39" t="s">
        <v>30</v>
      </c>
      <c r="D39" s="39">
        <v>13.207565114489205</v>
      </c>
      <c r="E39" s="39" t="s">
        <v>53</v>
      </c>
    </row>
    <row r="40" spans="2:5" x14ac:dyDescent="0.25">
      <c r="B40" s="39">
        <v>5</v>
      </c>
      <c r="C40" s="39" t="s">
        <v>31</v>
      </c>
      <c r="D40" s="39">
        <v>130.64535341165239</v>
      </c>
      <c r="E40" s="39" t="s">
        <v>53</v>
      </c>
    </row>
    <row r="41" spans="2:5" x14ac:dyDescent="0.25">
      <c r="B41" s="39">
        <v>6</v>
      </c>
      <c r="C41" s="39" t="s">
        <v>32</v>
      </c>
      <c r="D41" s="39">
        <v>130.86717160156678</v>
      </c>
      <c r="E41" s="39" t="s">
        <v>53</v>
      </c>
    </row>
    <row r="42" spans="2:5" x14ac:dyDescent="0.25">
      <c r="B42" s="39">
        <v>7</v>
      </c>
      <c r="C42" s="39" t="s">
        <v>59</v>
      </c>
      <c r="D42" s="39">
        <v>5.0009579252518108</v>
      </c>
      <c r="E42" s="39" t="s">
        <v>58</v>
      </c>
    </row>
    <row r="43" spans="2:5" x14ac:dyDescent="0.25">
      <c r="B43" s="39">
        <v>8</v>
      </c>
      <c r="C43" s="39" t="s">
        <v>57</v>
      </c>
      <c r="D43" s="39">
        <v>13.521459066286079</v>
      </c>
      <c r="E43" s="39" t="s">
        <v>53</v>
      </c>
    </row>
    <row r="44" spans="2:5" x14ac:dyDescent="0.25">
      <c r="B44" s="39">
        <v>9</v>
      </c>
      <c r="C44" s="39" t="s">
        <v>56</v>
      </c>
      <c r="D44" s="39">
        <v>280.86230240218975</v>
      </c>
      <c r="E44" s="39" t="s">
        <v>53</v>
      </c>
    </row>
    <row r="45" spans="2:5" x14ac:dyDescent="0.25">
      <c r="B45" s="39">
        <v>10</v>
      </c>
      <c r="C45" s="39" t="s">
        <v>33</v>
      </c>
      <c r="D45" s="39">
        <v>4.9547042979188891</v>
      </c>
      <c r="E45" s="39" t="s">
        <v>55</v>
      </c>
    </row>
    <row r="46" spans="2:5" x14ac:dyDescent="0.25">
      <c r="B46" s="39">
        <v>11</v>
      </c>
      <c r="C46" s="39" t="s">
        <v>34</v>
      </c>
      <c r="D46" s="39">
        <v>281.02586144487987</v>
      </c>
      <c r="E46" s="39" t="s">
        <v>53</v>
      </c>
    </row>
    <row r="47" spans="2:5" x14ac:dyDescent="0.25">
      <c r="B47" s="39">
        <v>12</v>
      </c>
      <c r="C47" s="39" t="s">
        <v>54</v>
      </c>
      <c r="D47" s="39">
        <v>351.36250577374619</v>
      </c>
      <c r="E47" s="39" t="s">
        <v>53</v>
      </c>
    </row>
    <row r="48" spans="2:5" x14ac:dyDescent="0.25">
      <c r="B48" s="39">
        <v>13</v>
      </c>
      <c r="C48" s="39" t="s">
        <v>27</v>
      </c>
      <c r="D48" s="39">
        <v>13.22195314156988</v>
      </c>
      <c r="E48" s="39" t="s">
        <v>53</v>
      </c>
    </row>
    <row r="49" spans="2:5" x14ac:dyDescent="0.25">
      <c r="B49" s="39">
        <v>14</v>
      </c>
      <c r="C49" s="39" t="s">
        <v>28</v>
      </c>
      <c r="D49" s="39">
        <v>22.302861675746211</v>
      </c>
      <c r="E49" s="39" t="s">
        <v>53</v>
      </c>
    </row>
    <row r="50" spans="2:5" x14ac:dyDescent="0.25">
      <c r="B50" s="39">
        <v>15</v>
      </c>
      <c r="C50" s="39" t="s">
        <v>29</v>
      </c>
      <c r="D50" s="39">
        <v>28.141726608196358</v>
      </c>
      <c r="E50" s="39" t="s">
        <v>53</v>
      </c>
    </row>
  </sheetData>
  <mergeCells count="8">
    <mergeCell ref="I4:L10"/>
    <mergeCell ref="A1:A2"/>
    <mergeCell ref="B1:B2"/>
    <mergeCell ref="C1:C2"/>
    <mergeCell ref="D1:D2"/>
    <mergeCell ref="A3:A10"/>
    <mergeCell ref="B3:B10"/>
    <mergeCell ref="C3:C10"/>
  </mergeCells>
  <pageMargins left="0.7" right="0.7" top="0.75" bottom="0.75" header="0.3" footer="0.3"/>
  <pageSetup paperSize="9" scale="5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L50"/>
  <sheetViews>
    <sheetView topLeftCell="A4" zoomScale="93" zoomScaleNormal="160" workbookViewId="0">
      <pane ySplit="4" topLeftCell="A8" activePane="bottomLeft" state="frozen"/>
      <selection activeCell="O29" sqref="O29"/>
      <selection pane="bottomLeft" activeCell="AL8" sqref="AL8"/>
    </sheetView>
  </sheetViews>
  <sheetFormatPr defaultColWidth="9.140625" defaultRowHeight="15" x14ac:dyDescent="0.25"/>
  <cols>
    <col min="1" max="1" width="4.140625" style="1" bestFit="1" customWidth="1"/>
    <col min="2" max="2" width="38.28515625" style="1" customWidth="1"/>
    <col min="3" max="3" width="21.28515625" style="1" customWidth="1"/>
    <col min="4" max="4" width="14.140625" style="1" customWidth="1"/>
    <col min="5" max="5" width="9.140625" style="1"/>
    <col min="6" max="6" width="10.140625" style="1" customWidth="1"/>
    <col min="7" max="10" width="9.140625" style="1"/>
    <col min="11" max="11" width="10" style="1" bestFit="1" customWidth="1"/>
    <col min="12" max="12" width="4.42578125" style="1" bestFit="1" customWidth="1"/>
    <col min="13" max="13" width="3.7109375" style="1" bestFit="1" customWidth="1"/>
    <col min="14" max="14" width="4.7109375" style="1" bestFit="1" customWidth="1"/>
    <col min="15" max="15" width="5" style="1" bestFit="1" customWidth="1"/>
    <col min="16" max="16" width="5.7109375" style="1" bestFit="1" customWidth="1"/>
    <col min="17" max="17" width="9.140625" style="1" bestFit="1" customWidth="1"/>
    <col min="18" max="18" width="7.7109375" style="1" bestFit="1" customWidth="1"/>
    <col min="19" max="19" width="6.28515625" style="1" bestFit="1" customWidth="1"/>
    <col min="20" max="20" width="6" style="1" bestFit="1" customWidth="1"/>
    <col min="21" max="22" width="6.28515625" style="1" bestFit="1" customWidth="1"/>
    <col min="23" max="23" width="8.28515625" style="1" bestFit="1" customWidth="1"/>
    <col min="24" max="24" width="8.7109375" style="1" bestFit="1" customWidth="1"/>
    <col min="25" max="25" width="9.7109375" style="1" bestFit="1" customWidth="1"/>
    <col min="26" max="26" width="6.28515625" style="1" bestFit="1" customWidth="1"/>
    <col min="27" max="27" width="6" style="1" bestFit="1" customWidth="1"/>
    <col min="28" max="30" width="6.28515625" style="1" bestFit="1" customWidth="1"/>
    <col min="31" max="31" width="8.7109375" style="1" bestFit="1" customWidth="1"/>
    <col min="32" max="32" width="7.7109375" style="1" bestFit="1" customWidth="1"/>
    <col min="33" max="35" width="9.140625" style="1"/>
    <col min="36" max="36" width="10.42578125" style="1" bestFit="1" customWidth="1"/>
    <col min="37" max="37" width="9.140625" style="1"/>
    <col min="38" max="38" width="10.7109375" style="1" bestFit="1" customWidth="1"/>
    <col min="39" max="16384" width="9.140625" style="1"/>
  </cols>
  <sheetData>
    <row r="1" spans="1:38" x14ac:dyDescent="0.25">
      <c r="B1" s="2" t="s">
        <v>0</v>
      </c>
    </row>
    <row r="3" spans="1:38" x14ac:dyDescent="0.25">
      <c r="B3" s="2" t="s">
        <v>1</v>
      </c>
    </row>
    <row r="4" spans="1:38" x14ac:dyDescent="0.25">
      <c r="B4" s="2" t="s">
        <v>2</v>
      </c>
    </row>
    <row r="6" spans="1:38" x14ac:dyDescent="0.25">
      <c r="B6" s="2" t="s">
        <v>3</v>
      </c>
    </row>
    <row r="7" spans="1:38" ht="33.75" thickBot="1" x14ac:dyDescent="0.3">
      <c r="A7" s="3" t="s">
        <v>4</v>
      </c>
      <c r="B7" s="4" t="s">
        <v>5</v>
      </c>
      <c r="C7" s="4" t="s">
        <v>6</v>
      </c>
      <c r="D7" s="4" t="s">
        <v>7</v>
      </c>
      <c r="E7" s="5" t="s">
        <v>8</v>
      </c>
      <c r="F7" s="5" t="s">
        <v>9</v>
      </c>
      <c r="G7" s="5" t="s">
        <v>10</v>
      </c>
      <c r="H7" s="5" t="s">
        <v>11</v>
      </c>
      <c r="I7" s="5" t="s">
        <v>12</v>
      </c>
      <c r="J7" s="5" t="s">
        <v>13</v>
      </c>
      <c r="K7" s="5" t="s">
        <v>14</v>
      </c>
      <c r="L7" s="6" t="s">
        <v>8</v>
      </c>
      <c r="M7" s="6" t="s">
        <v>9</v>
      </c>
      <c r="N7" s="6" t="s">
        <v>10</v>
      </c>
      <c r="O7" s="6" t="s">
        <v>11</v>
      </c>
      <c r="P7" s="6" t="s">
        <v>12</v>
      </c>
      <c r="Q7" s="6" t="s">
        <v>13</v>
      </c>
      <c r="R7" s="6" t="s">
        <v>14</v>
      </c>
      <c r="S7" s="7" t="s">
        <v>8</v>
      </c>
      <c r="T7" s="7" t="s">
        <v>9</v>
      </c>
      <c r="U7" s="7" t="s">
        <v>10</v>
      </c>
      <c r="V7" s="7" t="s">
        <v>11</v>
      </c>
      <c r="W7" s="8" t="s">
        <v>12</v>
      </c>
      <c r="X7" s="7" t="s">
        <v>13</v>
      </c>
      <c r="Y7" s="7" t="s">
        <v>14</v>
      </c>
      <c r="Z7" s="9" t="s">
        <v>8</v>
      </c>
      <c r="AA7" s="9" t="s">
        <v>9</v>
      </c>
      <c r="AB7" s="9" t="s">
        <v>10</v>
      </c>
      <c r="AC7" s="9" t="s">
        <v>11</v>
      </c>
      <c r="AD7" s="10" t="s">
        <v>12</v>
      </c>
      <c r="AE7" s="9" t="s">
        <v>13</v>
      </c>
      <c r="AF7" s="9" t="s">
        <v>14</v>
      </c>
      <c r="AG7" s="11" t="s">
        <v>15</v>
      </c>
      <c r="AH7" s="11" t="s">
        <v>16</v>
      </c>
      <c r="AI7" s="11" t="s">
        <v>17</v>
      </c>
      <c r="AJ7" s="11" t="s">
        <v>18</v>
      </c>
      <c r="AK7" s="11" t="s">
        <v>19</v>
      </c>
      <c r="AL7" s="12" t="s">
        <v>20</v>
      </c>
    </row>
    <row r="8" spans="1:38" ht="17.25" thickBot="1" x14ac:dyDescent="0.35">
      <c r="A8" s="13">
        <v>1</v>
      </c>
      <c r="B8" s="14" t="s">
        <v>21</v>
      </c>
      <c r="C8" s="14"/>
      <c r="D8" s="15">
        <v>41765</v>
      </c>
      <c r="E8" s="16">
        <v>61</v>
      </c>
      <c r="F8" s="17">
        <v>7.31</v>
      </c>
      <c r="G8" s="17">
        <v>2.4900000000000002</v>
      </c>
      <c r="H8" s="17">
        <v>29.9</v>
      </c>
      <c r="I8" s="17"/>
      <c r="J8" s="17">
        <v>120</v>
      </c>
      <c r="K8" s="17"/>
      <c r="L8" s="6">
        <v>50</v>
      </c>
      <c r="M8" s="6">
        <v>4</v>
      </c>
      <c r="N8" s="6">
        <v>3</v>
      </c>
      <c r="O8" s="6">
        <v>25</v>
      </c>
      <c r="P8" s="6">
        <v>0.2</v>
      </c>
      <c r="Q8" s="6">
        <v>1000</v>
      </c>
      <c r="R8" s="6">
        <v>5000</v>
      </c>
      <c r="S8" s="7">
        <f t="shared" ref="S8:S37" si="0">E8/L8</f>
        <v>1.22</v>
      </c>
      <c r="T8" s="7">
        <f>((7-F8)/(7-M8))/M8</f>
        <v>-2.5833333333333302E-2</v>
      </c>
      <c r="U8" s="7">
        <f t="shared" ref="U8:Y23" si="1">G8/N8</f>
        <v>0.83000000000000007</v>
      </c>
      <c r="V8" s="7">
        <f t="shared" si="1"/>
        <v>1.196</v>
      </c>
      <c r="W8" s="8">
        <f t="shared" si="1"/>
        <v>0</v>
      </c>
      <c r="X8" s="7">
        <f t="shared" si="1"/>
        <v>0.12</v>
      </c>
      <c r="Y8" s="7">
        <f t="shared" si="1"/>
        <v>0</v>
      </c>
      <c r="Z8" s="9">
        <f t="shared" ref="Z8:AC37" si="2">1+(5*(LOG10(E8/L8)))</f>
        <v>1.4317991533737411</v>
      </c>
      <c r="AA8" s="9">
        <f t="shared" si="2"/>
        <v>2.3092869281494899</v>
      </c>
      <c r="AB8" s="9">
        <f t="shared" si="2"/>
        <v>0.5953904618803697</v>
      </c>
      <c r="AC8" s="9">
        <f>1+(5*(LOG10(H8/O8)))</f>
        <v>1.3886558982619601</v>
      </c>
      <c r="AD8" s="9">
        <f t="shared" ref="AA8:AF23" si="3">W8</f>
        <v>0</v>
      </c>
      <c r="AE8" s="9">
        <f>X8</f>
        <v>0.12</v>
      </c>
      <c r="AF8" s="9">
        <f t="shared" si="3"/>
        <v>0</v>
      </c>
      <c r="AG8" s="18">
        <f>AVERAGE(Z8:AF8)</f>
        <v>0.83501892023793722</v>
      </c>
      <c r="AH8" s="19">
        <f>MAX(Z8:AG8)</f>
        <v>2.3092869281494899</v>
      </c>
      <c r="AI8" s="20">
        <f>POWER(AG8,2)</f>
        <v>0.69725659715533062</v>
      </c>
      <c r="AJ8" s="20">
        <f>POWER(AH8,2)</f>
        <v>5.3328061165221072</v>
      </c>
      <c r="AK8" s="21">
        <f>SQRT((AI8+AJ8)/2)</f>
        <v>1.7363845647893554</v>
      </c>
      <c r="AL8" s="22" t="str">
        <f>IF(ISNUMBER(AK8),IF(AK8&lt;=1,"memenuhi",IF(AK8&lt;=5,"ringan",IF(AK8&lt;=10,"sedang","berat"))),"")</f>
        <v>ringan</v>
      </c>
    </row>
    <row r="9" spans="1:38" ht="17.25" thickBot="1" x14ac:dyDescent="0.35">
      <c r="A9" s="13">
        <v>2</v>
      </c>
      <c r="B9" s="14" t="s">
        <v>22</v>
      </c>
      <c r="C9" s="14"/>
      <c r="D9" s="15">
        <v>41764</v>
      </c>
      <c r="E9" s="16">
        <v>79</v>
      </c>
      <c r="F9" s="17">
        <v>6.55</v>
      </c>
      <c r="G9" s="17">
        <v>5.44</v>
      </c>
      <c r="H9" s="17">
        <v>34.799999999999997</v>
      </c>
      <c r="I9" s="17"/>
      <c r="J9" s="17">
        <v>1100</v>
      </c>
      <c r="K9" s="17"/>
      <c r="L9" s="6">
        <v>50</v>
      </c>
      <c r="M9" s="6">
        <v>4</v>
      </c>
      <c r="N9" s="6">
        <v>3</v>
      </c>
      <c r="O9" s="6">
        <v>25</v>
      </c>
      <c r="P9" s="6">
        <v>0.2</v>
      </c>
      <c r="Q9" s="6">
        <v>1000</v>
      </c>
      <c r="R9" s="6">
        <v>5000</v>
      </c>
      <c r="S9" s="7">
        <f t="shared" si="0"/>
        <v>1.58</v>
      </c>
      <c r="T9" s="7">
        <f t="shared" ref="T9:T37" si="4">((7-F9)/(7-M9))/M9</f>
        <v>3.7500000000000012E-2</v>
      </c>
      <c r="U9" s="7">
        <f t="shared" si="1"/>
        <v>1.8133333333333335</v>
      </c>
      <c r="V9" s="7">
        <f t="shared" si="1"/>
        <v>1.3919999999999999</v>
      </c>
      <c r="W9" s="8">
        <f t="shared" si="1"/>
        <v>0</v>
      </c>
      <c r="X9" s="7">
        <f t="shared" si="1"/>
        <v>1.1000000000000001</v>
      </c>
      <c r="Y9" s="7">
        <f t="shared" si="1"/>
        <v>0</v>
      </c>
      <c r="Z9" s="9">
        <f t="shared" si="2"/>
        <v>1.9932854347721132</v>
      </c>
      <c r="AA9" s="9">
        <f t="shared" si="3"/>
        <v>3.7500000000000012E-2</v>
      </c>
      <c r="AB9" s="9">
        <f t="shared" si="2"/>
        <v>2.2923882248925875</v>
      </c>
      <c r="AC9" s="9">
        <f t="shared" si="2"/>
        <v>1.7181961763727163</v>
      </c>
      <c r="AD9" s="9">
        <f t="shared" si="3"/>
        <v>0</v>
      </c>
      <c r="AE9" s="9">
        <f t="shared" si="3"/>
        <v>1.1000000000000001</v>
      </c>
      <c r="AF9" s="9">
        <f t="shared" si="3"/>
        <v>0</v>
      </c>
      <c r="AG9" s="18">
        <f t="shared" ref="AG9:AG37" si="5">AVERAGE(Z9:AF9)</f>
        <v>1.0201956908624881</v>
      </c>
      <c r="AH9" s="19">
        <f t="shared" ref="AH9:AH37" si="6">MAX(Z9:AG9)</f>
        <v>2.2923882248925875</v>
      </c>
      <c r="AI9" s="20">
        <f t="shared" ref="AI9:AJ37" si="7">POWER(AG9,2)</f>
        <v>1.0407992476543892</v>
      </c>
      <c r="AJ9" s="20">
        <f t="shared" si="7"/>
        <v>5.2550437736261886</v>
      </c>
      <c r="AK9" s="21">
        <f t="shared" ref="AK9:AK37" si="8">SQRT((AI9+AJ9)/2)</f>
        <v>1.7742382902643852</v>
      </c>
      <c r="AL9" s="22" t="str">
        <f>IF(ISNUMBER(AK9),IF(AK9&lt;=1,"memenuhi",IF(AK9&lt;=5,"ringan",IF(AK9&lt;=10,"sedang","berat"))),"")</f>
        <v>ringan</v>
      </c>
    </row>
    <row r="10" spans="1:38" ht="17.25" thickBot="1" x14ac:dyDescent="0.35">
      <c r="A10" s="13">
        <v>3</v>
      </c>
      <c r="B10" s="14" t="s">
        <v>23</v>
      </c>
      <c r="C10" s="14"/>
      <c r="D10" s="15">
        <v>41792</v>
      </c>
      <c r="E10" s="16">
        <v>278</v>
      </c>
      <c r="F10" s="17">
        <v>5.18</v>
      </c>
      <c r="G10" s="17">
        <v>4.93</v>
      </c>
      <c r="H10" s="17">
        <v>33.1</v>
      </c>
      <c r="I10" s="17"/>
      <c r="J10" s="17">
        <v>64</v>
      </c>
      <c r="K10" s="17"/>
      <c r="L10" s="6">
        <v>50</v>
      </c>
      <c r="M10" s="6">
        <v>4</v>
      </c>
      <c r="N10" s="6">
        <v>3</v>
      </c>
      <c r="O10" s="6">
        <v>25</v>
      </c>
      <c r="P10" s="6">
        <v>0.2</v>
      </c>
      <c r="Q10" s="6">
        <v>1000</v>
      </c>
      <c r="R10" s="6">
        <v>5000</v>
      </c>
      <c r="S10" s="7">
        <f t="shared" si="0"/>
        <v>5.56</v>
      </c>
      <c r="T10" s="7">
        <f t="shared" si="4"/>
        <v>0.1516666666666667</v>
      </c>
      <c r="U10" s="7">
        <f t="shared" si="1"/>
        <v>1.6433333333333333</v>
      </c>
      <c r="V10" s="7">
        <f t="shared" si="1"/>
        <v>1.3240000000000001</v>
      </c>
      <c r="W10" s="8">
        <f t="shared" si="1"/>
        <v>0</v>
      </c>
      <c r="X10" s="7">
        <f t="shared" si="1"/>
        <v>6.4000000000000001E-2</v>
      </c>
      <c r="Y10" s="7">
        <f t="shared" si="1"/>
        <v>0</v>
      </c>
      <c r="Z10" s="9">
        <f t="shared" si="2"/>
        <v>4.7253739579102874</v>
      </c>
      <c r="AA10" s="9">
        <f t="shared" si="3"/>
        <v>0.1516666666666667</v>
      </c>
      <c r="AB10" s="9">
        <f t="shared" si="2"/>
        <v>2.0786283227878379</v>
      </c>
      <c r="AC10" s="9">
        <f t="shared" si="2"/>
        <v>1.6094399255184058</v>
      </c>
      <c r="AD10" s="9">
        <f t="shared" si="3"/>
        <v>0</v>
      </c>
      <c r="AE10" s="9">
        <f t="shared" si="3"/>
        <v>6.4000000000000001E-2</v>
      </c>
      <c r="AF10" s="9">
        <f t="shared" si="3"/>
        <v>0</v>
      </c>
      <c r="AG10" s="18">
        <f t="shared" si="5"/>
        <v>1.2327298389833139</v>
      </c>
      <c r="AH10" s="19">
        <f t="shared" si="6"/>
        <v>4.7253739579102874</v>
      </c>
      <c r="AI10" s="20">
        <f t="shared" si="7"/>
        <v>1.519622855919827</v>
      </c>
      <c r="AJ10" s="20">
        <f t="shared" si="7"/>
        <v>22.329159042096734</v>
      </c>
      <c r="AK10" s="21">
        <f t="shared" si="8"/>
        <v>3.4531711438919852</v>
      </c>
      <c r="AL10" s="22" t="str">
        <f>IF(ISNUMBER(AK10),IF(AK10&lt;=1,"memenuhi",IF(AK10&lt;=5,"ringan",IF(AK10&lt;=10,"sedang","berat"))),"")</f>
        <v>ringan</v>
      </c>
    </row>
    <row r="11" spans="1:38" ht="17.25" thickBot="1" x14ac:dyDescent="0.35">
      <c r="A11" s="13">
        <v>4</v>
      </c>
      <c r="B11" s="14" t="s">
        <v>24</v>
      </c>
      <c r="C11" s="14"/>
      <c r="D11" s="15">
        <v>41766</v>
      </c>
      <c r="E11" s="16">
        <v>298</v>
      </c>
      <c r="F11" s="17">
        <v>0.76300000000000001</v>
      </c>
      <c r="G11" s="17">
        <v>33.5</v>
      </c>
      <c r="H11" s="17">
        <v>116</v>
      </c>
      <c r="I11" s="17"/>
      <c r="J11" s="17">
        <v>1100</v>
      </c>
      <c r="K11" s="17"/>
      <c r="L11" s="6">
        <v>50</v>
      </c>
      <c r="M11" s="6">
        <v>4</v>
      </c>
      <c r="N11" s="6">
        <v>3</v>
      </c>
      <c r="O11" s="6">
        <v>25</v>
      </c>
      <c r="P11" s="6">
        <v>0.2</v>
      </c>
      <c r="Q11" s="6">
        <v>1000</v>
      </c>
      <c r="R11" s="6">
        <v>5000</v>
      </c>
      <c r="S11" s="7">
        <f t="shared" si="0"/>
        <v>5.96</v>
      </c>
      <c r="T11" s="7">
        <f t="shared" si="4"/>
        <v>0.51975000000000005</v>
      </c>
      <c r="U11" s="7">
        <f t="shared" si="1"/>
        <v>11.166666666666666</v>
      </c>
      <c r="V11" s="7">
        <f t="shared" si="1"/>
        <v>4.6399999999999997</v>
      </c>
      <c r="W11" s="8">
        <f t="shared" si="1"/>
        <v>0</v>
      </c>
      <c r="X11" s="7">
        <f t="shared" si="1"/>
        <v>1.1000000000000001</v>
      </c>
      <c r="Y11" s="7">
        <f t="shared" si="1"/>
        <v>0</v>
      </c>
      <c r="Z11" s="9">
        <f t="shared" si="2"/>
        <v>4.8762312987011818</v>
      </c>
      <c r="AA11" s="9">
        <f t="shared" si="3"/>
        <v>0.51975000000000005</v>
      </c>
      <c r="AB11" s="9">
        <f t="shared" si="2"/>
        <v>6.2396177615859143</v>
      </c>
      <c r="AC11" s="9">
        <f t="shared" si="2"/>
        <v>4.3325899027744041</v>
      </c>
      <c r="AD11" s="9">
        <f t="shared" si="3"/>
        <v>0</v>
      </c>
      <c r="AE11" s="9">
        <f t="shared" si="3"/>
        <v>1.1000000000000001</v>
      </c>
      <c r="AF11" s="9">
        <f t="shared" si="3"/>
        <v>0</v>
      </c>
      <c r="AG11" s="18">
        <f t="shared" si="5"/>
        <v>2.4383127090087862</v>
      </c>
      <c r="AH11" s="19">
        <f t="shared" si="6"/>
        <v>6.2396177615859143</v>
      </c>
      <c r="AI11" s="20">
        <f t="shared" si="7"/>
        <v>5.9453688669137659</v>
      </c>
      <c r="AJ11" s="20">
        <f t="shared" si="7"/>
        <v>38.932829810698415</v>
      </c>
      <c r="AK11" s="21">
        <f t="shared" si="8"/>
        <v>4.7369926471133654</v>
      </c>
      <c r="AL11" s="22" t="str">
        <f>IF(ISNUMBER(AK11),IF(AK11&lt;=1,"memenuhi",IF(AK11&lt;=5,"ringan",IF(AK11&lt;=10,"sedang","berat"))),"")</f>
        <v>ringan</v>
      </c>
    </row>
    <row r="12" spans="1:38" ht="17.25" thickBot="1" x14ac:dyDescent="0.35">
      <c r="A12" s="13">
        <v>5</v>
      </c>
      <c r="B12" s="14" t="s">
        <v>25</v>
      </c>
      <c r="C12" s="14"/>
      <c r="D12" s="15">
        <v>41767</v>
      </c>
      <c r="E12" s="16">
        <v>884</v>
      </c>
      <c r="F12" s="17">
        <v>4.01</v>
      </c>
      <c r="G12" s="17">
        <v>92.6</v>
      </c>
      <c r="H12" s="17">
        <v>234</v>
      </c>
      <c r="I12" s="17"/>
      <c r="J12" s="17">
        <v>120</v>
      </c>
      <c r="K12" s="17"/>
      <c r="L12" s="6">
        <v>50</v>
      </c>
      <c r="M12" s="6">
        <v>4</v>
      </c>
      <c r="N12" s="6">
        <v>3</v>
      </c>
      <c r="O12" s="6">
        <v>25</v>
      </c>
      <c r="P12" s="6">
        <v>0.2</v>
      </c>
      <c r="Q12" s="6">
        <v>1000</v>
      </c>
      <c r="R12" s="6">
        <v>5000</v>
      </c>
      <c r="S12" s="7">
        <f t="shared" si="0"/>
        <v>17.68</v>
      </c>
      <c r="T12" s="7">
        <f t="shared" si="4"/>
        <v>0.24916666666666668</v>
      </c>
      <c r="U12" s="7">
        <f t="shared" si="1"/>
        <v>30.866666666666664</v>
      </c>
      <c r="V12" s="7">
        <f t="shared" si="1"/>
        <v>9.36</v>
      </c>
      <c r="W12" s="8">
        <f t="shared" si="1"/>
        <v>0</v>
      </c>
      <c r="X12" s="7">
        <f t="shared" si="1"/>
        <v>0.12</v>
      </c>
      <c r="Y12" s="7">
        <f t="shared" si="1"/>
        <v>0</v>
      </c>
      <c r="Z12" s="9">
        <f t="shared" si="2"/>
        <v>7.2374113033852723</v>
      </c>
      <c r="AA12" s="9">
        <f t="shared" si="3"/>
        <v>0.24916666666666668</v>
      </c>
      <c r="AB12" s="9">
        <f t="shared" si="2"/>
        <v>8.447448659811359</v>
      </c>
      <c r="AC12" s="9">
        <f t="shared" si="2"/>
        <v>5.856379243690526</v>
      </c>
      <c r="AD12" s="9">
        <f t="shared" si="3"/>
        <v>0</v>
      </c>
      <c r="AE12" s="9">
        <f t="shared" si="3"/>
        <v>0.12</v>
      </c>
      <c r="AF12" s="9">
        <f t="shared" si="3"/>
        <v>0</v>
      </c>
      <c r="AG12" s="18">
        <f t="shared" si="5"/>
        <v>3.1300579819362606</v>
      </c>
      <c r="AH12" s="19">
        <f t="shared" si="6"/>
        <v>8.447448659811359</v>
      </c>
      <c r="AI12" s="20">
        <f t="shared" si="7"/>
        <v>9.7972629702828957</v>
      </c>
      <c r="AJ12" s="20">
        <f t="shared" si="7"/>
        <v>71.359388860148727</v>
      </c>
      <c r="AK12" s="21">
        <f t="shared" si="8"/>
        <v>6.3701119232879897</v>
      </c>
      <c r="AL12" s="23" t="str">
        <f>IF(ISNUMBER(AK12),IF(AK12&lt;=1,"memenuhi",IF(AK12&lt;=5,"ringan",IF(AK12&lt;=10,"sedang","berat"))),"")</f>
        <v>sedang</v>
      </c>
    </row>
    <row r="13" spans="1:38" ht="17.25" thickBot="1" x14ac:dyDescent="0.35">
      <c r="A13" s="13">
        <v>6</v>
      </c>
      <c r="B13" s="14" t="s">
        <v>26</v>
      </c>
      <c r="C13" s="14"/>
      <c r="D13" s="15">
        <v>41792</v>
      </c>
      <c r="E13" s="16">
        <v>942</v>
      </c>
      <c r="F13" s="17">
        <v>0</v>
      </c>
      <c r="G13" s="17">
        <v>129</v>
      </c>
      <c r="H13" s="17">
        <v>280</v>
      </c>
      <c r="I13" s="17"/>
      <c r="J13" s="17">
        <v>460</v>
      </c>
      <c r="K13" s="17"/>
      <c r="L13" s="6">
        <v>50</v>
      </c>
      <c r="M13" s="6">
        <v>4</v>
      </c>
      <c r="N13" s="6">
        <v>3</v>
      </c>
      <c r="O13" s="6">
        <v>25</v>
      </c>
      <c r="P13" s="6">
        <v>0.2</v>
      </c>
      <c r="Q13" s="6">
        <v>1000</v>
      </c>
      <c r="R13" s="6">
        <v>5000</v>
      </c>
      <c r="S13" s="7">
        <f t="shared" si="0"/>
        <v>18.84</v>
      </c>
      <c r="T13" s="7">
        <f t="shared" si="4"/>
        <v>0.58333333333333337</v>
      </c>
      <c r="U13" s="7">
        <f t="shared" si="1"/>
        <v>43</v>
      </c>
      <c r="V13" s="7">
        <f t="shared" si="1"/>
        <v>11.2</v>
      </c>
      <c r="W13" s="8">
        <f t="shared" si="1"/>
        <v>0</v>
      </c>
      <c r="X13" s="7">
        <f t="shared" si="1"/>
        <v>0.46</v>
      </c>
      <c r="Y13" s="7">
        <f t="shared" si="1"/>
        <v>0</v>
      </c>
      <c r="Z13" s="9">
        <f t="shared" si="2"/>
        <v>7.3754044922842921</v>
      </c>
      <c r="AA13" s="9">
        <f t="shared" si="3"/>
        <v>0.58333333333333337</v>
      </c>
      <c r="AB13" s="9">
        <f t="shared" si="2"/>
        <v>9.1673422778979319</v>
      </c>
      <c r="AC13" s="9">
        <f t="shared" si="2"/>
        <v>6.2460901133509079</v>
      </c>
      <c r="AD13" s="9">
        <f t="shared" si="3"/>
        <v>0</v>
      </c>
      <c r="AE13" s="9">
        <f t="shared" si="3"/>
        <v>0.46</v>
      </c>
      <c r="AF13" s="9">
        <f t="shared" si="3"/>
        <v>0</v>
      </c>
      <c r="AG13" s="18">
        <f t="shared" si="5"/>
        <v>3.4045957452666378</v>
      </c>
      <c r="AH13" s="19">
        <f t="shared" si="6"/>
        <v>9.1673422778979319</v>
      </c>
      <c r="AI13" s="20">
        <f t="shared" si="7"/>
        <v>11.591272188687693</v>
      </c>
      <c r="AJ13" s="20">
        <f t="shared" si="7"/>
        <v>84.040164440134845</v>
      </c>
      <c r="AK13" s="21">
        <f t="shared" si="8"/>
        <v>6.9148910558599024</v>
      </c>
      <c r="AL13" s="23" t="str">
        <f t="shared" ref="AL13:AL37" si="9">IF(ISNUMBER(AK13),IF(AK13&lt;=1,"memenuhi",IF(AK13&lt;=5,"ringan",IF(AK13&lt;=10,"sedang","berat"))),"")</f>
        <v>sedang</v>
      </c>
    </row>
    <row r="14" spans="1:38" ht="17.25" thickBot="1" x14ac:dyDescent="0.35">
      <c r="A14" s="13">
        <v>7</v>
      </c>
      <c r="B14" s="14" t="s">
        <v>27</v>
      </c>
      <c r="C14" s="14"/>
      <c r="D14" s="15">
        <v>41780</v>
      </c>
      <c r="E14" s="16">
        <v>321</v>
      </c>
      <c r="F14" s="17">
        <v>3.56</v>
      </c>
      <c r="G14" s="17">
        <v>8.68</v>
      </c>
      <c r="H14" s="17">
        <v>112</v>
      </c>
      <c r="I14" s="17"/>
      <c r="J14" s="17">
        <v>14</v>
      </c>
      <c r="K14" s="17"/>
      <c r="L14" s="6">
        <v>50</v>
      </c>
      <c r="M14" s="6">
        <v>4</v>
      </c>
      <c r="N14" s="6">
        <v>3</v>
      </c>
      <c r="O14" s="6">
        <v>25</v>
      </c>
      <c r="P14" s="6">
        <v>0.2</v>
      </c>
      <c r="Q14" s="6">
        <v>1000</v>
      </c>
      <c r="R14" s="6">
        <v>5000</v>
      </c>
      <c r="S14" s="7">
        <f t="shared" si="0"/>
        <v>6.42</v>
      </c>
      <c r="T14" s="7">
        <f t="shared" si="4"/>
        <v>0.28666666666666668</v>
      </c>
      <c r="U14" s="7">
        <f t="shared" si="1"/>
        <v>2.8933333333333331</v>
      </c>
      <c r="V14" s="7">
        <f t="shared" si="1"/>
        <v>4.4800000000000004</v>
      </c>
      <c r="W14" s="8">
        <f t="shared" si="1"/>
        <v>0</v>
      </c>
      <c r="X14" s="7">
        <f t="shared" si="1"/>
        <v>1.4E-2</v>
      </c>
      <c r="Y14" s="7">
        <f t="shared" si="1"/>
        <v>0</v>
      </c>
      <c r="Z14" s="9">
        <f t="shared" si="2"/>
        <v>5.0376751403442661</v>
      </c>
      <c r="AA14" s="9">
        <f t="shared" si="3"/>
        <v>0.28666666666666668</v>
      </c>
      <c r="AB14" s="9">
        <f t="shared" si="2"/>
        <v>3.3069923522841469</v>
      </c>
      <c r="AC14" s="9">
        <f t="shared" si="2"/>
        <v>4.2563900699907204</v>
      </c>
      <c r="AD14" s="9">
        <f t="shared" si="3"/>
        <v>0</v>
      </c>
      <c r="AE14" s="9">
        <f t="shared" si="3"/>
        <v>1.4E-2</v>
      </c>
      <c r="AF14" s="9">
        <f t="shared" si="3"/>
        <v>0</v>
      </c>
      <c r="AG14" s="18">
        <f t="shared" si="5"/>
        <v>1.8431034613265427</v>
      </c>
      <c r="AH14" s="19">
        <f t="shared" si="6"/>
        <v>5.0376751403442661</v>
      </c>
      <c r="AI14" s="20">
        <f t="shared" si="7"/>
        <v>3.3970303691538826</v>
      </c>
      <c r="AJ14" s="20">
        <f t="shared" si="7"/>
        <v>25.378170819642623</v>
      </c>
      <c r="AK14" s="21">
        <f t="shared" si="8"/>
        <v>3.7930990752151796</v>
      </c>
      <c r="AL14" s="22" t="str">
        <f t="shared" si="9"/>
        <v>ringan</v>
      </c>
    </row>
    <row r="15" spans="1:38" ht="17.25" thickBot="1" x14ac:dyDescent="0.35">
      <c r="A15" s="13">
        <v>8</v>
      </c>
      <c r="B15" s="14" t="s">
        <v>28</v>
      </c>
      <c r="C15" s="14"/>
      <c r="D15" s="15">
        <v>41768</v>
      </c>
      <c r="E15" s="16">
        <v>329</v>
      </c>
      <c r="F15" s="17">
        <v>4.3899999999999997</v>
      </c>
      <c r="G15" s="17">
        <v>18.899999999999999</v>
      </c>
      <c r="H15" s="17">
        <v>118</v>
      </c>
      <c r="I15" s="17"/>
      <c r="J15" s="17">
        <v>18</v>
      </c>
      <c r="K15" s="17"/>
      <c r="L15" s="6">
        <v>50</v>
      </c>
      <c r="M15" s="6">
        <v>4</v>
      </c>
      <c r="N15" s="6">
        <v>3</v>
      </c>
      <c r="O15" s="6">
        <v>25</v>
      </c>
      <c r="P15" s="6">
        <v>0.2</v>
      </c>
      <c r="Q15" s="6">
        <v>1000</v>
      </c>
      <c r="R15" s="6">
        <v>5000</v>
      </c>
      <c r="S15" s="7">
        <f t="shared" si="0"/>
        <v>6.58</v>
      </c>
      <c r="T15" s="7">
        <f t="shared" si="4"/>
        <v>0.21750000000000003</v>
      </c>
      <c r="U15" s="7">
        <f t="shared" si="1"/>
        <v>6.3</v>
      </c>
      <c r="V15" s="7">
        <f t="shared" si="1"/>
        <v>4.72</v>
      </c>
      <c r="W15" s="8">
        <f t="shared" si="1"/>
        <v>0</v>
      </c>
      <c r="X15" s="7">
        <f t="shared" si="1"/>
        <v>1.7999999999999999E-2</v>
      </c>
      <c r="Y15" s="7">
        <f t="shared" si="1"/>
        <v>0</v>
      </c>
      <c r="Z15" s="9">
        <f t="shared" si="2"/>
        <v>5.0911294680697772</v>
      </c>
      <c r="AA15" s="9">
        <f t="shared" si="3"/>
        <v>0.21750000000000003</v>
      </c>
      <c r="AB15" s="9">
        <f>1+(5*(LOG10(G15/N15)))</f>
        <v>4.9967027472679089</v>
      </c>
      <c r="AC15" s="9">
        <f t="shared" si="2"/>
        <v>4.3697099931704386</v>
      </c>
      <c r="AD15" s="9">
        <f t="shared" si="3"/>
        <v>0</v>
      </c>
      <c r="AE15" s="9">
        <f t="shared" si="3"/>
        <v>1.7999999999999999E-2</v>
      </c>
      <c r="AF15" s="9">
        <f t="shared" si="3"/>
        <v>0</v>
      </c>
      <c r="AG15" s="18">
        <f t="shared" si="5"/>
        <v>2.0990060297868749</v>
      </c>
      <c r="AH15" s="19">
        <f t="shared" si="6"/>
        <v>5.0911294680697772</v>
      </c>
      <c r="AI15" s="20">
        <f t="shared" si="7"/>
        <v>4.4058263130816595</v>
      </c>
      <c r="AJ15" s="20">
        <f t="shared" si="7"/>
        <v>25.919599260648454</v>
      </c>
      <c r="AK15" s="21">
        <f t="shared" si="8"/>
        <v>3.8939328174565437</v>
      </c>
      <c r="AL15" s="22" t="str">
        <f t="shared" si="9"/>
        <v>ringan</v>
      </c>
    </row>
    <row r="16" spans="1:38" ht="17.25" thickBot="1" x14ac:dyDescent="0.35">
      <c r="A16" s="13">
        <v>9</v>
      </c>
      <c r="B16" s="14" t="s">
        <v>29</v>
      </c>
      <c r="C16" s="14"/>
      <c r="D16" s="15">
        <v>41792</v>
      </c>
      <c r="E16" s="24">
        <v>562</v>
      </c>
      <c r="F16" s="17">
        <v>1.34</v>
      </c>
      <c r="G16" s="17">
        <v>23.6</v>
      </c>
      <c r="H16" s="17">
        <v>91.9</v>
      </c>
      <c r="I16" s="17"/>
      <c r="J16" s="17">
        <v>20</v>
      </c>
      <c r="K16" s="17"/>
      <c r="L16" s="6">
        <v>50</v>
      </c>
      <c r="M16" s="6">
        <v>4</v>
      </c>
      <c r="N16" s="6">
        <v>3</v>
      </c>
      <c r="O16" s="6">
        <v>25</v>
      </c>
      <c r="P16" s="6">
        <v>0.2</v>
      </c>
      <c r="Q16" s="6">
        <v>1000</v>
      </c>
      <c r="R16" s="6">
        <v>5000</v>
      </c>
      <c r="S16" s="7">
        <f t="shared" si="0"/>
        <v>11.24</v>
      </c>
      <c r="T16" s="7">
        <f t="shared" si="4"/>
        <v>0.47166666666666668</v>
      </c>
      <c r="U16" s="7">
        <f t="shared" si="1"/>
        <v>7.8666666666666671</v>
      </c>
      <c r="V16" s="7">
        <f t="shared" si="1"/>
        <v>3.6760000000000002</v>
      </c>
      <c r="W16" s="8">
        <f t="shared" si="1"/>
        <v>0</v>
      </c>
      <c r="X16" s="7">
        <f t="shared" si="1"/>
        <v>0.02</v>
      </c>
      <c r="Y16" s="7">
        <f t="shared" si="1"/>
        <v>0</v>
      </c>
      <c r="Z16" s="9">
        <f t="shared" si="2"/>
        <v>6.2538315561652116</v>
      </c>
      <c r="AA16" s="9">
        <f t="shared" si="3"/>
        <v>0.47166666666666668</v>
      </c>
      <c r="AB16" s="9">
        <f t="shared" si="2"/>
        <v>5.4789537412522211</v>
      </c>
      <c r="AC16" s="9">
        <f t="shared" si="2"/>
        <v>3.8268775135703681</v>
      </c>
      <c r="AD16" s="9">
        <f t="shared" si="3"/>
        <v>0</v>
      </c>
      <c r="AE16" s="9">
        <f t="shared" si="3"/>
        <v>0.02</v>
      </c>
      <c r="AF16" s="9">
        <f t="shared" si="3"/>
        <v>0</v>
      </c>
      <c r="AG16" s="18">
        <f t="shared" si="5"/>
        <v>2.2930470682363522</v>
      </c>
      <c r="AH16" s="19">
        <f t="shared" si="6"/>
        <v>6.2538315561652116</v>
      </c>
      <c r="AI16" s="20">
        <f t="shared" si="7"/>
        <v>5.2580648571473301</v>
      </c>
      <c r="AJ16" s="20">
        <f t="shared" si="7"/>
        <v>39.110409132887789</v>
      </c>
      <c r="AK16" s="21">
        <f t="shared" si="8"/>
        <v>4.7100145429730427</v>
      </c>
      <c r="AL16" s="22" t="str">
        <f t="shared" si="9"/>
        <v>ringan</v>
      </c>
    </row>
    <row r="17" spans="1:38" ht="17.25" thickBot="1" x14ac:dyDescent="0.35">
      <c r="A17" s="13">
        <v>10</v>
      </c>
      <c r="B17" s="14" t="s">
        <v>30</v>
      </c>
      <c r="C17" s="14"/>
      <c r="D17" s="15">
        <v>41765</v>
      </c>
      <c r="E17" s="16">
        <v>134</v>
      </c>
      <c r="F17" s="17">
        <v>2.86</v>
      </c>
      <c r="G17" s="17">
        <v>11.6</v>
      </c>
      <c r="H17" s="17">
        <v>80.400000000000006</v>
      </c>
      <c r="I17" s="17"/>
      <c r="J17" s="17">
        <v>28</v>
      </c>
      <c r="K17" s="17"/>
      <c r="L17" s="6">
        <v>50</v>
      </c>
      <c r="M17" s="6">
        <v>4</v>
      </c>
      <c r="N17" s="6">
        <v>3</v>
      </c>
      <c r="O17" s="6">
        <v>25</v>
      </c>
      <c r="P17" s="6">
        <v>0.2</v>
      </c>
      <c r="Q17" s="6">
        <v>1000</v>
      </c>
      <c r="R17" s="6">
        <v>5000</v>
      </c>
      <c r="S17" s="7">
        <f t="shared" si="0"/>
        <v>2.68</v>
      </c>
      <c r="T17" s="7">
        <f t="shared" si="4"/>
        <v>0.34500000000000003</v>
      </c>
      <c r="U17" s="7">
        <f t="shared" si="1"/>
        <v>3.8666666666666667</v>
      </c>
      <c r="V17" s="7">
        <f t="shared" si="1"/>
        <v>3.2160000000000002</v>
      </c>
      <c r="W17" s="8">
        <f t="shared" si="1"/>
        <v>0</v>
      </c>
      <c r="X17" s="7">
        <f t="shared" si="1"/>
        <v>2.8000000000000001E-2</v>
      </c>
      <c r="Y17" s="7">
        <f t="shared" si="1"/>
        <v>0</v>
      </c>
      <c r="Z17" s="9">
        <f t="shared" si="2"/>
        <v>3.1406739701439443</v>
      </c>
      <c r="AA17" s="9">
        <f t="shared" si="3"/>
        <v>0.34500000000000003</v>
      </c>
      <c r="AB17" s="9">
        <f t="shared" si="2"/>
        <v>3.9366836725362804</v>
      </c>
      <c r="AC17" s="9">
        <f t="shared" si="2"/>
        <v>3.5365802003820686</v>
      </c>
      <c r="AD17" s="9">
        <f t="shared" si="3"/>
        <v>0</v>
      </c>
      <c r="AE17" s="9">
        <f t="shared" si="3"/>
        <v>2.8000000000000001E-2</v>
      </c>
      <c r="AF17" s="9">
        <f t="shared" si="3"/>
        <v>0</v>
      </c>
      <c r="AG17" s="18">
        <f t="shared" si="5"/>
        <v>1.5695625490088994</v>
      </c>
      <c r="AH17" s="19">
        <f t="shared" si="6"/>
        <v>3.9366836725362804</v>
      </c>
      <c r="AI17" s="20">
        <f t="shared" si="7"/>
        <v>2.4635265952513135</v>
      </c>
      <c r="AJ17" s="20">
        <f t="shared" si="7"/>
        <v>15.497478337613735</v>
      </c>
      <c r="AK17" s="21">
        <f t="shared" si="8"/>
        <v>2.996748649191741</v>
      </c>
      <c r="AL17" s="22" t="str">
        <f t="shared" si="9"/>
        <v>ringan</v>
      </c>
    </row>
    <row r="18" spans="1:38" ht="17.25" thickBot="1" x14ac:dyDescent="0.35">
      <c r="A18" s="13">
        <v>11</v>
      </c>
      <c r="B18" s="14" t="s">
        <v>31</v>
      </c>
      <c r="C18" s="14"/>
      <c r="D18" s="15">
        <v>41764</v>
      </c>
      <c r="E18" s="16">
        <v>260</v>
      </c>
      <c r="F18" s="17">
        <v>0.85799999999999998</v>
      </c>
      <c r="G18" s="17">
        <v>88.5</v>
      </c>
      <c r="H18" s="17">
        <v>196</v>
      </c>
      <c r="I18" s="17"/>
      <c r="J18" s="17">
        <v>120</v>
      </c>
      <c r="K18" s="17"/>
      <c r="L18" s="6">
        <v>50</v>
      </c>
      <c r="M18" s="6">
        <v>4</v>
      </c>
      <c r="N18" s="6">
        <v>3</v>
      </c>
      <c r="O18" s="6">
        <v>25</v>
      </c>
      <c r="P18" s="6">
        <v>0.2</v>
      </c>
      <c r="Q18" s="6">
        <v>1000</v>
      </c>
      <c r="R18" s="6">
        <v>5000</v>
      </c>
      <c r="S18" s="7">
        <f t="shared" si="0"/>
        <v>5.2</v>
      </c>
      <c r="T18" s="7">
        <f t="shared" si="4"/>
        <v>0.51183333333333336</v>
      </c>
      <c r="U18" s="7">
        <f t="shared" si="1"/>
        <v>29.5</v>
      </c>
      <c r="V18" s="7">
        <f t="shared" si="1"/>
        <v>7.84</v>
      </c>
      <c r="W18" s="8">
        <f t="shared" si="1"/>
        <v>0</v>
      </c>
      <c r="X18" s="7">
        <f t="shared" si="1"/>
        <v>0.12</v>
      </c>
      <c r="Y18" s="7">
        <f t="shared" si="1"/>
        <v>0</v>
      </c>
      <c r="Z18" s="9">
        <f t="shared" si="2"/>
        <v>4.5800167181739964</v>
      </c>
      <c r="AA18" s="9">
        <f t="shared" si="3"/>
        <v>0.51183333333333336</v>
      </c>
      <c r="AB18" s="9">
        <f t="shared" si="2"/>
        <v>8.3491100798908153</v>
      </c>
      <c r="AC18" s="9">
        <f t="shared" si="2"/>
        <v>5.4715803134221925</v>
      </c>
      <c r="AD18" s="9">
        <f t="shared" si="3"/>
        <v>0</v>
      </c>
      <c r="AE18" s="9">
        <f t="shared" si="3"/>
        <v>0.12</v>
      </c>
      <c r="AF18" s="9">
        <f t="shared" si="3"/>
        <v>0</v>
      </c>
      <c r="AG18" s="18">
        <f t="shared" si="5"/>
        <v>2.7189343492600484</v>
      </c>
      <c r="AH18" s="19">
        <f t="shared" si="6"/>
        <v>8.3491100798908153</v>
      </c>
      <c r="AI18" s="20">
        <f t="shared" si="7"/>
        <v>7.3926039955861631</v>
      </c>
      <c r="AJ18" s="20">
        <f t="shared" si="7"/>
        <v>69.70763912613441</v>
      </c>
      <c r="AK18" s="21">
        <f t="shared" si="8"/>
        <v>6.208874419801087</v>
      </c>
      <c r="AL18" s="23" t="str">
        <f t="shared" si="9"/>
        <v>sedang</v>
      </c>
    </row>
    <row r="19" spans="1:38" ht="17.25" thickBot="1" x14ac:dyDescent="0.35">
      <c r="A19" s="13">
        <v>12</v>
      </c>
      <c r="B19" s="14" t="s">
        <v>32</v>
      </c>
      <c r="C19" s="14"/>
      <c r="D19" s="15">
        <v>41792</v>
      </c>
      <c r="E19" s="16">
        <v>542</v>
      </c>
      <c r="F19" s="17">
        <v>0</v>
      </c>
      <c r="G19" s="17">
        <v>47.1</v>
      </c>
      <c r="H19" s="17">
        <v>190</v>
      </c>
      <c r="I19" s="17"/>
      <c r="J19" s="17">
        <v>43</v>
      </c>
      <c r="K19" s="17"/>
      <c r="L19" s="6">
        <v>50</v>
      </c>
      <c r="M19" s="6">
        <v>4</v>
      </c>
      <c r="N19" s="6">
        <v>3</v>
      </c>
      <c r="O19" s="6">
        <v>25</v>
      </c>
      <c r="P19" s="6">
        <v>0.2</v>
      </c>
      <c r="Q19" s="6">
        <v>1000</v>
      </c>
      <c r="R19" s="6">
        <v>5000</v>
      </c>
      <c r="S19" s="7">
        <f t="shared" si="0"/>
        <v>10.84</v>
      </c>
      <c r="T19" s="7">
        <f t="shared" si="4"/>
        <v>0.58333333333333337</v>
      </c>
      <c r="U19" s="7">
        <f t="shared" si="1"/>
        <v>15.700000000000001</v>
      </c>
      <c r="V19" s="7">
        <f t="shared" si="1"/>
        <v>7.6</v>
      </c>
      <c r="W19" s="8">
        <f t="shared" si="1"/>
        <v>0</v>
      </c>
      <c r="X19" s="7">
        <f t="shared" si="1"/>
        <v>4.2999999999999997E-2</v>
      </c>
      <c r="Y19" s="7">
        <f t="shared" si="1"/>
        <v>0</v>
      </c>
      <c r="Z19" s="9">
        <f t="shared" si="2"/>
        <v>6.1751464110118404</v>
      </c>
      <c r="AA19" s="9">
        <f t="shared" si="3"/>
        <v>0.58333333333333337</v>
      </c>
      <c r="AB19" s="9">
        <f t="shared" si="2"/>
        <v>6.9794982620461692</v>
      </c>
      <c r="AC19" s="9">
        <f t="shared" si="2"/>
        <v>5.4040679614039568</v>
      </c>
      <c r="AD19" s="9">
        <f t="shared" si="3"/>
        <v>0</v>
      </c>
      <c r="AE19" s="9">
        <f t="shared" si="3"/>
        <v>4.2999999999999997E-2</v>
      </c>
      <c r="AF19" s="9">
        <f t="shared" si="3"/>
        <v>0</v>
      </c>
      <c r="AG19" s="18">
        <f t="shared" si="5"/>
        <v>2.7407208525421853</v>
      </c>
      <c r="AH19" s="19">
        <f t="shared" si="6"/>
        <v>6.9794982620461692</v>
      </c>
      <c r="AI19" s="20">
        <f t="shared" si="7"/>
        <v>7.5115507915595634</v>
      </c>
      <c r="AJ19" s="20">
        <f t="shared" si="7"/>
        <v>48.713395989905493</v>
      </c>
      <c r="AK19" s="21">
        <f t="shared" si="8"/>
        <v>5.3021197073182469</v>
      </c>
      <c r="AL19" s="23" t="str">
        <f t="shared" si="9"/>
        <v>sedang</v>
      </c>
    </row>
    <row r="20" spans="1:38" ht="17.25" thickBot="1" x14ac:dyDescent="0.35">
      <c r="A20" s="13">
        <v>13</v>
      </c>
      <c r="B20" s="14" t="s">
        <v>33</v>
      </c>
      <c r="C20" s="14"/>
      <c r="D20" s="15">
        <v>41766</v>
      </c>
      <c r="E20" s="16">
        <v>327</v>
      </c>
      <c r="F20" s="17">
        <v>0</v>
      </c>
      <c r="G20" s="17">
        <v>44.8</v>
      </c>
      <c r="H20" s="17">
        <v>340</v>
      </c>
      <c r="I20" s="17"/>
      <c r="J20" s="17">
        <v>1100</v>
      </c>
      <c r="K20" s="17"/>
      <c r="L20" s="6">
        <v>50</v>
      </c>
      <c r="M20" s="6">
        <v>4</v>
      </c>
      <c r="N20" s="6">
        <v>3</v>
      </c>
      <c r="O20" s="6">
        <v>25</v>
      </c>
      <c r="P20" s="6">
        <v>0.2</v>
      </c>
      <c r="Q20" s="6">
        <v>1000</v>
      </c>
      <c r="R20" s="6">
        <v>5000</v>
      </c>
      <c r="S20" s="7">
        <f t="shared" si="0"/>
        <v>6.54</v>
      </c>
      <c r="T20" s="7">
        <f t="shared" si="4"/>
        <v>0.58333333333333337</v>
      </c>
      <c r="U20" s="7">
        <f t="shared" si="1"/>
        <v>14.933333333333332</v>
      </c>
      <c r="V20" s="7">
        <f t="shared" si="1"/>
        <v>13.6</v>
      </c>
      <c r="W20" s="8">
        <f t="shared" si="1"/>
        <v>0</v>
      </c>
      <c r="X20" s="7">
        <f t="shared" si="1"/>
        <v>1.1000000000000001</v>
      </c>
      <c r="Y20" s="7">
        <f t="shared" si="1"/>
        <v>0</v>
      </c>
      <c r="Z20" s="9">
        <f t="shared" si="2"/>
        <v>5.0778887416213365</v>
      </c>
      <c r="AA20" s="9">
        <f t="shared" si="3"/>
        <v>0.58333333333333337</v>
      </c>
      <c r="AB20" s="9">
        <f t="shared" si="2"/>
        <v>6.8707837963924083</v>
      </c>
      <c r="AC20" s="9">
        <f t="shared" si="2"/>
        <v>6.6676945418510876</v>
      </c>
      <c r="AD20" s="9">
        <f t="shared" si="3"/>
        <v>0</v>
      </c>
      <c r="AE20" s="9">
        <f t="shared" si="3"/>
        <v>1.1000000000000001</v>
      </c>
      <c r="AF20" s="9">
        <f t="shared" si="3"/>
        <v>0</v>
      </c>
      <c r="AG20" s="18">
        <f t="shared" si="5"/>
        <v>2.8999572018854525</v>
      </c>
      <c r="AH20" s="19">
        <f t="shared" si="6"/>
        <v>6.8707837963924083</v>
      </c>
      <c r="AI20" s="20">
        <f t="shared" si="7"/>
        <v>8.4097517727673026</v>
      </c>
      <c r="AJ20" s="20">
        <f t="shared" si="7"/>
        <v>47.207669976768479</v>
      </c>
      <c r="AK20" s="21">
        <f t="shared" si="8"/>
        <v>5.2733965216706293</v>
      </c>
      <c r="AL20" s="23" t="str">
        <f t="shared" si="9"/>
        <v>sedang</v>
      </c>
    </row>
    <row r="21" spans="1:38" ht="17.25" thickBot="1" x14ac:dyDescent="0.35">
      <c r="A21" s="13">
        <v>14</v>
      </c>
      <c r="B21" s="14" t="s">
        <v>34</v>
      </c>
      <c r="C21" s="14"/>
      <c r="D21" s="15">
        <v>41767</v>
      </c>
      <c r="E21" s="16">
        <v>596</v>
      </c>
      <c r="F21" s="17">
        <v>2.2200000000000002</v>
      </c>
      <c r="G21" s="17">
        <v>1.87</v>
      </c>
      <c r="H21" s="17">
        <v>395</v>
      </c>
      <c r="I21" s="17"/>
      <c r="J21" s="17">
        <v>20</v>
      </c>
      <c r="K21" s="17"/>
      <c r="L21" s="6">
        <v>50</v>
      </c>
      <c r="M21" s="6">
        <v>4</v>
      </c>
      <c r="N21" s="6">
        <v>3</v>
      </c>
      <c r="O21" s="6">
        <v>25</v>
      </c>
      <c r="P21" s="6">
        <v>0.2</v>
      </c>
      <c r="Q21" s="6">
        <v>1000</v>
      </c>
      <c r="R21" s="6">
        <v>5000</v>
      </c>
      <c r="S21" s="7">
        <f t="shared" si="0"/>
        <v>11.92</v>
      </c>
      <c r="T21" s="7">
        <f t="shared" si="4"/>
        <v>0.39833333333333326</v>
      </c>
      <c r="U21" s="7">
        <f t="shared" si="1"/>
        <v>0.62333333333333341</v>
      </c>
      <c r="V21" s="7">
        <f t="shared" si="1"/>
        <v>15.8</v>
      </c>
      <c r="W21" s="8">
        <f t="shared" si="1"/>
        <v>0</v>
      </c>
      <c r="X21" s="7">
        <f t="shared" si="1"/>
        <v>0.02</v>
      </c>
      <c r="Y21" s="7">
        <f t="shared" si="1"/>
        <v>0</v>
      </c>
      <c r="Z21" s="9">
        <f t="shared" si="2"/>
        <v>6.381381277021088</v>
      </c>
      <c r="AA21" s="9">
        <f t="shared" si="3"/>
        <v>0.39833333333333326</v>
      </c>
      <c r="AB21" s="9">
        <f t="shared" si="3"/>
        <v>0.62333333333333341</v>
      </c>
      <c r="AC21" s="9">
        <f t="shared" si="2"/>
        <v>6.9932854347721136</v>
      </c>
      <c r="AD21" s="9">
        <f t="shared" si="3"/>
        <v>0</v>
      </c>
      <c r="AE21" s="9">
        <f t="shared" si="3"/>
        <v>0.02</v>
      </c>
      <c r="AF21" s="9">
        <f t="shared" si="3"/>
        <v>0</v>
      </c>
      <c r="AG21" s="18">
        <f t="shared" si="5"/>
        <v>2.0594761969228381</v>
      </c>
      <c r="AH21" s="19">
        <f t="shared" si="6"/>
        <v>6.9932854347721136</v>
      </c>
      <c r="AI21" s="20">
        <f t="shared" si="7"/>
        <v>4.2414422056917571</v>
      </c>
      <c r="AJ21" s="20">
        <f t="shared" si="7"/>
        <v>48.906041172195792</v>
      </c>
      <c r="AK21" s="21">
        <f t="shared" si="8"/>
        <v>5.1549725206778527</v>
      </c>
      <c r="AL21" s="23" t="str">
        <f t="shared" si="9"/>
        <v>sedang</v>
      </c>
    </row>
    <row r="22" spans="1:38" ht="17.25" thickBot="1" x14ac:dyDescent="0.35">
      <c r="A22" s="13">
        <v>15</v>
      </c>
      <c r="B22" s="14" t="s">
        <v>35</v>
      </c>
      <c r="C22" s="14"/>
      <c r="D22" s="15">
        <v>41792</v>
      </c>
      <c r="E22" s="16">
        <v>1510</v>
      </c>
      <c r="F22" s="17">
        <v>1.08</v>
      </c>
      <c r="G22" s="17">
        <v>93.6</v>
      </c>
      <c r="H22" s="17">
        <v>290</v>
      </c>
      <c r="I22" s="17"/>
      <c r="J22" s="17">
        <v>210</v>
      </c>
      <c r="K22" s="17"/>
      <c r="L22" s="6">
        <v>50</v>
      </c>
      <c r="M22" s="6">
        <v>4</v>
      </c>
      <c r="N22" s="6">
        <v>3</v>
      </c>
      <c r="O22" s="6">
        <v>25</v>
      </c>
      <c r="P22" s="6">
        <v>0.2</v>
      </c>
      <c r="Q22" s="6">
        <v>1000</v>
      </c>
      <c r="R22" s="6">
        <v>5000</v>
      </c>
      <c r="S22" s="7">
        <f t="shared" si="0"/>
        <v>30.2</v>
      </c>
      <c r="T22" s="7">
        <f>((7-F22)/(7-M22))/M22</f>
        <v>0.49333333333333335</v>
      </c>
      <c r="U22" s="7">
        <f t="shared" si="1"/>
        <v>31.2</v>
      </c>
      <c r="V22" s="7">
        <f t="shared" si="1"/>
        <v>11.6</v>
      </c>
      <c r="W22" s="8">
        <f t="shared" si="1"/>
        <v>0</v>
      </c>
      <c r="X22" s="7">
        <f t="shared" si="1"/>
        <v>0.21</v>
      </c>
      <c r="Y22" s="7">
        <f t="shared" si="1"/>
        <v>0</v>
      </c>
      <c r="Z22" s="9">
        <f t="shared" si="2"/>
        <v>8.4000347147857521</v>
      </c>
      <c r="AA22" s="9">
        <f t="shared" si="3"/>
        <v>0.49333333333333335</v>
      </c>
      <c r="AB22" s="9">
        <f t="shared" si="2"/>
        <v>8.4707729700922147</v>
      </c>
      <c r="AC22" s="9">
        <f t="shared" si="2"/>
        <v>6.3222899461345916</v>
      </c>
      <c r="AD22" s="9">
        <f t="shared" si="3"/>
        <v>0</v>
      </c>
      <c r="AE22" s="9">
        <f t="shared" si="3"/>
        <v>0.21</v>
      </c>
      <c r="AF22" s="9">
        <f t="shared" si="3"/>
        <v>0</v>
      </c>
      <c r="AG22" s="18">
        <f t="shared" si="5"/>
        <v>3.413775852049413</v>
      </c>
      <c r="AH22" s="19">
        <f t="shared" si="6"/>
        <v>8.4707729700922147</v>
      </c>
      <c r="AI22" s="20">
        <f t="shared" si="7"/>
        <v>11.653865568035696</v>
      </c>
      <c r="AJ22" s="20">
        <f t="shared" si="7"/>
        <v>71.753994710844879</v>
      </c>
      <c r="AK22" s="21">
        <f t="shared" si="8"/>
        <v>6.4578580148095766</v>
      </c>
      <c r="AL22" s="23" t="str">
        <f t="shared" si="9"/>
        <v>sedang</v>
      </c>
    </row>
    <row r="23" spans="1:38" ht="17.25" thickBot="1" x14ac:dyDescent="0.35">
      <c r="A23" s="13">
        <v>16</v>
      </c>
      <c r="B23" s="14" t="s">
        <v>21</v>
      </c>
      <c r="C23" s="14"/>
      <c r="D23" s="15">
        <v>42289</v>
      </c>
      <c r="E23" s="16">
        <v>105</v>
      </c>
      <c r="F23" s="17">
        <v>7.82</v>
      </c>
      <c r="G23" s="17">
        <v>2</v>
      </c>
      <c r="H23" s="17">
        <v>18.399999999999999</v>
      </c>
      <c r="I23" s="17"/>
      <c r="J23" s="17">
        <v>18</v>
      </c>
      <c r="K23" s="17">
        <v>75</v>
      </c>
      <c r="L23" s="6">
        <v>50</v>
      </c>
      <c r="M23" s="6">
        <v>4</v>
      </c>
      <c r="N23" s="6">
        <v>3</v>
      </c>
      <c r="O23" s="6">
        <v>25</v>
      </c>
      <c r="P23" s="6">
        <v>0.2</v>
      </c>
      <c r="Q23" s="6">
        <v>1000</v>
      </c>
      <c r="R23" s="6">
        <v>5000</v>
      </c>
      <c r="S23" s="7">
        <f t="shared" si="0"/>
        <v>2.1</v>
      </c>
      <c r="T23" s="7">
        <f t="shared" si="4"/>
        <v>-6.8333333333333357E-2</v>
      </c>
      <c r="U23" s="7">
        <f t="shared" si="1"/>
        <v>0.66666666666666663</v>
      </c>
      <c r="V23" s="7">
        <f t="shared" si="1"/>
        <v>0.73599999999999999</v>
      </c>
      <c r="W23" s="8">
        <f t="shared" si="1"/>
        <v>0</v>
      </c>
      <c r="X23" s="7">
        <f t="shared" si="1"/>
        <v>1.7999999999999999E-2</v>
      </c>
      <c r="Y23" s="7">
        <f t="shared" si="1"/>
        <v>1.4999999999999999E-2</v>
      </c>
      <c r="Z23" s="9">
        <f t="shared" si="2"/>
        <v>2.6110964736695967</v>
      </c>
      <c r="AA23" s="9">
        <f t="shared" si="2"/>
        <v>2.4557338086594283</v>
      </c>
      <c r="AB23" s="9">
        <f t="shared" si="3"/>
        <v>0.66666666666666663</v>
      </c>
      <c r="AC23" s="9">
        <f t="shared" si="3"/>
        <v>0.73599999999999999</v>
      </c>
      <c r="AD23" s="9">
        <f t="shared" si="3"/>
        <v>0</v>
      </c>
      <c r="AE23" s="9">
        <f t="shared" si="3"/>
        <v>1.7999999999999999E-2</v>
      </c>
      <c r="AF23" s="9">
        <f t="shared" si="3"/>
        <v>1.4999999999999999E-2</v>
      </c>
      <c r="AG23" s="18">
        <f t="shared" si="5"/>
        <v>0.92892813557081311</v>
      </c>
      <c r="AH23" s="19">
        <f t="shared" si="6"/>
        <v>2.6110964736695967</v>
      </c>
      <c r="AI23" s="20">
        <f t="shared" si="7"/>
        <v>0.86290748105506698</v>
      </c>
      <c r="AJ23" s="20">
        <f t="shared" si="7"/>
        <v>6.8178247948098027</v>
      </c>
      <c r="AK23" s="21">
        <f t="shared" si="8"/>
        <v>1.9596852139903578</v>
      </c>
      <c r="AL23" s="22" t="str">
        <f t="shared" si="9"/>
        <v>ringan</v>
      </c>
    </row>
    <row r="24" spans="1:38" ht="17.25" thickBot="1" x14ac:dyDescent="0.35">
      <c r="A24" s="13">
        <v>17</v>
      </c>
      <c r="B24" s="14" t="s">
        <v>22</v>
      </c>
      <c r="C24" s="14"/>
      <c r="D24" s="15">
        <v>42289</v>
      </c>
      <c r="E24" s="16">
        <v>181</v>
      </c>
      <c r="F24" s="17">
        <v>2.16</v>
      </c>
      <c r="G24" s="17">
        <v>5.73</v>
      </c>
      <c r="H24" s="17">
        <v>35.6</v>
      </c>
      <c r="I24" s="17"/>
      <c r="J24" s="17">
        <v>28</v>
      </c>
      <c r="K24" s="17">
        <v>150</v>
      </c>
      <c r="L24" s="6">
        <v>50</v>
      </c>
      <c r="M24" s="6">
        <v>4</v>
      </c>
      <c r="N24" s="6">
        <v>3</v>
      </c>
      <c r="O24" s="6">
        <v>25</v>
      </c>
      <c r="P24" s="6">
        <v>0.2</v>
      </c>
      <c r="Q24" s="6">
        <v>1000</v>
      </c>
      <c r="R24" s="6">
        <v>5000</v>
      </c>
      <c r="S24" s="7">
        <f t="shared" si="0"/>
        <v>3.62</v>
      </c>
      <c r="T24" s="7">
        <f t="shared" si="4"/>
        <v>0.40333333333333332</v>
      </c>
      <c r="U24" s="7">
        <f t="shared" ref="U24:Y37" si="10">G24/N24</f>
        <v>1.9100000000000001</v>
      </c>
      <c r="V24" s="7">
        <f t="shared" si="10"/>
        <v>1.4240000000000002</v>
      </c>
      <c r="W24" s="8">
        <f t="shared" si="10"/>
        <v>0</v>
      </c>
      <c r="X24" s="7">
        <f t="shared" si="10"/>
        <v>2.8000000000000001E-2</v>
      </c>
      <c r="Y24" s="7">
        <f t="shared" si="10"/>
        <v>0.03</v>
      </c>
      <c r="Z24" s="9">
        <f t="shared" si="2"/>
        <v>3.7935428526658286</v>
      </c>
      <c r="AA24" s="9">
        <f t="shared" ref="AA24:AA37" si="11">T24</f>
        <v>0.40333333333333332</v>
      </c>
      <c r="AB24" s="9">
        <f t="shared" si="2"/>
        <v>2.4051668362386378</v>
      </c>
      <c r="AC24" s="9">
        <f t="shared" si="2"/>
        <v>1.7675499465041882</v>
      </c>
      <c r="AD24" s="9">
        <f t="shared" ref="AD24:AF37" si="12">W24</f>
        <v>0</v>
      </c>
      <c r="AE24" s="9">
        <f t="shared" si="12"/>
        <v>2.8000000000000001E-2</v>
      </c>
      <c r="AF24" s="9">
        <f t="shared" si="12"/>
        <v>0.03</v>
      </c>
      <c r="AG24" s="18">
        <f t="shared" si="5"/>
        <v>1.203941852677427</v>
      </c>
      <c r="AH24" s="19">
        <f t="shared" si="6"/>
        <v>3.7935428526658286</v>
      </c>
      <c r="AI24" s="20">
        <f t="shared" si="7"/>
        <v>1.4494759846283554</v>
      </c>
      <c r="AJ24" s="20">
        <f t="shared" si="7"/>
        <v>14.390967375011993</v>
      </c>
      <c r="AK24" s="21">
        <f t="shared" si="8"/>
        <v>2.8142888408655167</v>
      </c>
      <c r="AL24" s="22" t="str">
        <f t="shared" si="9"/>
        <v>ringan</v>
      </c>
    </row>
    <row r="25" spans="1:38" ht="17.25" thickBot="1" x14ac:dyDescent="0.35">
      <c r="A25" s="13">
        <v>18</v>
      </c>
      <c r="B25" s="14" t="s">
        <v>23</v>
      </c>
      <c r="C25" s="14"/>
      <c r="D25" s="15">
        <v>42296</v>
      </c>
      <c r="E25" s="16">
        <v>1776</v>
      </c>
      <c r="F25" s="17">
        <v>0</v>
      </c>
      <c r="G25" s="17">
        <v>106</v>
      </c>
      <c r="H25" s="17">
        <v>762</v>
      </c>
      <c r="I25" s="17"/>
      <c r="J25" s="17">
        <v>150</v>
      </c>
      <c r="K25" s="17">
        <v>1100</v>
      </c>
      <c r="L25" s="6">
        <v>50</v>
      </c>
      <c r="M25" s="6">
        <v>4</v>
      </c>
      <c r="N25" s="6">
        <v>3</v>
      </c>
      <c r="O25" s="6">
        <v>25</v>
      </c>
      <c r="P25" s="6">
        <v>0.2</v>
      </c>
      <c r="Q25" s="6">
        <v>1000</v>
      </c>
      <c r="R25" s="6">
        <v>5000</v>
      </c>
      <c r="S25" s="7">
        <f t="shared" si="0"/>
        <v>35.520000000000003</v>
      </c>
      <c r="T25" s="7">
        <f t="shared" si="4"/>
        <v>0.58333333333333337</v>
      </c>
      <c r="U25" s="7">
        <f t="shared" si="10"/>
        <v>35.333333333333336</v>
      </c>
      <c r="V25" s="7">
        <f t="shared" si="10"/>
        <v>30.48</v>
      </c>
      <c r="W25" s="8">
        <f t="shared" si="10"/>
        <v>0</v>
      </c>
      <c r="X25" s="7">
        <f t="shared" si="10"/>
        <v>0.15</v>
      </c>
      <c r="Y25" s="7">
        <f t="shared" si="10"/>
        <v>0.22</v>
      </c>
      <c r="Z25" s="9">
        <f t="shared" si="2"/>
        <v>8.7523647855328175</v>
      </c>
      <c r="AA25" s="9">
        <f t="shared" si="11"/>
        <v>0.58333333333333337</v>
      </c>
      <c r="AB25" s="9">
        <f t="shared" si="2"/>
        <v>8.7409230527255382</v>
      </c>
      <c r="AC25" s="9">
        <f t="shared" si="2"/>
        <v>8.4200748133378145</v>
      </c>
      <c r="AD25" s="9">
        <f t="shared" si="12"/>
        <v>0</v>
      </c>
      <c r="AE25" s="9">
        <f t="shared" si="12"/>
        <v>0.15</v>
      </c>
      <c r="AF25" s="9">
        <f t="shared" si="12"/>
        <v>0.22</v>
      </c>
      <c r="AG25" s="18">
        <f t="shared" si="5"/>
        <v>3.8380994264184998</v>
      </c>
      <c r="AH25" s="19">
        <f t="shared" si="6"/>
        <v>8.7523647855328175</v>
      </c>
      <c r="AI25" s="20">
        <f t="shared" si="7"/>
        <v>14.731007207074017</v>
      </c>
      <c r="AJ25" s="20">
        <f t="shared" si="7"/>
        <v>76.603889339034922</v>
      </c>
      <c r="AK25" s="21">
        <f t="shared" si="8"/>
        <v>6.7577694746901855</v>
      </c>
      <c r="AL25" s="23" t="str">
        <f t="shared" si="9"/>
        <v>sedang</v>
      </c>
    </row>
    <row r="26" spans="1:38" ht="17.25" thickBot="1" x14ac:dyDescent="0.35">
      <c r="A26" s="13">
        <v>19</v>
      </c>
      <c r="B26" s="14" t="s">
        <v>24</v>
      </c>
      <c r="C26" s="14"/>
      <c r="D26" s="15">
        <v>42289</v>
      </c>
      <c r="E26" s="16">
        <v>492</v>
      </c>
      <c r="F26" s="17">
        <v>0</v>
      </c>
      <c r="G26" s="17">
        <v>76.8</v>
      </c>
      <c r="H26" s="17">
        <v>202</v>
      </c>
      <c r="I26" s="17"/>
      <c r="J26" s="17">
        <v>93</v>
      </c>
      <c r="K26" s="17">
        <v>150</v>
      </c>
      <c r="L26" s="6">
        <v>50</v>
      </c>
      <c r="M26" s="6">
        <v>4</v>
      </c>
      <c r="N26" s="6">
        <v>3</v>
      </c>
      <c r="O26" s="6">
        <v>25</v>
      </c>
      <c r="P26" s="6">
        <v>0.2</v>
      </c>
      <c r="Q26" s="6">
        <v>1000</v>
      </c>
      <c r="R26" s="6">
        <v>5000</v>
      </c>
      <c r="S26" s="7">
        <f t="shared" si="0"/>
        <v>9.84</v>
      </c>
      <c r="T26" s="7">
        <f t="shared" si="4"/>
        <v>0.58333333333333337</v>
      </c>
      <c r="U26" s="7">
        <f t="shared" si="10"/>
        <v>25.599999999999998</v>
      </c>
      <c r="V26" s="7">
        <f>H26/O26</f>
        <v>8.08</v>
      </c>
      <c r="W26" s="8">
        <f t="shared" si="10"/>
        <v>0</v>
      </c>
      <c r="X26" s="7">
        <f t="shared" si="10"/>
        <v>9.2999999999999999E-2</v>
      </c>
      <c r="Y26" s="7">
        <f t="shared" si="10"/>
        <v>0.03</v>
      </c>
      <c r="Z26" s="9">
        <f t="shared" si="2"/>
        <v>5.9649754921567073</v>
      </c>
      <c r="AA26" s="9">
        <f t="shared" si="11"/>
        <v>0.58333333333333337</v>
      </c>
      <c r="AB26" s="9">
        <f t="shared" si="2"/>
        <v>8.0411998265592484</v>
      </c>
      <c r="AC26" s="9">
        <f t="shared" si="2"/>
        <v>5.5370568038729306</v>
      </c>
      <c r="AD26" s="9">
        <f t="shared" si="12"/>
        <v>0</v>
      </c>
      <c r="AE26" s="9">
        <f t="shared" si="12"/>
        <v>9.2999999999999999E-2</v>
      </c>
      <c r="AF26" s="9">
        <f t="shared" si="12"/>
        <v>0.03</v>
      </c>
      <c r="AG26" s="18">
        <f t="shared" si="5"/>
        <v>2.8927950651317458</v>
      </c>
      <c r="AH26" s="19">
        <f t="shared" si="6"/>
        <v>8.0411998265592484</v>
      </c>
      <c r="AI26" s="20">
        <f t="shared" si="7"/>
        <v>8.3682632888505815</v>
      </c>
      <c r="AJ26" s="20">
        <f t="shared" si="7"/>
        <v>64.660894650656488</v>
      </c>
      <c r="AK26" s="21">
        <f t="shared" si="8"/>
        <v>6.042729430460505</v>
      </c>
      <c r="AL26" s="23" t="str">
        <f t="shared" si="9"/>
        <v>sedang</v>
      </c>
    </row>
    <row r="27" spans="1:38" ht="17.25" thickBot="1" x14ac:dyDescent="0.35">
      <c r="A27" s="13">
        <v>20</v>
      </c>
      <c r="B27" s="14" t="s">
        <v>25</v>
      </c>
      <c r="C27" s="14"/>
      <c r="D27" s="15">
        <v>42285</v>
      </c>
      <c r="E27" s="16">
        <v>2350</v>
      </c>
      <c r="F27" s="17">
        <v>1.18</v>
      </c>
      <c r="G27" s="17">
        <v>118</v>
      </c>
      <c r="H27" s="17">
        <v>410</v>
      </c>
      <c r="I27" s="17"/>
      <c r="J27" s="17">
        <v>43</v>
      </c>
      <c r="K27" s="17">
        <v>460</v>
      </c>
      <c r="L27" s="6">
        <v>50</v>
      </c>
      <c r="M27" s="6">
        <v>4</v>
      </c>
      <c r="N27" s="6">
        <v>3</v>
      </c>
      <c r="O27" s="6">
        <v>25</v>
      </c>
      <c r="P27" s="6">
        <v>0.2</v>
      </c>
      <c r="Q27" s="6">
        <v>1000</v>
      </c>
      <c r="R27" s="6">
        <v>5000</v>
      </c>
      <c r="S27" s="7">
        <f t="shared" si="0"/>
        <v>47</v>
      </c>
      <c r="T27" s="7">
        <f t="shared" si="4"/>
        <v>0.48500000000000004</v>
      </c>
      <c r="U27" s="7">
        <f t="shared" si="10"/>
        <v>39.333333333333336</v>
      </c>
      <c r="V27" s="7">
        <f>H27/O27</f>
        <v>16.399999999999999</v>
      </c>
      <c r="W27" s="8">
        <f t="shared" si="10"/>
        <v>0</v>
      </c>
      <c r="X27" s="7">
        <f t="shared" si="10"/>
        <v>4.2999999999999997E-2</v>
      </c>
      <c r="Y27" s="7">
        <f t="shared" si="10"/>
        <v>9.1999999999999998E-2</v>
      </c>
      <c r="Z27" s="9">
        <f t="shared" si="2"/>
        <v>9.3604892896785881</v>
      </c>
      <c r="AA27" s="9">
        <f t="shared" si="11"/>
        <v>0.48500000000000004</v>
      </c>
      <c r="AB27" s="9">
        <f t="shared" si="2"/>
        <v>8.9738037629323149</v>
      </c>
      <c r="AC27" s="9">
        <f>1+(5*(LOG10(H27/O27)))</f>
        <v>7.0742192402384889</v>
      </c>
      <c r="AD27" s="9">
        <f t="shared" si="12"/>
        <v>0</v>
      </c>
      <c r="AE27" s="9">
        <f t="shared" si="12"/>
        <v>4.2999999999999997E-2</v>
      </c>
      <c r="AF27" s="9">
        <f t="shared" si="12"/>
        <v>9.1999999999999998E-2</v>
      </c>
      <c r="AG27" s="18">
        <f t="shared" si="5"/>
        <v>3.7183588989784839</v>
      </c>
      <c r="AH27" s="19">
        <f t="shared" si="6"/>
        <v>9.3604892896785881</v>
      </c>
      <c r="AI27" s="20">
        <f t="shared" si="7"/>
        <v>13.826192901612483</v>
      </c>
      <c r="AJ27" s="20">
        <f t="shared" si="7"/>
        <v>87.618759742187564</v>
      </c>
      <c r="AK27" s="21">
        <f t="shared" si="8"/>
        <v>7.121971378902054</v>
      </c>
      <c r="AL27" s="23" t="str">
        <f t="shared" si="9"/>
        <v>sedang</v>
      </c>
    </row>
    <row r="28" spans="1:38" ht="17.25" thickBot="1" x14ac:dyDescent="0.35">
      <c r="A28" s="13">
        <v>21</v>
      </c>
      <c r="B28" s="14" t="s">
        <v>26</v>
      </c>
      <c r="C28" s="14"/>
      <c r="D28" s="15">
        <v>42296</v>
      </c>
      <c r="E28" s="16">
        <v>1680</v>
      </c>
      <c r="F28" s="17">
        <v>0</v>
      </c>
      <c r="G28" s="17">
        <v>282</v>
      </c>
      <c r="H28" s="17">
        <v>763</v>
      </c>
      <c r="I28" s="17"/>
      <c r="J28" s="17">
        <v>20</v>
      </c>
      <c r="K28" s="17">
        <v>210</v>
      </c>
      <c r="L28" s="6">
        <v>50</v>
      </c>
      <c r="M28" s="6">
        <v>4</v>
      </c>
      <c r="N28" s="6">
        <v>3</v>
      </c>
      <c r="O28" s="6">
        <v>25</v>
      </c>
      <c r="P28" s="6">
        <v>0.2</v>
      </c>
      <c r="Q28" s="6">
        <v>1000</v>
      </c>
      <c r="R28" s="6">
        <v>5000</v>
      </c>
      <c r="S28" s="7">
        <f t="shared" si="0"/>
        <v>33.6</v>
      </c>
      <c r="T28" s="7">
        <f t="shared" si="4"/>
        <v>0.58333333333333337</v>
      </c>
      <c r="U28" s="7">
        <f t="shared" si="10"/>
        <v>94</v>
      </c>
      <c r="V28" s="7">
        <f t="shared" si="10"/>
        <v>30.52</v>
      </c>
      <c r="W28" s="8">
        <f t="shared" si="10"/>
        <v>0</v>
      </c>
      <c r="X28" s="7">
        <f t="shared" si="10"/>
        <v>0.02</v>
      </c>
      <c r="Y28" s="7">
        <f t="shared" si="10"/>
        <v>4.2000000000000003E-2</v>
      </c>
      <c r="Z28" s="9">
        <f t="shared" si="2"/>
        <v>8.6316963869492209</v>
      </c>
      <c r="AA28" s="9">
        <f t="shared" si="11"/>
        <v>0.58333333333333337</v>
      </c>
      <c r="AB28" s="9">
        <f t="shared" si="2"/>
        <v>10.865639267998493</v>
      </c>
      <c r="AC28" s="9">
        <f>1+(5*(LOG10(H28/O28)))</f>
        <v>8.4229226464142144</v>
      </c>
      <c r="AD28" s="9">
        <f t="shared" si="12"/>
        <v>0</v>
      </c>
      <c r="AE28" s="9">
        <f t="shared" si="12"/>
        <v>0.02</v>
      </c>
      <c r="AF28" s="9">
        <f t="shared" si="12"/>
        <v>4.2000000000000003E-2</v>
      </c>
      <c r="AG28" s="18">
        <f t="shared" si="5"/>
        <v>4.0807988049564665</v>
      </c>
      <c r="AH28" s="19">
        <f t="shared" si="6"/>
        <v>10.865639267998493</v>
      </c>
      <c r="AI28" s="20">
        <f t="shared" si="7"/>
        <v>16.652918886534124</v>
      </c>
      <c r="AJ28" s="20">
        <f t="shared" si="7"/>
        <v>118.06211670227081</v>
      </c>
      <c r="AK28" s="21">
        <f t="shared" si="8"/>
        <v>8.207162590956905</v>
      </c>
      <c r="AL28" s="23" t="str">
        <f t="shared" si="9"/>
        <v>sedang</v>
      </c>
    </row>
    <row r="29" spans="1:38" ht="17.25" thickBot="1" x14ac:dyDescent="0.35">
      <c r="A29" s="13">
        <v>22</v>
      </c>
      <c r="B29" s="14" t="s">
        <v>27</v>
      </c>
      <c r="C29" s="14"/>
      <c r="D29" s="15">
        <v>42285</v>
      </c>
      <c r="E29" s="16">
        <v>386</v>
      </c>
      <c r="F29" s="17">
        <v>2.98</v>
      </c>
      <c r="G29" s="17">
        <v>23.1</v>
      </c>
      <c r="H29" s="17">
        <v>118</v>
      </c>
      <c r="I29" s="17"/>
      <c r="J29" s="17">
        <v>150</v>
      </c>
      <c r="K29" s="17">
        <v>210</v>
      </c>
      <c r="L29" s="6">
        <v>50</v>
      </c>
      <c r="M29" s="6">
        <v>4</v>
      </c>
      <c r="N29" s="6">
        <v>3</v>
      </c>
      <c r="O29" s="6">
        <v>25</v>
      </c>
      <c r="P29" s="6">
        <v>0.2</v>
      </c>
      <c r="Q29" s="6">
        <v>1000</v>
      </c>
      <c r="R29" s="6">
        <v>5000</v>
      </c>
      <c r="S29" s="7">
        <f t="shared" si="0"/>
        <v>7.72</v>
      </c>
      <c r="T29" s="7">
        <f t="shared" si="4"/>
        <v>0.33499999999999996</v>
      </c>
      <c r="U29" s="7">
        <f t="shared" si="10"/>
        <v>7.7</v>
      </c>
      <c r="V29" s="7">
        <f t="shared" si="10"/>
        <v>4.72</v>
      </c>
      <c r="W29" s="8">
        <f t="shared" si="10"/>
        <v>0</v>
      </c>
      <c r="X29" s="7">
        <f t="shared" si="10"/>
        <v>0.15</v>
      </c>
      <c r="Y29" s="7">
        <f t="shared" si="10"/>
        <v>4.2000000000000003E-2</v>
      </c>
      <c r="Z29" s="9">
        <f t="shared" si="2"/>
        <v>5.438086501678681</v>
      </c>
      <c r="AA29" s="9">
        <f t="shared" si="11"/>
        <v>0.33499999999999996</v>
      </c>
      <c r="AB29" s="9">
        <f t="shared" si="2"/>
        <v>5.4324536258624097</v>
      </c>
      <c r="AC29" s="9">
        <f t="shared" si="2"/>
        <v>4.3697099931704386</v>
      </c>
      <c r="AD29" s="9">
        <f t="shared" si="12"/>
        <v>0</v>
      </c>
      <c r="AE29" s="9">
        <f t="shared" si="12"/>
        <v>0.15</v>
      </c>
      <c r="AF29" s="9">
        <f t="shared" si="12"/>
        <v>4.2000000000000003E-2</v>
      </c>
      <c r="AG29" s="18">
        <f t="shared" si="5"/>
        <v>2.2524643029587899</v>
      </c>
      <c r="AH29" s="19">
        <f t="shared" si="6"/>
        <v>5.438086501678681</v>
      </c>
      <c r="AI29" s="20">
        <f t="shared" si="7"/>
        <v>5.0735954361036271</v>
      </c>
      <c r="AJ29" s="20">
        <f t="shared" si="7"/>
        <v>29.572784799739875</v>
      </c>
      <c r="AK29" s="21">
        <f t="shared" si="8"/>
        <v>4.162113659899469</v>
      </c>
      <c r="AL29" s="22" t="str">
        <f t="shared" si="9"/>
        <v>ringan</v>
      </c>
    </row>
    <row r="30" spans="1:38" ht="17.25" thickBot="1" x14ac:dyDescent="0.35">
      <c r="A30" s="13">
        <v>23</v>
      </c>
      <c r="B30" s="14" t="s">
        <v>28</v>
      </c>
      <c r="C30" s="14"/>
      <c r="D30" s="15">
        <f>D29</f>
        <v>42285</v>
      </c>
      <c r="E30" s="16">
        <v>413</v>
      </c>
      <c r="F30" s="17">
        <v>0.85799999999999998</v>
      </c>
      <c r="G30" s="17">
        <v>25.4</v>
      </c>
      <c r="H30" s="17">
        <v>126</v>
      </c>
      <c r="I30" s="17"/>
      <c r="J30" s="17">
        <v>120</v>
      </c>
      <c r="K30" s="17">
        <v>1100</v>
      </c>
      <c r="L30" s="6">
        <v>50</v>
      </c>
      <c r="M30" s="6">
        <v>4</v>
      </c>
      <c r="N30" s="6">
        <v>3</v>
      </c>
      <c r="O30" s="6">
        <v>25</v>
      </c>
      <c r="P30" s="6">
        <v>0.2</v>
      </c>
      <c r="Q30" s="6">
        <v>1000</v>
      </c>
      <c r="R30" s="6">
        <v>5000</v>
      </c>
      <c r="S30" s="7">
        <f t="shared" si="0"/>
        <v>8.26</v>
      </c>
      <c r="T30" s="7">
        <f t="shared" si="4"/>
        <v>0.51183333333333336</v>
      </c>
      <c r="U30" s="7">
        <f t="shared" si="10"/>
        <v>8.4666666666666668</v>
      </c>
      <c r="V30" s="7">
        <f t="shared" si="10"/>
        <v>5.04</v>
      </c>
      <c r="W30" s="8">
        <f t="shared" si="10"/>
        <v>0</v>
      </c>
      <c r="X30" s="7">
        <f t="shared" si="10"/>
        <v>0.12</v>
      </c>
      <c r="Y30" s="7">
        <f t="shared" si="10"/>
        <v>0.22</v>
      </c>
      <c r="Z30" s="9">
        <f t="shared" si="2"/>
        <v>5.5849002366019107</v>
      </c>
      <c r="AA30" s="9">
        <f t="shared" si="11"/>
        <v>0.51183333333333336</v>
      </c>
      <c r="AB30" s="9">
        <f t="shared" si="2"/>
        <v>5.6385623095013786</v>
      </c>
      <c r="AC30" s="9">
        <f t="shared" si="2"/>
        <v>4.5121526822276268</v>
      </c>
      <c r="AD30" s="9">
        <f t="shared" si="12"/>
        <v>0</v>
      </c>
      <c r="AE30" s="9">
        <f t="shared" si="12"/>
        <v>0.12</v>
      </c>
      <c r="AF30" s="9">
        <f t="shared" si="12"/>
        <v>0.22</v>
      </c>
      <c r="AG30" s="18">
        <f t="shared" si="5"/>
        <v>2.3696355088091785</v>
      </c>
      <c r="AH30" s="19">
        <f t="shared" si="6"/>
        <v>5.6385623095013786</v>
      </c>
      <c r="AI30" s="20">
        <f t="shared" si="7"/>
        <v>5.6151724446093345</v>
      </c>
      <c r="AJ30" s="20">
        <f t="shared" si="7"/>
        <v>31.793384918129519</v>
      </c>
      <c r="AK30" s="21">
        <f t="shared" si="8"/>
        <v>4.3248443534270029</v>
      </c>
      <c r="AL30" s="22" t="str">
        <f t="shared" si="9"/>
        <v>ringan</v>
      </c>
    </row>
    <row r="31" spans="1:38" ht="17.25" thickBot="1" x14ac:dyDescent="0.35">
      <c r="A31" s="13">
        <v>24</v>
      </c>
      <c r="B31" s="14" t="s">
        <v>29</v>
      </c>
      <c r="C31" s="14"/>
      <c r="D31" s="15">
        <v>42296</v>
      </c>
      <c r="E31" s="16">
        <v>620</v>
      </c>
      <c r="F31" s="17">
        <v>0</v>
      </c>
      <c r="G31" s="25">
        <v>62</v>
      </c>
      <c r="H31" s="17">
        <v>270</v>
      </c>
      <c r="I31" s="17"/>
      <c r="J31" s="17">
        <v>210</v>
      </c>
      <c r="K31" s="17">
        <v>1100</v>
      </c>
      <c r="L31" s="6">
        <v>50</v>
      </c>
      <c r="M31" s="6">
        <v>4</v>
      </c>
      <c r="N31" s="6">
        <v>3</v>
      </c>
      <c r="O31" s="6">
        <v>25</v>
      </c>
      <c r="P31" s="6">
        <v>0.2</v>
      </c>
      <c r="Q31" s="6">
        <v>1000</v>
      </c>
      <c r="R31" s="6">
        <v>5000</v>
      </c>
      <c r="S31" s="7">
        <f t="shared" si="0"/>
        <v>12.4</v>
      </c>
      <c r="T31" s="7">
        <f t="shared" si="4"/>
        <v>0.58333333333333337</v>
      </c>
      <c r="U31" s="7">
        <f t="shared" si="10"/>
        <v>20.666666666666668</v>
      </c>
      <c r="V31" s="7">
        <f t="shared" si="10"/>
        <v>10.8</v>
      </c>
      <c r="W31" s="8">
        <f t="shared" si="10"/>
        <v>0</v>
      </c>
      <c r="X31" s="7">
        <f t="shared" si="10"/>
        <v>0.21</v>
      </c>
      <c r="Y31" s="7">
        <f t="shared" si="10"/>
        <v>0.22</v>
      </c>
      <c r="Z31" s="9">
        <f t="shared" si="2"/>
        <v>6.4671084258111762</v>
      </c>
      <c r="AA31" s="9">
        <f t="shared" si="11"/>
        <v>0.58333333333333337</v>
      </c>
      <c r="AB31" s="9">
        <f t="shared" si="2"/>
        <v>7.5763521738929578</v>
      </c>
      <c r="AC31" s="9">
        <f t="shared" si="2"/>
        <v>6.167118777434748</v>
      </c>
      <c r="AD31" s="9">
        <f t="shared" si="12"/>
        <v>0</v>
      </c>
      <c r="AE31" s="9">
        <f t="shared" si="12"/>
        <v>0.21</v>
      </c>
      <c r="AF31" s="9">
        <f t="shared" si="12"/>
        <v>0.22</v>
      </c>
      <c r="AG31" s="18">
        <f t="shared" si="5"/>
        <v>3.0319875300674588</v>
      </c>
      <c r="AH31" s="19">
        <f t="shared" si="6"/>
        <v>7.5763521738929578</v>
      </c>
      <c r="AI31" s="20">
        <f t="shared" si="7"/>
        <v>9.1929483824845697</v>
      </c>
      <c r="AJ31" s="20">
        <f t="shared" si="7"/>
        <v>57.40111226285255</v>
      </c>
      <c r="AK31" s="21">
        <f t="shared" si="8"/>
        <v>5.7703579024761158</v>
      </c>
      <c r="AL31" s="23" t="str">
        <f t="shared" si="9"/>
        <v>sedang</v>
      </c>
    </row>
    <row r="32" spans="1:38" ht="17.25" thickBot="1" x14ac:dyDescent="0.35">
      <c r="A32" s="13">
        <v>25</v>
      </c>
      <c r="B32" s="14" t="s">
        <v>30</v>
      </c>
      <c r="C32" s="14"/>
      <c r="D32" s="15">
        <v>42289</v>
      </c>
      <c r="E32" s="16">
        <v>385</v>
      </c>
      <c r="F32" s="17">
        <v>0</v>
      </c>
      <c r="G32" s="17">
        <v>72.3</v>
      </c>
      <c r="H32" s="17">
        <v>187</v>
      </c>
      <c r="I32" s="17"/>
      <c r="J32" s="17">
        <v>210</v>
      </c>
      <c r="K32" s="17">
        <v>1100</v>
      </c>
      <c r="L32" s="6">
        <v>50</v>
      </c>
      <c r="M32" s="6">
        <v>4</v>
      </c>
      <c r="N32" s="6">
        <v>3</v>
      </c>
      <c r="O32" s="6">
        <v>25</v>
      </c>
      <c r="P32" s="6">
        <v>0.2</v>
      </c>
      <c r="Q32" s="6">
        <v>1000</v>
      </c>
      <c r="R32" s="6">
        <v>5000</v>
      </c>
      <c r="S32" s="7">
        <f t="shared" si="0"/>
        <v>7.7</v>
      </c>
      <c r="T32" s="7">
        <f t="shared" si="4"/>
        <v>0.58333333333333337</v>
      </c>
      <c r="U32" s="7">
        <f t="shared" si="10"/>
        <v>24.099999999999998</v>
      </c>
      <c r="V32" s="7">
        <f t="shared" si="10"/>
        <v>7.48</v>
      </c>
      <c r="W32" s="8">
        <f t="shared" si="10"/>
        <v>0</v>
      </c>
      <c r="X32" s="7">
        <f t="shared" si="10"/>
        <v>0.21</v>
      </c>
      <c r="Y32" s="7">
        <f t="shared" si="10"/>
        <v>0.22</v>
      </c>
      <c r="Z32" s="9">
        <f t="shared" si="2"/>
        <v>5.4324536258624097</v>
      </c>
      <c r="AA32" s="9">
        <f t="shared" si="11"/>
        <v>0.58333333333333337</v>
      </c>
      <c r="AB32" s="9">
        <f t="shared" si="2"/>
        <v>7.9100852128743417</v>
      </c>
      <c r="AC32" s="9">
        <f t="shared" si="2"/>
        <v>5.3695079893223072</v>
      </c>
      <c r="AD32" s="9">
        <f t="shared" si="12"/>
        <v>0</v>
      </c>
      <c r="AE32" s="9">
        <f t="shared" si="12"/>
        <v>0.21</v>
      </c>
      <c r="AF32" s="9">
        <f t="shared" si="12"/>
        <v>0.22</v>
      </c>
      <c r="AG32" s="18">
        <f t="shared" si="5"/>
        <v>2.8179114516274844</v>
      </c>
      <c r="AH32" s="19">
        <f t="shared" si="6"/>
        <v>7.9100852128743417</v>
      </c>
      <c r="AI32" s="20">
        <f t="shared" si="7"/>
        <v>7.9406249492133165</v>
      </c>
      <c r="AJ32" s="20">
        <f t="shared" si="7"/>
        <v>62.56944807493332</v>
      </c>
      <c r="AK32" s="21">
        <f t="shared" si="8"/>
        <v>5.9375951792011987</v>
      </c>
      <c r="AL32" s="23" t="str">
        <f t="shared" si="9"/>
        <v>sedang</v>
      </c>
    </row>
    <row r="33" spans="1:38" ht="17.25" thickBot="1" x14ac:dyDescent="0.35">
      <c r="A33" s="13">
        <v>26</v>
      </c>
      <c r="B33" s="14" t="s">
        <v>31</v>
      </c>
      <c r="C33" s="14"/>
      <c r="D33" s="15">
        <v>42289</v>
      </c>
      <c r="E33" s="16">
        <v>451</v>
      </c>
      <c r="F33" s="17">
        <v>0</v>
      </c>
      <c r="G33" s="17">
        <v>71.900000000000006</v>
      </c>
      <c r="H33" s="17">
        <v>246</v>
      </c>
      <c r="I33" s="17"/>
      <c r="J33" s="17">
        <v>43</v>
      </c>
      <c r="K33" s="17">
        <v>1100</v>
      </c>
      <c r="L33" s="6">
        <v>50</v>
      </c>
      <c r="M33" s="6">
        <v>4</v>
      </c>
      <c r="N33" s="6">
        <v>3</v>
      </c>
      <c r="O33" s="6">
        <v>25</v>
      </c>
      <c r="P33" s="6">
        <v>0.2</v>
      </c>
      <c r="Q33" s="6">
        <v>1000</v>
      </c>
      <c r="R33" s="6">
        <v>5000</v>
      </c>
      <c r="S33" s="7">
        <f t="shared" si="0"/>
        <v>9.02</v>
      </c>
      <c r="T33" s="7">
        <f t="shared" si="4"/>
        <v>0.58333333333333337</v>
      </c>
      <c r="U33" s="7">
        <f t="shared" si="10"/>
        <v>23.966666666666669</v>
      </c>
      <c r="V33" s="7">
        <f t="shared" si="10"/>
        <v>9.84</v>
      </c>
      <c r="W33" s="8">
        <f t="shared" si="10"/>
        <v>0</v>
      </c>
      <c r="X33" s="7">
        <f t="shared" si="10"/>
        <v>4.2999999999999997E-2</v>
      </c>
      <c r="Y33" s="7">
        <f t="shared" si="10"/>
        <v>0.22</v>
      </c>
      <c r="Z33" s="9">
        <f t="shared" si="2"/>
        <v>5.7760326877097086</v>
      </c>
      <c r="AA33" s="9">
        <f t="shared" si="11"/>
        <v>0.58333333333333337</v>
      </c>
      <c r="AB33" s="9">
        <f t="shared" si="2"/>
        <v>7.8980381783161011</v>
      </c>
      <c r="AC33" s="9">
        <f t="shared" si="2"/>
        <v>5.9649754921567073</v>
      </c>
      <c r="AD33" s="9">
        <f t="shared" si="12"/>
        <v>0</v>
      </c>
      <c r="AE33" s="9">
        <f t="shared" si="12"/>
        <v>4.2999999999999997E-2</v>
      </c>
      <c r="AF33" s="9">
        <f t="shared" si="12"/>
        <v>0.22</v>
      </c>
      <c r="AG33" s="18">
        <f t="shared" si="5"/>
        <v>2.9264828130736928</v>
      </c>
      <c r="AH33" s="19">
        <f t="shared" si="6"/>
        <v>7.8980381783161011</v>
      </c>
      <c r="AI33" s="20">
        <f t="shared" si="7"/>
        <v>8.564301655215715</v>
      </c>
      <c r="AJ33" s="20">
        <f t="shared" si="7"/>
        <v>62.379007066138719</v>
      </c>
      <c r="AK33" s="21">
        <f t="shared" si="8"/>
        <v>5.9558084556739415</v>
      </c>
      <c r="AL33" s="23" t="str">
        <f t="shared" si="9"/>
        <v>sedang</v>
      </c>
    </row>
    <row r="34" spans="1:38" ht="17.25" thickBot="1" x14ac:dyDescent="0.35">
      <c r="A34" s="13">
        <v>27</v>
      </c>
      <c r="B34" s="14" t="s">
        <v>32</v>
      </c>
      <c r="C34" s="14"/>
      <c r="D34" s="15">
        <v>42296</v>
      </c>
      <c r="E34" s="16">
        <v>2550</v>
      </c>
      <c r="F34" s="17">
        <v>0</v>
      </c>
      <c r="G34" s="17">
        <v>39.4</v>
      </c>
      <c r="H34" s="17">
        <v>315</v>
      </c>
      <c r="I34" s="17"/>
      <c r="J34" s="17">
        <v>28</v>
      </c>
      <c r="K34" s="17">
        <v>120</v>
      </c>
      <c r="L34" s="6">
        <v>50</v>
      </c>
      <c r="M34" s="6">
        <v>4</v>
      </c>
      <c r="N34" s="6">
        <v>3</v>
      </c>
      <c r="O34" s="6">
        <v>25</v>
      </c>
      <c r="P34" s="6">
        <v>0.2</v>
      </c>
      <c r="Q34" s="6">
        <v>1000</v>
      </c>
      <c r="R34" s="6">
        <v>5000</v>
      </c>
      <c r="S34" s="7">
        <f t="shared" si="0"/>
        <v>51</v>
      </c>
      <c r="T34" s="7">
        <f t="shared" si="4"/>
        <v>0.58333333333333337</v>
      </c>
      <c r="U34" s="7">
        <f t="shared" si="10"/>
        <v>13.133333333333333</v>
      </c>
      <c r="V34" s="7">
        <f t="shared" si="10"/>
        <v>12.6</v>
      </c>
      <c r="W34" s="8">
        <f t="shared" si="10"/>
        <v>0</v>
      </c>
      <c r="X34" s="7">
        <f t="shared" si="10"/>
        <v>2.8000000000000001E-2</v>
      </c>
      <c r="Y34" s="7">
        <f t="shared" si="10"/>
        <v>2.4E-2</v>
      </c>
      <c r="Z34" s="9">
        <f t="shared" si="2"/>
        <v>9.5378508804896818</v>
      </c>
      <c r="AA34" s="9">
        <f t="shared" si="11"/>
        <v>0.58333333333333337</v>
      </c>
      <c r="AB34" s="9">
        <f t="shared" si="2"/>
        <v>6.5918748355295591</v>
      </c>
      <c r="AC34" s="9">
        <f t="shared" si="2"/>
        <v>6.5018527255878151</v>
      </c>
      <c r="AD34" s="9">
        <f t="shared" si="12"/>
        <v>0</v>
      </c>
      <c r="AE34" s="9">
        <f t="shared" si="12"/>
        <v>2.8000000000000001E-2</v>
      </c>
      <c r="AF34" s="9">
        <f t="shared" si="12"/>
        <v>2.4E-2</v>
      </c>
      <c r="AG34" s="18">
        <f t="shared" si="5"/>
        <v>3.3238445392771987</v>
      </c>
      <c r="AH34" s="19">
        <f t="shared" si="6"/>
        <v>9.5378508804896818</v>
      </c>
      <c r="AI34" s="20">
        <f t="shared" si="7"/>
        <v>11.047942521282854</v>
      </c>
      <c r="AJ34" s="20">
        <f t="shared" si="7"/>
        <v>90.970599418457795</v>
      </c>
      <c r="AK34" s="21">
        <f t="shared" si="8"/>
        <v>7.1420774967701322</v>
      </c>
      <c r="AL34" s="23" t="str">
        <f t="shared" si="9"/>
        <v>sedang</v>
      </c>
    </row>
    <row r="35" spans="1:38" ht="17.25" thickBot="1" x14ac:dyDescent="0.35">
      <c r="A35" s="13">
        <v>28</v>
      </c>
      <c r="B35" s="14" t="s">
        <v>33</v>
      </c>
      <c r="C35" s="14"/>
      <c r="D35" s="15">
        <v>42285</v>
      </c>
      <c r="E35" s="16">
        <v>414</v>
      </c>
      <c r="F35" s="17">
        <v>0</v>
      </c>
      <c r="G35" s="17">
        <v>52.7</v>
      </c>
      <c r="H35" s="17">
        <v>176</v>
      </c>
      <c r="I35" s="17"/>
      <c r="J35" s="17">
        <v>460</v>
      </c>
      <c r="K35" s="17">
        <v>1100</v>
      </c>
      <c r="L35" s="6">
        <v>50</v>
      </c>
      <c r="M35" s="6">
        <v>4</v>
      </c>
      <c r="N35" s="6">
        <v>3</v>
      </c>
      <c r="O35" s="6">
        <v>25</v>
      </c>
      <c r="P35" s="6">
        <v>0.2</v>
      </c>
      <c r="Q35" s="6">
        <v>1000</v>
      </c>
      <c r="R35" s="6">
        <v>5000</v>
      </c>
      <c r="S35" s="7">
        <f t="shared" si="0"/>
        <v>8.2799999999999994</v>
      </c>
      <c r="T35" s="7">
        <f t="shared" si="4"/>
        <v>0.58333333333333337</v>
      </c>
      <c r="U35" s="7">
        <f t="shared" si="10"/>
        <v>17.566666666666666</v>
      </c>
      <c r="V35" s="7">
        <f t="shared" si="10"/>
        <v>7.04</v>
      </c>
      <c r="W35" s="8">
        <f t="shared" si="10"/>
        <v>0</v>
      </c>
      <c r="X35" s="7">
        <f t="shared" si="10"/>
        <v>0.46</v>
      </c>
      <c r="Y35" s="7">
        <f t="shared" si="10"/>
        <v>0.22</v>
      </c>
      <c r="Z35" s="9">
        <f t="shared" si="2"/>
        <v>5.5901516839244003</v>
      </c>
      <c r="AA35" s="9">
        <f t="shared" si="11"/>
        <v>0.58333333333333337</v>
      </c>
      <c r="AB35" s="9">
        <f t="shared" si="2"/>
        <v>7.2234468024644212</v>
      </c>
      <c r="AC35" s="9">
        <f t="shared" si="2"/>
        <v>5.2378632957105609</v>
      </c>
      <c r="AD35" s="9">
        <f t="shared" si="12"/>
        <v>0</v>
      </c>
      <c r="AE35" s="9">
        <f t="shared" si="12"/>
        <v>0.46</v>
      </c>
      <c r="AF35" s="9">
        <f t="shared" si="12"/>
        <v>0.22</v>
      </c>
      <c r="AG35" s="18">
        <f t="shared" si="5"/>
        <v>2.7592564450618164</v>
      </c>
      <c r="AH35" s="19">
        <f t="shared" si="6"/>
        <v>7.2234468024644212</v>
      </c>
      <c r="AI35" s="20">
        <f t="shared" si="7"/>
        <v>7.6134961296151733</v>
      </c>
      <c r="AJ35" s="20">
        <f t="shared" si="7"/>
        <v>52.178183708033472</v>
      </c>
      <c r="AK35" s="21">
        <f t="shared" si="8"/>
        <v>5.4677088363248023</v>
      </c>
      <c r="AL35" s="23" t="str">
        <f t="shared" si="9"/>
        <v>sedang</v>
      </c>
    </row>
    <row r="36" spans="1:38" ht="17.25" thickBot="1" x14ac:dyDescent="0.35">
      <c r="A36" s="13">
        <v>29</v>
      </c>
      <c r="B36" s="14" t="s">
        <v>34</v>
      </c>
      <c r="C36" s="14"/>
      <c r="D36" s="15">
        <v>42285</v>
      </c>
      <c r="E36" s="16">
        <v>1010</v>
      </c>
      <c r="F36" s="17">
        <v>0</v>
      </c>
      <c r="G36" s="17">
        <v>315</v>
      </c>
      <c r="H36" s="17">
        <v>778</v>
      </c>
      <c r="I36" s="17"/>
      <c r="J36" s="17">
        <v>75</v>
      </c>
      <c r="K36" s="17">
        <v>150</v>
      </c>
      <c r="L36" s="6">
        <v>50</v>
      </c>
      <c r="M36" s="6">
        <v>4</v>
      </c>
      <c r="N36" s="6">
        <v>3</v>
      </c>
      <c r="O36" s="6">
        <v>25</v>
      </c>
      <c r="P36" s="6">
        <v>0.2</v>
      </c>
      <c r="Q36" s="6">
        <v>1000</v>
      </c>
      <c r="R36" s="6">
        <v>5000</v>
      </c>
      <c r="S36" s="7">
        <f t="shared" si="0"/>
        <v>20.2</v>
      </c>
      <c r="T36" s="7">
        <f t="shared" si="4"/>
        <v>0.58333333333333337</v>
      </c>
      <c r="U36" s="7">
        <f t="shared" si="10"/>
        <v>105</v>
      </c>
      <c r="V36" s="7">
        <f t="shared" si="10"/>
        <v>31.12</v>
      </c>
      <c r="W36" s="8">
        <f t="shared" si="10"/>
        <v>0</v>
      </c>
      <c r="X36" s="7">
        <f t="shared" si="10"/>
        <v>7.4999999999999997E-2</v>
      </c>
      <c r="Y36" s="7">
        <f t="shared" si="10"/>
        <v>0.03</v>
      </c>
      <c r="Z36" s="9">
        <f t="shared" si="2"/>
        <v>7.5267568472331181</v>
      </c>
      <c r="AA36" s="9">
        <f t="shared" si="11"/>
        <v>0.58333333333333337</v>
      </c>
      <c r="AB36" s="9">
        <f t="shared" si="2"/>
        <v>11.105946495349691</v>
      </c>
      <c r="AC36" s="9">
        <f t="shared" si="2"/>
        <v>8.4651979415882561</v>
      </c>
      <c r="AD36" s="9">
        <f t="shared" si="12"/>
        <v>0</v>
      </c>
      <c r="AE36" s="9">
        <f t="shared" si="12"/>
        <v>7.4999999999999997E-2</v>
      </c>
      <c r="AF36" s="9">
        <f t="shared" si="12"/>
        <v>0.03</v>
      </c>
      <c r="AG36" s="18">
        <f t="shared" si="5"/>
        <v>3.9694620882149145</v>
      </c>
      <c r="AH36" s="19">
        <f t="shared" si="6"/>
        <v>11.105946495349691</v>
      </c>
      <c r="AI36" s="20">
        <f t="shared" si="7"/>
        <v>15.756629269775511</v>
      </c>
      <c r="AJ36" s="20">
        <f t="shared" si="7"/>
        <v>123.3420475575701</v>
      </c>
      <c r="AK36" s="21">
        <f t="shared" si="8"/>
        <v>8.3396245966873597</v>
      </c>
      <c r="AL36" s="23" t="str">
        <f t="shared" si="9"/>
        <v>sedang</v>
      </c>
    </row>
    <row r="37" spans="1:38" ht="16.5" x14ac:dyDescent="0.3">
      <c r="A37" s="13">
        <v>30</v>
      </c>
      <c r="B37" s="14" t="s">
        <v>35</v>
      </c>
      <c r="C37" s="14"/>
      <c r="D37" s="15">
        <v>42296</v>
      </c>
      <c r="E37" s="16">
        <v>1752</v>
      </c>
      <c r="F37" s="17">
        <v>0</v>
      </c>
      <c r="G37" s="17">
        <v>63.8</v>
      </c>
      <c r="H37" s="17">
        <v>627</v>
      </c>
      <c r="I37" s="17"/>
      <c r="J37" s="17">
        <v>18</v>
      </c>
      <c r="K37" s="17">
        <v>43</v>
      </c>
      <c r="L37" s="6">
        <v>50</v>
      </c>
      <c r="M37" s="6">
        <v>4</v>
      </c>
      <c r="N37" s="6">
        <v>3</v>
      </c>
      <c r="O37" s="6">
        <v>25</v>
      </c>
      <c r="P37" s="6">
        <v>0.2</v>
      </c>
      <c r="Q37" s="6">
        <v>1000</v>
      </c>
      <c r="R37" s="6">
        <v>5000</v>
      </c>
      <c r="S37" s="7">
        <f t="shared" si="0"/>
        <v>35.04</v>
      </c>
      <c r="T37" s="7">
        <f t="shared" si="4"/>
        <v>0.58333333333333337</v>
      </c>
      <c r="U37" s="7">
        <f t="shared" si="10"/>
        <v>21.266666666666666</v>
      </c>
      <c r="V37" s="7">
        <f t="shared" si="10"/>
        <v>25.08</v>
      </c>
      <c r="W37" s="8">
        <f t="shared" si="10"/>
        <v>0</v>
      </c>
      <c r="X37" s="7">
        <f t="shared" si="10"/>
        <v>1.7999999999999999E-2</v>
      </c>
      <c r="Y37" s="7">
        <f t="shared" si="10"/>
        <v>8.6E-3</v>
      </c>
      <c r="Z37" s="9">
        <f t="shared" si="2"/>
        <v>8.7228204874802149</v>
      </c>
      <c r="AA37" s="9">
        <f t="shared" si="11"/>
        <v>0.58333333333333337</v>
      </c>
      <c r="AB37" s="9">
        <f t="shared" si="2"/>
        <v>7.6384971200074991</v>
      </c>
      <c r="AC37" s="9">
        <f t="shared" si="2"/>
        <v>7.9966376607933949</v>
      </c>
      <c r="AD37" s="9">
        <f t="shared" si="12"/>
        <v>0</v>
      </c>
      <c r="AE37" s="9">
        <f t="shared" si="12"/>
        <v>1.7999999999999999E-2</v>
      </c>
      <c r="AF37" s="9">
        <f t="shared" si="12"/>
        <v>8.6E-3</v>
      </c>
      <c r="AG37" s="18">
        <f t="shared" si="5"/>
        <v>3.5668412288020641</v>
      </c>
      <c r="AH37" s="19">
        <f t="shared" si="6"/>
        <v>8.7228204874802149</v>
      </c>
      <c r="AI37" s="20">
        <f t="shared" si="7"/>
        <v>12.722356351482219</v>
      </c>
      <c r="AJ37" s="20">
        <f t="shared" si="7"/>
        <v>76.087597256804571</v>
      </c>
      <c r="AK37" s="21">
        <f t="shared" si="8"/>
        <v>6.6637059361997206</v>
      </c>
      <c r="AL37" s="23" t="str">
        <f t="shared" si="9"/>
        <v>sedang</v>
      </c>
    </row>
    <row r="39" spans="1:38" x14ac:dyDescent="0.25">
      <c r="A39" s="1" t="s">
        <v>36</v>
      </c>
    </row>
    <row r="40" spans="1:38" x14ac:dyDescent="0.25">
      <c r="A40" s="26" t="s">
        <v>37</v>
      </c>
      <c r="B40" s="1" t="s">
        <v>38</v>
      </c>
    </row>
    <row r="41" spans="1:38" x14ac:dyDescent="0.25">
      <c r="A41" s="26" t="s">
        <v>39</v>
      </c>
      <c r="B41" s="1" t="s">
        <v>40</v>
      </c>
    </row>
    <row r="43" spans="1:38" ht="16.5" x14ac:dyDescent="0.3">
      <c r="A43" s="26" t="s">
        <v>41</v>
      </c>
      <c r="B43" s="27" t="s">
        <v>42</v>
      </c>
      <c r="D43" s="28"/>
    </row>
    <row r="44" spans="1:38" ht="16.5" x14ac:dyDescent="0.3">
      <c r="B44" s="29" t="s">
        <v>43</v>
      </c>
      <c r="C44" s="30" t="s">
        <v>44</v>
      </c>
      <c r="D44" s="30" t="s">
        <v>45</v>
      </c>
      <c r="E44" s="30" t="s">
        <v>46</v>
      </c>
      <c r="F44" s="31" t="s">
        <v>47</v>
      </c>
    </row>
    <row r="45" spans="1:38" x14ac:dyDescent="0.25">
      <c r="B45" s="13" t="s">
        <v>48</v>
      </c>
      <c r="C45" s="13">
        <v>0</v>
      </c>
      <c r="D45" s="32">
        <f>C45/C49</f>
        <v>0</v>
      </c>
      <c r="E45" s="13">
        <v>70</v>
      </c>
      <c r="F45" s="33">
        <f>E45*D45</f>
        <v>0</v>
      </c>
    </row>
    <row r="46" spans="1:38" x14ac:dyDescent="0.25">
      <c r="B46" s="13" t="s">
        <v>49</v>
      </c>
      <c r="C46" s="13">
        <v>12</v>
      </c>
      <c r="D46" s="32">
        <f>C46/C49</f>
        <v>0.4</v>
      </c>
      <c r="E46" s="13">
        <v>50</v>
      </c>
      <c r="F46" s="33">
        <f>D46*E46</f>
        <v>20</v>
      </c>
    </row>
    <row r="47" spans="1:38" x14ac:dyDescent="0.25">
      <c r="B47" s="13" t="s">
        <v>50</v>
      </c>
      <c r="C47" s="13">
        <v>18</v>
      </c>
      <c r="D47" s="32">
        <f>C47/C49</f>
        <v>0.6</v>
      </c>
      <c r="E47" s="13">
        <v>30</v>
      </c>
      <c r="F47" s="33">
        <f>E47*D47</f>
        <v>18</v>
      </c>
    </row>
    <row r="48" spans="1:38" x14ac:dyDescent="0.25">
      <c r="B48" s="13" t="s">
        <v>51</v>
      </c>
      <c r="C48" s="13">
        <v>0</v>
      </c>
      <c r="D48" s="32">
        <f>C48/C49</f>
        <v>0</v>
      </c>
      <c r="E48" s="13">
        <v>10</v>
      </c>
      <c r="F48" s="33">
        <f>E48*D48</f>
        <v>0</v>
      </c>
    </row>
    <row r="49" spans="2:6" x14ac:dyDescent="0.25">
      <c r="B49" s="13"/>
      <c r="C49" s="13">
        <f>SUM(C45:C48)</f>
        <v>30</v>
      </c>
      <c r="D49" s="34"/>
      <c r="E49" s="13"/>
      <c r="F49" s="35"/>
    </row>
    <row r="50" spans="2:6" x14ac:dyDescent="0.25">
      <c r="B50" s="486" t="s">
        <v>373</v>
      </c>
      <c r="C50" s="37"/>
      <c r="D50" s="37"/>
      <c r="E50" s="37"/>
      <c r="F50" s="38">
        <f>SUM(F45:F49)</f>
        <v>38</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50"/>
  <sheetViews>
    <sheetView view="pageBreakPreview" zoomScale="110" zoomScaleSheetLayoutView="110" workbookViewId="0">
      <selection activeCell="D30" sqref="D30"/>
    </sheetView>
  </sheetViews>
  <sheetFormatPr defaultColWidth="9.140625" defaultRowHeight="15" x14ac:dyDescent="0.25"/>
  <cols>
    <col min="1" max="2" width="9.140625" style="39"/>
    <col min="3" max="3" width="17.28515625" style="39" customWidth="1"/>
    <col min="4" max="4" width="19.42578125" style="39" customWidth="1"/>
    <col min="5" max="5" width="17.28515625" style="39" bestFit="1" customWidth="1"/>
    <col min="6" max="6" width="10.7109375" style="39" bestFit="1" customWidth="1"/>
    <col min="7" max="7" width="11.28515625" style="39" bestFit="1" customWidth="1"/>
    <col min="8" max="8" width="11.140625" style="39" bestFit="1" customWidth="1"/>
    <col min="9" max="9" width="13.140625" style="39" customWidth="1"/>
    <col min="10" max="10" width="11.42578125" style="39" customWidth="1"/>
    <col min="11" max="11" width="11.7109375" style="39" customWidth="1"/>
    <col min="12" max="16384" width="9.140625" style="39"/>
  </cols>
  <sheetData>
    <row r="1" spans="1:12" ht="34.5" x14ac:dyDescent="0.35">
      <c r="A1" s="506" t="s">
        <v>4</v>
      </c>
      <c r="B1" s="506" t="s">
        <v>90</v>
      </c>
      <c r="C1" s="506" t="s">
        <v>89</v>
      </c>
      <c r="D1" s="507" t="s">
        <v>88</v>
      </c>
      <c r="E1" s="51" t="s">
        <v>87</v>
      </c>
      <c r="F1" s="51" t="s">
        <v>86</v>
      </c>
      <c r="G1" s="51" t="s">
        <v>85</v>
      </c>
      <c r="H1" s="52" t="s">
        <v>84</v>
      </c>
      <c r="I1" s="51" t="s">
        <v>83</v>
      </c>
      <c r="J1" s="51" t="s">
        <v>82</v>
      </c>
      <c r="K1" s="51" t="s">
        <v>81</v>
      </c>
      <c r="L1" s="50" t="s">
        <v>80</v>
      </c>
    </row>
    <row r="2" spans="1:12" ht="39.75" customHeight="1" x14ac:dyDescent="0.3">
      <c r="A2" s="506"/>
      <c r="B2" s="506"/>
      <c r="C2" s="506"/>
      <c r="D2" s="507"/>
      <c r="E2" s="48" t="s">
        <v>79</v>
      </c>
      <c r="F2" s="48" t="s">
        <v>79</v>
      </c>
      <c r="G2" s="48" t="s">
        <v>79</v>
      </c>
      <c r="H2" s="49" t="s">
        <v>79</v>
      </c>
      <c r="I2" s="48" t="s">
        <v>79</v>
      </c>
      <c r="J2" s="48" t="s">
        <v>79</v>
      </c>
      <c r="K2" s="47" t="s">
        <v>78</v>
      </c>
      <c r="L2" s="46" t="s">
        <v>78</v>
      </c>
    </row>
    <row r="3" spans="1:12" ht="16.5" x14ac:dyDescent="0.3">
      <c r="A3" s="508">
        <v>1</v>
      </c>
      <c r="B3" s="509" t="s">
        <v>77</v>
      </c>
      <c r="C3" s="509" t="s">
        <v>76</v>
      </c>
      <c r="D3" s="42" t="s">
        <v>75</v>
      </c>
      <c r="E3" s="41">
        <v>8.24</v>
      </c>
      <c r="F3" s="41"/>
      <c r="G3" s="41">
        <v>13.65</v>
      </c>
      <c r="H3" s="41"/>
      <c r="I3" s="45">
        <f>AVERAGE(E3:E10)</f>
        <v>26.07</v>
      </c>
      <c r="J3" s="45">
        <f>AVERAGE(G3:G10)</f>
        <v>14.837499999999999</v>
      </c>
      <c r="K3" s="44">
        <f>((I3/20)+(J3/40))/2</f>
        <v>0.83721875000000001</v>
      </c>
      <c r="L3" s="43">
        <f>100-(50/0.9*(K3-0.1))</f>
        <v>59.043402777777771</v>
      </c>
    </row>
    <row r="4" spans="1:12" ht="16.5" x14ac:dyDescent="0.3">
      <c r="A4" s="508"/>
      <c r="B4" s="509"/>
      <c r="C4" s="509"/>
      <c r="D4" s="42" t="s">
        <v>74</v>
      </c>
      <c r="E4" s="41">
        <v>120.98</v>
      </c>
      <c r="F4" s="41"/>
      <c r="G4" s="41">
        <v>22.18</v>
      </c>
      <c r="H4" s="41"/>
      <c r="I4" s="505"/>
      <c r="J4" s="505"/>
      <c r="K4" s="505"/>
      <c r="L4" s="505"/>
    </row>
    <row r="5" spans="1:12" ht="16.5" x14ac:dyDescent="0.3">
      <c r="A5" s="508"/>
      <c r="B5" s="509"/>
      <c r="C5" s="509"/>
      <c r="D5" s="42" t="s">
        <v>73</v>
      </c>
      <c r="E5" s="41">
        <v>4.68</v>
      </c>
      <c r="F5" s="41"/>
      <c r="G5" s="41">
        <v>18.350000000000001</v>
      </c>
      <c r="H5" s="41"/>
      <c r="I5" s="505"/>
      <c r="J5" s="505"/>
      <c r="K5" s="505"/>
      <c r="L5" s="505"/>
    </row>
    <row r="6" spans="1:12" ht="16.5" x14ac:dyDescent="0.3">
      <c r="A6" s="508"/>
      <c r="B6" s="509"/>
      <c r="C6" s="509"/>
      <c r="D6" s="42" t="s">
        <v>72</v>
      </c>
      <c r="E6" s="41">
        <v>44.24</v>
      </c>
      <c r="F6" s="41"/>
      <c r="G6" s="41">
        <v>10.92</v>
      </c>
      <c r="H6" s="41"/>
      <c r="I6" s="505"/>
      <c r="J6" s="505"/>
      <c r="K6" s="505"/>
      <c r="L6" s="505"/>
    </row>
    <row r="7" spans="1:12" ht="16.5" x14ac:dyDescent="0.3">
      <c r="A7" s="508"/>
      <c r="B7" s="509"/>
      <c r="C7" s="509"/>
      <c r="D7" s="42" t="s">
        <v>71</v>
      </c>
      <c r="E7" s="41">
        <v>2.2200000000000002</v>
      </c>
      <c r="F7" s="41"/>
      <c r="G7" s="41">
        <v>19.59</v>
      </c>
      <c r="H7" s="41"/>
      <c r="I7" s="505"/>
      <c r="J7" s="505"/>
      <c r="K7" s="505"/>
      <c r="L7" s="505"/>
    </row>
    <row r="8" spans="1:12" ht="16.5" x14ac:dyDescent="0.3">
      <c r="A8" s="508"/>
      <c r="B8" s="509"/>
      <c r="C8" s="509"/>
      <c r="D8" s="42" t="s">
        <v>70</v>
      </c>
      <c r="E8" s="41">
        <v>18.260000000000002</v>
      </c>
      <c r="F8" s="41"/>
      <c r="G8" s="41">
        <v>11.57</v>
      </c>
      <c r="H8" s="41"/>
      <c r="I8" s="505"/>
      <c r="J8" s="505"/>
      <c r="K8" s="505"/>
      <c r="L8" s="505"/>
    </row>
    <row r="9" spans="1:12" ht="33" x14ac:dyDescent="0.3">
      <c r="A9" s="508"/>
      <c r="B9" s="509"/>
      <c r="C9" s="509"/>
      <c r="D9" s="42" t="s">
        <v>69</v>
      </c>
      <c r="E9" s="41">
        <v>7.1</v>
      </c>
      <c r="F9" s="41"/>
      <c r="G9" s="41">
        <v>8.19</v>
      </c>
      <c r="H9" s="41"/>
      <c r="I9" s="505"/>
      <c r="J9" s="505"/>
      <c r="K9" s="505"/>
      <c r="L9" s="505"/>
    </row>
    <row r="10" spans="1:12" ht="16.5" x14ac:dyDescent="0.3">
      <c r="A10" s="508"/>
      <c r="B10" s="509"/>
      <c r="C10" s="509"/>
      <c r="D10" s="42" t="s">
        <v>68</v>
      </c>
      <c r="E10" s="41">
        <v>2.84</v>
      </c>
      <c r="F10" s="41"/>
      <c r="G10" s="41">
        <v>14.25</v>
      </c>
      <c r="H10" s="41"/>
      <c r="I10" s="505"/>
      <c r="J10" s="505"/>
      <c r="K10" s="505"/>
      <c r="L10" s="505"/>
    </row>
    <row r="11" spans="1:12" ht="16.5" x14ac:dyDescent="0.3">
      <c r="A11" s="40"/>
      <c r="B11" s="40"/>
      <c r="C11" s="40"/>
      <c r="D11" s="40"/>
      <c r="E11" s="40"/>
      <c r="F11" s="40"/>
      <c r="G11" s="40"/>
      <c r="H11" s="40"/>
    </row>
    <row r="12" spans="1:12" ht="16.5" x14ac:dyDescent="0.3">
      <c r="A12" s="40"/>
      <c r="B12" s="40"/>
      <c r="C12" s="40"/>
      <c r="D12" s="40"/>
      <c r="E12" s="40"/>
      <c r="F12" s="40"/>
      <c r="G12" s="40"/>
      <c r="H12" s="40"/>
    </row>
    <row r="13" spans="1:12" ht="16.5" x14ac:dyDescent="0.3">
      <c r="A13" s="40"/>
      <c r="B13" s="40"/>
      <c r="C13" s="40"/>
      <c r="D13" s="40"/>
      <c r="E13" s="40"/>
      <c r="F13" s="40"/>
      <c r="G13" s="40"/>
      <c r="H13" s="40"/>
    </row>
    <row r="14" spans="1:12" x14ac:dyDescent="0.25">
      <c r="H14" s="39">
        <f>(G4+H4)/2</f>
        <v>11.09</v>
      </c>
    </row>
    <row r="17" spans="2:5" x14ac:dyDescent="0.25">
      <c r="B17" s="39" t="s">
        <v>67</v>
      </c>
    </row>
    <row r="18" spans="2:5" x14ac:dyDescent="0.25">
      <c r="B18" s="39" t="s">
        <v>64</v>
      </c>
      <c r="C18" s="39" t="s">
        <v>63</v>
      </c>
      <c r="D18" s="39" t="s">
        <v>66</v>
      </c>
      <c r="E18" s="39" t="s">
        <v>20</v>
      </c>
    </row>
    <row r="19" spans="2:5" x14ac:dyDescent="0.25">
      <c r="B19" s="39">
        <v>1</v>
      </c>
      <c r="C19" s="39" t="s">
        <v>21</v>
      </c>
      <c r="D19" s="39">
        <v>-21</v>
      </c>
      <c r="E19" s="39" t="s">
        <v>58</v>
      </c>
    </row>
    <row r="20" spans="2:5" x14ac:dyDescent="0.25">
      <c r="B20" s="39">
        <v>2</v>
      </c>
      <c r="C20" s="39" t="s">
        <v>61</v>
      </c>
      <c r="D20" s="39">
        <v>-21</v>
      </c>
      <c r="E20" s="39" t="s">
        <v>58</v>
      </c>
    </row>
    <row r="21" spans="2:5" x14ac:dyDescent="0.25">
      <c r="B21" s="39">
        <v>3</v>
      </c>
      <c r="C21" s="39" t="s">
        <v>60</v>
      </c>
      <c r="D21" s="39">
        <v>-36</v>
      </c>
      <c r="E21" s="39" t="s">
        <v>53</v>
      </c>
    </row>
    <row r="22" spans="2:5" x14ac:dyDescent="0.25">
      <c r="B22" s="39">
        <v>4</v>
      </c>
      <c r="C22" s="39" t="s">
        <v>30</v>
      </c>
      <c r="D22" s="39">
        <v>-48</v>
      </c>
      <c r="E22" s="39" t="s">
        <v>53</v>
      </c>
    </row>
    <row r="23" spans="2:5" x14ac:dyDescent="0.25">
      <c r="B23" s="39">
        <v>5</v>
      </c>
      <c r="C23" s="39" t="s">
        <v>31</v>
      </c>
      <c r="D23" s="39">
        <v>-48</v>
      </c>
      <c r="E23" s="39" t="s">
        <v>53</v>
      </c>
    </row>
    <row r="24" spans="2:5" x14ac:dyDescent="0.25">
      <c r="B24" s="39">
        <v>6</v>
      </c>
      <c r="C24" s="39" t="s">
        <v>32</v>
      </c>
      <c r="D24" s="39">
        <v>-54</v>
      </c>
      <c r="E24" s="39" t="s">
        <v>53</v>
      </c>
    </row>
    <row r="25" spans="2:5" x14ac:dyDescent="0.25">
      <c r="B25" s="39">
        <v>7</v>
      </c>
      <c r="C25" s="39" t="s">
        <v>24</v>
      </c>
      <c r="D25" s="39">
        <v>-36</v>
      </c>
      <c r="E25" s="39" t="s">
        <v>53</v>
      </c>
    </row>
    <row r="26" spans="2:5" x14ac:dyDescent="0.25">
      <c r="B26" s="39">
        <v>8</v>
      </c>
      <c r="C26" s="39" t="s">
        <v>65</v>
      </c>
      <c r="D26" s="39">
        <v>-51</v>
      </c>
      <c r="E26" s="39" t="s">
        <v>53</v>
      </c>
    </row>
    <row r="27" spans="2:5" x14ac:dyDescent="0.25">
      <c r="B27" s="39">
        <v>9</v>
      </c>
      <c r="C27" s="39" t="s">
        <v>26</v>
      </c>
      <c r="D27" s="39">
        <v>-60</v>
      </c>
      <c r="E27" s="39" t="s">
        <v>53</v>
      </c>
    </row>
    <row r="28" spans="2:5" x14ac:dyDescent="0.25">
      <c r="B28" s="39">
        <v>10</v>
      </c>
      <c r="C28" s="39" t="s">
        <v>33</v>
      </c>
      <c r="E28" s="39" t="s">
        <v>53</v>
      </c>
    </row>
    <row r="29" spans="2:5" x14ac:dyDescent="0.25">
      <c r="B29" s="39">
        <v>11</v>
      </c>
      <c r="C29" s="39" t="s">
        <v>34</v>
      </c>
      <c r="D29" s="39">
        <v>-51</v>
      </c>
      <c r="E29" s="39" t="s">
        <v>53</v>
      </c>
    </row>
    <row r="30" spans="2:5" x14ac:dyDescent="0.25">
      <c r="B30" s="39">
        <v>12</v>
      </c>
      <c r="C30" s="39" t="s">
        <v>54</v>
      </c>
      <c r="D30" s="39">
        <v>-54</v>
      </c>
      <c r="E30" s="39" t="s">
        <v>53</v>
      </c>
    </row>
    <row r="31" spans="2:5" x14ac:dyDescent="0.25">
      <c r="B31" s="39">
        <v>13</v>
      </c>
      <c r="C31" s="39" t="s">
        <v>27</v>
      </c>
      <c r="D31" s="39">
        <v>-51</v>
      </c>
      <c r="E31" s="39" t="s">
        <v>53</v>
      </c>
    </row>
    <row r="32" spans="2:5" x14ac:dyDescent="0.25">
      <c r="B32" s="39">
        <v>14</v>
      </c>
      <c r="C32" s="39" t="s">
        <v>28</v>
      </c>
      <c r="D32" s="39">
        <v>-45</v>
      </c>
      <c r="E32" s="39" t="s">
        <v>53</v>
      </c>
    </row>
    <row r="33" spans="2:5" x14ac:dyDescent="0.25">
      <c r="B33" s="39">
        <v>15</v>
      </c>
      <c r="C33" s="39" t="s">
        <v>29</v>
      </c>
      <c r="D33" s="39">
        <v>-36</v>
      </c>
      <c r="E33" s="39" t="s">
        <v>53</v>
      </c>
    </row>
    <row r="35" spans="2:5" x14ac:dyDescent="0.25">
      <c r="B35" s="39" t="s">
        <v>64</v>
      </c>
      <c r="C35" s="39" t="s">
        <v>63</v>
      </c>
      <c r="D35" s="39" t="s">
        <v>62</v>
      </c>
      <c r="E35" s="39" t="s">
        <v>20</v>
      </c>
    </row>
    <row r="36" spans="2:5" x14ac:dyDescent="0.25">
      <c r="B36" s="39">
        <v>1</v>
      </c>
      <c r="C36" s="39" t="s">
        <v>21</v>
      </c>
      <c r="D36" s="39">
        <v>1.5534067121083071</v>
      </c>
      <c r="E36" s="39" t="s">
        <v>55</v>
      </c>
    </row>
    <row r="37" spans="2:5" x14ac:dyDescent="0.25">
      <c r="B37" s="39">
        <v>2</v>
      </c>
      <c r="C37" s="39" t="s">
        <v>61</v>
      </c>
      <c r="D37" s="39">
        <v>3.193255044621397</v>
      </c>
      <c r="E37" s="39" t="s">
        <v>55</v>
      </c>
    </row>
    <row r="38" spans="2:5" x14ac:dyDescent="0.25">
      <c r="B38" s="39">
        <v>3</v>
      </c>
      <c r="C38" s="39" t="s">
        <v>60</v>
      </c>
      <c r="D38" s="39">
        <v>130.81780551275889</v>
      </c>
      <c r="E38" s="39" t="s">
        <v>53</v>
      </c>
    </row>
    <row r="39" spans="2:5" x14ac:dyDescent="0.25">
      <c r="B39" s="39">
        <v>4</v>
      </c>
      <c r="C39" s="39" t="s">
        <v>30</v>
      </c>
      <c r="D39" s="39">
        <v>13.207565114489205</v>
      </c>
      <c r="E39" s="39" t="s">
        <v>53</v>
      </c>
    </row>
    <row r="40" spans="2:5" x14ac:dyDescent="0.25">
      <c r="B40" s="39">
        <v>5</v>
      </c>
      <c r="C40" s="39" t="s">
        <v>31</v>
      </c>
      <c r="D40" s="39">
        <v>130.64535341165239</v>
      </c>
      <c r="E40" s="39" t="s">
        <v>53</v>
      </c>
    </row>
    <row r="41" spans="2:5" x14ac:dyDescent="0.25">
      <c r="B41" s="39">
        <v>6</v>
      </c>
      <c r="C41" s="39" t="s">
        <v>32</v>
      </c>
      <c r="D41" s="39">
        <v>130.86717160156678</v>
      </c>
      <c r="E41" s="39" t="s">
        <v>53</v>
      </c>
    </row>
    <row r="42" spans="2:5" x14ac:dyDescent="0.25">
      <c r="B42" s="39">
        <v>7</v>
      </c>
      <c r="C42" s="39" t="s">
        <v>59</v>
      </c>
      <c r="D42" s="39">
        <v>5.0009579252518108</v>
      </c>
      <c r="E42" s="39" t="s">
        <v>58</v>
      </c>
    </row>
    <row r="43" spans="2:5" x14ac:dyDescent="0.25">
      <c r="B43" s="39">
        <v>8</v>
      </c>
      <c r="C43" s="39" t="s">
        <v>57</v>
      </c>
      <c r="D43" s="39">
        <v>13.521459066286079</v>
      </c>
      <c r="E43" s="39" t="s">
        <v>53</v>
      </c>
    </row>
    <row r="44" spans="2:5" x14ac:dyDescent="0.25">
      <c r="B44" s="39">
        <v>9</v>
      </c>
      <c r="C44" s="39" t="s">
        <v>56</v>
      </c>
      <c r="D44" s="39">
        <v>280.86230240218975</v>
      </c>
      <c r="E44" s="39" t="s">
        <v>53</v>
      </c>
    </row>
    <row r="45" spans="2:5" x14ac:dyDescent="0.25">
      <c r="B45" s="39">
        <v>10</v>
      </c>
      <c r="C45" s="39" t="s">
        <v>33</v>
      </c>
      <c r="D45" s="39">
        <v>4.9547042979188891</v>
      </c>
      <c r="E45" s="39" t="s">
        <v>55</v>
      </c>
    </row>
    <row r="46" spans="2:5" x14ac:dyDescent="0.25">
      <c r="B46" s="39">
        <v>11</v>
      </c>
      <c r="C46" s="39" t="s">
        <v>34</v>
      </c>
      <c r="D46" s="39">
        <v>281.02586144487987</v>
      </c>
      <c r="E46" s="39" t="s">
        <v>53</v>
      </c>
    </row>
    <row r="47" spans="2:5" x14ac:dyDescent="0.25">
      <c r="B47" s="39">
        <v>12</v>
      </c>
      <c r="C47" s="39" t="s">
        <v>54</v>
      </c>
      <c r="D47" s="39">
        <v>351.36250577374619</v>
      </c>
      <c r="E47" s="39" t="s">
        <v>53</v>
      </c>
    </row>
    <row r="48" spans="2:5" x14ac:dyDescent="0.25">
      <c r="B48" s="39">
        <v>13</v>
      </c>
      <c r="C48" s="39" t="s">
        <v>27</v>
      </c>
      <c r="D48" s="39">
        <v>13.22195314156988</v>
      </c>
      <c r="E48" s="39" t="s">
        <v>53</v>
      </c>
    </row>
    <row r="49" spans="2:5" x14ac:dyDescent="0.25">
      <c r="B49" s="39">
        <v>14</v>
      </c>
      <c r="C49" s="39" t="s">
        <v>28</v>
      </c>
      <c r="D49" s="39">
        <v>22.302861675746211</v>
      </c>
      <c r="E49" s="39" t="s">
        <v>53</v>
      </c>
    </row>
    <row r="50" spans="2:5" x14ac:dyDescent="0.25">
      <c r="B50" s="39">
        <v>15</v>
      </c>
      <c r="C50" s="39" t="s">
        <v>29</v>
      </c>
      <c r="D50" s="39">
        <v>28.141726608196358</v>
      </c>
      <c r="E50" s="39" t="s">
        <v>53</v>
      </c>
    </row>
  </sheetData>
  <mergeCells count="8">
    <mergeCell ref="I4:L10"/>
    <mergeCell ref="A1:A2"/>
    <mergeCell ref="B1:B2"/>
    <mergeCell ref="C1:C2"/>
    <mergeCell ref="D1:D2"/>
    <mergeCell ref="A3:A10"/>
    <mergeCell ref="B3:B10"/>
    <mergeCell ref="C3:C10"/>
  </mergeCells>
  <pageMargins left="0.7" right="0.7" top="0.75" bottom="0.75" header="0.3" footer="0.3"/>
  <pageSetup paperSize="9"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8</vt:i4>
      </vt:variant>
    </vt:vector>
  </HeadingPairs>
  <TitlesOfParts>
    <vt:vector size="32" baseType="lpstr">
      <vt:lpstr>REKAP IKA-IKU</vt:lpstr>
      <vt:lpstr>ITH</vt:lpstr>
      <vt:lpstr>IKA 2019</vt:lpstr>
      <vt:lpstr>IKA 2012</vt:lpstr>
      <vt:lpstr>IKU 2012</vt:lpstr>
      <vt:lpstr>IKA 2013</vt:lpstr>
      <vt:lpstr>IKU 2013</vt:lpstr>
      <vt:lpstr>IKA 2014</vt:lpstr>
      <vt:lpstr>IKU 2014</vt:lpstr>
      <vt:lpstr>IKA 2015</vt:lpstr>
      <vt:lpstr>IKU 2015</vt:lpstr>
      <vt:lpstr>IKA 2016</vt:lpstr>
      <vt:lpstr>IKU 2016</vt:lpstr>
      <vt:lpstr>IKA 2017</vt:lpstr>
      <vt:lpstr>IKU 2018</vt:lpstr>
      <vt:lpstr>IKA 2018</vt:lpstr>
      <vt:lpstr>IKU 2019</vt:lpstr>
      <vt:lpstr>IKA 2019 .</vt:lpstr>
      <vt:lpstr>IKU 2020</vt:lpstr>
      <vt:lpstr>IKA 2020</vt:lpstr>
      <vt:lpstr>IKU 2021</vt:lpstr>
      <vt:lpstr>IKA 2021</vt:lpstr>
      <vt:lpstr>kotretan IPU</vt:lpstr>
      <vt:lpstr>Kotretan IPA</vt:lpstr>
      <vt:lpstr>'IKU 2012'!Print_Area</vt:lpstr>
      <vt:lpstr>'IKU 2013'!Print_Area</vt:lpstr>
      <vt:lpstr>'IKU 2014'!Print_Area</vt:lpstr>
      <vt:lpstr>'IKU 2015'!Print_Area</vt:lpstr>
      <vt:lpstr>'IKU 2018'!Print_Area</vt:lpstr>
      <vt:lpstr>'IKU 2019'!Print_Area</vt:lpstr>
      <vt:lpstr>'IKU 2020'!Print_Area</vt:lpstr>
      <vt:lpstr>'IKU 2021'!Print_Area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Erick Gunawan</cp:lastModifiedBy>
  <cp:lastPrinted>2019-03-01T06:50:31Z</cp:lastPrinted>
  <dcterms:created xsi:type="dcterms:W3CDTF">2018-01-19T07:05:20Z</dcterms:created>
  <dcterms:modified xsi:type="dcterms:W3CDTF">2022-04-20T14:37:28Z</dcterms:modified>
</cp:coreProperties>
</file>