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k\Documents\"/>
    </mc:Choice>
  </mc:AlternateContent>
  <xr:revisionPtr revIDLastSave="0" documentId="8_{6B6A44D4-05CD-419B-9650-D3517A2A2E51}" xr6:coauthVersionLast="47" xr6:coauthVersionMax="47" xr10:uidLastSave="{00000000-0000-0000-0000-000000000000}"/>
  <bookViews>
    <workbookView xWindow="-120" yWindow="-120" windowWidth="29040" windowHeight="15840" xr2:uid="{4EBF07A6-B3EF-4394-B7D4-3509692A0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26" i="1" l="1"/>
  <c r="AB226" i="1"/>
  <c r="Z226" i="1"/>
  <c r="W226" i="1"/>
  <c r="AD226" i="1" s="1"/>
  <c r="V226" i="1"/>
  <c r="U226" i="1"/>
  <c r="T226" i="1"/>
  <c r="AA226" i="1" s="1"/>
  <c r="S226" i="1"/>
  <c r="K226" i="1"/>
  <c r="Y226" i="1" s="1"/>
  <c r="AF226" i="1" s="1"/>
  <c r="J226" i="1"/>
  <c r="X226" i="1" s="1"/>
  <c r="AE226" i="1" s="1"/>
  <c r="AC225" i="1"/>
  <c r="AB225" i="1"/>
  <c r="Z225" i="1"/>
  <c r="X225" i="1"/>
  <c r="AE225" i="1" s="1"/>
  <c r="W225" i="1"/>
  <c r="AD225" i="1" s="1"/>
  <c r="V225" i="1"/>
  <c r="U225" i="1"/>
  <c r="T225" i="1"/>
  <c r="AA225" i="1" s="1"/>
  <c r="S225" i="1"/>
  <c r="K225" i="1"/>
  <c r="Y225" i="1" s="1"/>
  <c r="AF225" i="1" s="1"/>
  <c r="J225" i="1"/>
  <c r="AD224" i="1"/>
  <c r="AC224" i="1"/>
  <c r="AB224" i="1"/>
  <c r="AA224" i="1"/>
  <c r="Z224" i="1"/>
  <c r="X224" i="1"/>
  <c r="AE224" i="1" s="1"/>
  <c r="W224" i="1"/>
  <c r="V224" i="1"/>
  <c r="U224" i="1"/>
  <c r="T224" i="1"/>
  <c r="S224" i="1"/>
  <c r="K224" i="1"/>
  <c r="Y224" i="1" s="1"/>
  <c r="AF224" i="1" s="1"/>
  <c r="J224" i="1"/>
  <c r="AD223" i="1"/>
  <c r="AC223" i="1"/>
  <c r="AB223" i="1"/>
  <c r="Z223" i="1"/>
  <c r="Y223" i="1"/>
  <c r="AF223" i="1" s="1"/>
  <c r="W223" i="1"/>
  <c r="V223" i="1"/>
  <c r="U223" i="1"/>
  <c r="T223" i="1"/>
  <c r="AA223" i="1" s="1"/>
  <c r="S223" i="1"/>
  <c r="K223" i="1"/>
  <c r="J223" i="1"/>
  <c r="X223" i="1" s="1"/>
  <c r="AE223" i="1" s="1"/>
  <c r="AC222" i="1"/>
  <c r="AB222" i="1"/>
  <c r="Z222" i="1"/>
  <c r="W222" i="1"/>
  <c r="AD222" i="1" s="1"/>
  <c r="V222" i="1"/>
  <c r="U222" i="1"/>
  <c r="T222" i="1"/>
  <c r="AA222" i="1" s="1"/>
  <c r="S222" i="1"/>
  <c r="K222" i="1"/>
  <c r="Y222" i="1" s="1"/>
  <c r="AF222" i="1" s="1"/>
  <c r="J222" i="1"/>
  <c r="X222" i="1" s="1"/>
  <c r="AE222" i="1" s="1"/>
  <c r="AC221" i="1"/>
  <c r="AB221" i="1"/>
  <c r="Z221" i="1"/>
  <c r="X221" i="1"/>
  <c r="AE221" i="1" s="1"/>
  <c r="W221" i="1"/>
  <c r="AD221" i="1" s="1"/>
  <c r="V221" i="1"/>
  <c r="U221" i="1"/>
  <c r="T221" i="1"/>
  <c r="AA221" i="1" s="1"/>
  <c r="S221" i="1"/>
  <c r="K221" i="1"/>
  <c r="Y221" i="1" s="1"/>
  <c r="AF221" i="1" s="1"/>
  <c r="J221" i="1"/>
  <c r="AD220" i="1"/>
  <c r="AC220" i="1"/>
  <c r="AB220" i="1"/>
  <c r="AA220" i="1"/>
  <c r="Z220" i="1"/>
  <c r="X220" i="1"/>
  <c r="AE220" i="1" s="1"/>
  <c r="W220" i="1"/>
  <c r="V220" i="1"/>
  <c r="U220" i="1"/>
  <c r="T220" i="1"/>
  <c r="S220" i="1"/>
  <c r="K220" i="1"/>
  <c r="Y220" i="1" s="1"/>
  <c r="AF220" i="1" s="1"/>
  <c r="J220" i="1"/>
  <c r="AD219" i="1"/>
  <c r="AC219" i="1"/>
  <c r="AB219" i="1"/>
  <c r="Z219" i="1"/>
  <c r="Y219" i="1"/>
  <c r="AF219" i="1" s="1"/>
  <c r="W219" i="1"/>
  <c r="V219" i="1"/>
  <c r="U219" i="1"/>
  <c r="T219" i="1"/>
  <c r="AA219" i="1" s="1"/>
  <c r="S219" i="1"/>
  <c r="K219" i="1"/>
  <c r="J219" i="1"/>
  <c r="X219" i="1" s="1"/>
  <c r="AE219" i="1" s="1"/>
  <c r="AC218" i="1"/>
  <c r="AB218" i="1"/>
  <c r="Z218" i="1"/>
  <c r="W218" i="1"/>
  <c r="AD218" i="1" s="1"/>
  <c r="V218" i="1"/>
  <c r="U218" i="1"/>
  <c r="T218" i="1"/>
  <c r="AA218" i="1" s="1"/>
  <c r="S218" i="1"/>
  <c r="K218" i="1"/>
  <c r="Y218" i="1" s="1"/>
  <c r="AF218" i="1" s="1"/>
  <c r="J218" i="1"/>
  <c r="X218" i="1" s="1"/>
  <c r="AE218" i="1" s="1"/>
  <c r="AC217" i="1"/>
  <c r="AB217" i="1"/>
  <c r="Z217" i="1"/>
  <c r="X217" i="1"/>
  <c r="AE217" i="1" s="1"/>
  <c r="W217" i="1"/>
  <c r="AD217" i="1" s="1"/>
  <c r="V217" i="1"/>
  <c r="U217" i="1"/>
  <c r="T217" i="1"/>
  <c r="AA217" i="1" s="1"/>
  <c r="S217" i="1"/>
  <c r="K217" i="1"/>
  <c r="Y217" i="1" s="1"/>
  <c r="AF217" i="1" s="1"/>
  <c r="J217" i="1"/>
  <c r="AD216" i="1"/>
  <c r="AC216" i="1"/>
  <c r="AB216" i="1"/>
  <c r="AA216" i="1"/>
  <c r="Z216" i="1"/>
  <c r="X216" i="1"/>
  <c r="AE216" i="1" s="1"/>
  <c r="W216" i="1"/>
  <c r="V216" i="1"/>
  <c r="U216" i="1"/>
  <c r="T216" i="1"/>
  <c r="S216" i="1"/>
  <c r="K216" i="1"/>
  <c r="Y216" i="1" s="1"/>
  <c r="AF216" i="1" s="1"/>
  <c r="J216" i="1"/>
  <c r="AD215" i="1"/>
  <c r="AC215" i="1"/>
  <c r="AB215" i="1"/>
  <c r="Z215" i="1"/>
  <c r="Y215" i="1"/>
  <c r="AF215" i="1" s="1"/>
  <c r="W215" i="1"/>
  <c r="V215" i="1"/>
  <c r="U215" i="1"/>
  <c r="T215" i="1"/>
  <c r="AA215" i="1" s="1"/>
  <c r="AG215" i="1" s="1"/>
  <c r="AI215" i="1" s="1"/>
  <c r="S215" i="1"/>
  <c r="K215" i="1"/>
  <c r="J215" i="1"/>
  <c r="X215" i="1" s="1"/>
  <c r="AE215" i="1" s="1"/>
  <c r="AE214" i="1"/>
  <c r="AC214" i="1"/>
  <c r="AB214" i="1"/>
  <c r="Z214" i="1"/>
  <c r="X214" i="1"/>
  <c r="W214" i="1"/>
  <c r="AD214" i="1" s="1"/>
  <c r="V214" i="1"/>
  <c r="U214" i="1"/>
  <c r="T214" i="1"/>
  <c r="AA214" i="1" s="1"/>
  <c r="S214" i="1"/>
  <c r="K214" i="1"/>
  <c r="Y214" i="1" s="1"/>
  <c r="AF214" i="1" s="1"/>
  <c r="J214" i="1"/>
  <c r="AD213" i="1"/>
  <c r="AC213" i="1"/>
  <c r="AB213" i="1"/>
  <c r="Z213" i="1"/>
  <c r="X213" i="1"/>
  <c r="AE213" i="1" s="1"/>
  <c r="W213" i="1"/>
  <c r="V213" i="1"/>
  <c r="U213" i="1"/>
  <c r="T213" i="1"/>
  <c r="AA213" i="1" s="1"/>
  <c r="S213" i="1"/>
  <c r="K213" i="1"/>
  <c r="Y213" i="1" s="1"/>
  <c r="AF213" i="1" s="1"/>
  <c r="J213" i="1"/>
  <c r="AD212" i="1"/>
  <c r="AB212" i="1"/>
  <c r="AA212" i="1"/>
  <c r="Z212" i="1"/>
  <c r="X212" i="1"/>
  <c r="AE212" i="1" s="1"/>
  <c r="W212" i="1"/>
  <c r="V212" i="1"/>
  <c r="AC212" i="1" s="1"/>
  <c r="U212" i="1"/>
  <c r="T212" i="1"/>
  <c r="S212" i="1"/>
  <c r="K212" i="1"/>
  <c r="Y212" i="1" s="1"/>
  <c r="AF212" i="1" s="1"/>
  <c r="AF211" i="1"/>
  <c r="AC211" i="1"/>
  <c r="AB211" i="1"/>
  <c r="AA211" i="1"/>
  <c r="Z211" i="1"/>
  <c r="Y211" i="1"/>
  <c r="X211" i="1"/>
  <c r="AE211" i="1" s="1"/>
  <c r="W211" i="1"/>
  <c r="AD211" i="1" s="1"/>
  <c r="V211" i="1"/>
  <c r="U211" i="1"/>
  <c r="T211" i="1"/>
  <c r="S211" i="1"/>
  <c r="K211" i="1"/>
  <c r="J211" i="1"/>
  <c r="AD210" i="1"/>
  <c r="AC210" i="1"/>
  <c r="AB210" i="1"/>
  <c r="Z210" i="1"/>
  <c r="Y210" i="1"/>
  <c r="AF210" i="1" s="1"/>
  <c r="W210" i="1"/>
  <c r="V210" i="1"/>
  <c r="U210" i="1"/>
  <c r="T210" i="1"/>
  <c r="AA210" i="1" s="1"/>
  <c r="S210" i="1"/>
  <c r="K210" i="1"/>
  <c r="J210" i="1"/>
  <c r="X210" i="1" s="1"/>
  <c r="AE210" i="1" s="1"/>
  <c r="AC209" i="1"/>
  <c r="AB209" i="1"/>
  <c r="Z209" i="1"/>
  <c r="W209" i="1"/>
  <c r="AD209" i="1" s="1"/>
  <c r="V209" i="1"/>
  <c r="U209" i="1"/>
  <c r="T209" i="1"/>
  <c r="AA209" i="1" s="1"/>
  <c r="S209" i="1"/>
  <c r="K209" i="1"/>
  <c r="Y209" i="1" s="1"/>
  <c r="AF209" i="1" s="1"/>
  <c r="J209" i="1"/>
  <c r="X209" i="1" s="1"/>
  <c r="AE209" i="1" s="1"/>
  <c r="AC208" i="1"/>
  <c r="AB208" i="1"/>
  <c r="AA208" i="1"/>
  <c r="Z208" i="1"/>
  <c r="X208" i="1"/>
  <c r="AE208" i="1" s="1"/>
  <c r="W208" i="1"/>
  <c r="AD208" i="1" s="1"/>
  <c r="V208" i="1"/>
  <c r="U208" i="1"/>
  <c r="T208" i="1"/>
  <c r="S208" i="1"/>
  <c r="K208" i="1"/>
  <c r="Y208" i="1" s="1"/>
  <c r="AF208" i="1" s="1"/>
  <c r="J208" i="1"/>
  <c r="AF207" i="1"/>
  <c r="AD207" i="1"/>
  <c r="AC207" i="1"/>
  <c r="AB207" i="1"/>
  <c r="AA207" i="1"/>
  <c r="Z207" i="1"/>
  <c r="Y207" i="1"/>
  <c r="X207" i="1"/>
  <c r="AE207" i="1" s="1"/>
  <c r="W207" i="1"/>
  <c r="V207" i="1"/>
  <c r="U207" i="1"/>
  <c r="T207" i="1"/>
  <c r="S207" i="1"/>
  <c r="K207" i="1"/>
  <c r="J207" i="1"/>
  <c r="AD206" i="1"/>
  <c r="AC206" i="1"/>
  <c r="AB206" i="1"/>
  <c r="Z206" i="1"/>
  <c r="W206" i="1"/>
  <c r="V206" i="1"/>
  <c r="U206" i="1"/>
  <c r="T206" i="1"/>
  <c r="AA206" i="1" s="1"/>
  <c r="S206" i="1"/>
  <c r="K206" i="1"/>
  <c r="Y206" i="1" s="1"/>
  <c r="AF206" i="1" s="1"/>
  <c r="J206" i="1"/>
  <c r="X206" i="1" s="1"/>
  <c r="AE206" i="1" s="1"/>
  <c r="AF205" i="1"/>
  <c r="AC205" i="1"/>
  <c r="AB205" i="1"/>
  <c r="Z205" i="1"/>
  <c r="Y205" i="1"/>
  <c r="X205" i="1"/>
  <c r="AE205" i="1" s="1"/>
  <c r="W205" i="1"/>
  <c r="AD205" i="1" s="1"/>
  <c r="V205" i="1"/>
  <c r="U205" i="1"/>
  <c r="T205" i="1"/>
  <c r="AA205" i="1" s="1"/>
  <c r="S205" i="1"/>
  <c r="AF204" i="1"/>
  <c r="AD204" i="1"/>
  <c r="AC204" i="1"/>
  <c r="AB204" i="1"/>
  <c r="Z204" i="1"/>
  <c r="AH204" i="1" s="1"/>
  <c r="AJ204" i="1" s="1"/>
  <c r="Y204" i="1"/>
  <c r="X204" i="1"/>
  <c r="AE204" i="1" s="1"/>
  <c r="W204" i="1"/>
  <c r="V204" i="1"/>
  <c r="U204" i="1"/>
  <c r="T204" i="1"/>
  <c r="AA204" i="1" s="1"/>
  <c r="AG204" i="1" s="1"/>
  <c r="AI204" i="1" s="1"/>
  <c r="S204" i="1"/>
  <c r="AF203" i="1"/>
  <c r="AC203" i="1"/>
  <c r="AB203" i="1"/>
  <c r="Z203" i="1"/>
  <c r="Y203" i="1"/>
  <c r="X203" i="1"/>
  <c r="AE203" i="1" s="1"/>
  <c r="W203" i="1"/>
  <c r="AD203" i="1" s="1"/>
  <c r="V203" i="1"/>
  <c r="U203" i="1"/>
  <c r="T203" i="1"/>
  <c r="AA203" i="1" s="1"/>
  <c r="S203" i="1"/>
  <c r="AF202" i="1"/>
  <c r="AD202" i="1"/>
  <c r="AC202" i="1"/>
  <c r="AB202" i="1"/>
  <c r="Z202" i="1"/>
  <c r="Y202" i="1"/>
  <c r="X202" i="1"/>
  <c r="AE202" i="1" s="1"/>
  <c r="W202" i="1"/>
  <c r="V202" i="1"/>
  <c r="U202" i="1"/>
  <c r="T202" i="1"/>
  <c r="AA202" i="1" s="1"/>
  <c r="S202" i="1"/>
  <c r="K202" i="1"/>
  <c r="J202" i="1"/>
  <c r="AD201" i="1"/>
  <c r="AC201" i="1"/>
  <c r="AB201" i="1"/>
  <c r="Z201" i="1"/>
  <c r="W201" i="1"/>
  <c r="V201" i="1"/>
  <c r="U201" i="1"/>
  <c r="T201" i="1"/>
  <c r="AA201" i="1" s="1"/>
  <c r="S201" i="1"/>
  <c r="K201" i="1"/>
  <c r="Y201" i="1" s="1"/>
  <c r="AF201" i="1" s="1"/>
  <c r="J201" i="1"/>
  <c r="X201" i="1" s="1"/>
  <c r="AE201" i="1" s="1"/>
  <c r="AC200" i="1"/>
  <c r="AB200" i="1"/>
  <c r="Z200" i="1"/>
  <c r="X200" i="1"/>
  <c r="AE200" i="1" s="1"/>
  <c r="W200" i="1"/>
  <c r="AD200" i="1" s="1"/>
  <c r="V200" i="1"/>
  <c r="U200" i="1"/>
  <c r="T200" i="1"/>
  <c r="AA200" i="1" s="1"/>
  <c r="S200" i="1"/>
  <c r="K200" i="1"/>
  <c r="Y200" i="1" s="1"/>
  <c r="AF200" i="1" s="1"/>
  <c r="J200" i="1"/>
  <c r="AD199" i="1"/>
  <c r="AC199" i="1"/>
  <c r="AB199" i="1"/>
  <c r="AA199" i="1"/>
  <c r="Z199" i="1"/>
  <c r="AG199" i="1" s="1"/>
  <c r="AI199" i="1" s="1"/>
  <c r="X199" i="1"/>
  <c r="AE199" i="1" s="1"/>
  <c r="W199" i="1"/>
  <c r="V199" i="1"/>
  <c r="U199" i="1"/>
  <c r="T199" i="1"/>
  <c r="S199" i="1"/>
  <c r="K199" i="1"/>
  <c r="Y199" i="1" s="1"/>
  <c r="AF199" i="1" s="1"/>
  <c r="J199" i="1"/>
  <c r="AD198" i="1"/>
  <c r="AC198" i="1"/>
  <c r="AB198" i="1"/>
  <c r="Z198" i="1"/>
  <c r="X198" i="1"/>
  <c r="AE198" i="1" s="1"/>
  <c r="W198" i="1"/>
  <c r="V198" i="1"/>
  <c r="U198" i="1"/>
  <c r="T198" i="1"/>
  <c r="AA198" i="1" s="1"/>
  <c r="S198" i="1"/>
  <c r="K198" i="1"/>
  <c r="Y198" i="1" s="1"/>
  <c r="AF198" i="1" s="1"/>
  <c r="J198" i="1"/>
  <c r="AD197" i="1"/>
  <c r="AC197" i="1"/>
  <c r="AB197" i="1"/>
  <c r="AA197" i="1"/>
  <c r="Z197" i="1"/>
  <c r="W197" i="1"/>
  <c r="V197" i="1"/>
  <c r="U197" i="1"/>
  <c r="T197" i="1"/>
  <c r="S197" i="1"/>
  <c r="K197" i="1"/>
  <c r="Y197" i="1" s="1"/>
  <c r="AF197" i="1" s="1"/>
  <c r="J197" i="1"/>
  <c r="X197" i="1" s="1"/>
  <c r="AE197" i="1" s="1"/>
  <c r="AF196" i="1"/>
  <c r="AE196" i="1"/>
  <c r="AD196" i="1"/>
  <c r="AC196" i="1"/>
  <c r="AB196" i="1"/>
  <c r="Z196" i="1"/>
  <c r="Y196" i="1"/>
  <c r="X196" i="1"/>
  <c r="W196" i="1"/>
  <c r="V196" i="1"/>
  <c r="U196" i="1"/>
  <c r="T196" i="1"/>
  <c r="AA196" i="1" s="1"/>
  <c r="S196" i="1"/>
  <c r="AF195" i="1"/>
  <c r="AE195" i="1"/>
  <c r="AD195" i="1"/>
  <c r="AC195" i="1"/>
  <c r="AB195" i="1"/>
  <c r="Z195" i="1"/>
  <c r="Y195" i="1"/>
  <c r="X195" i="1"/>
  <c r="W195" i="1"/>
  <c r="V195" i="1"/>
  <c r="U195" i="1"/>
  <c r="T195" i="1"/>
  <c r="AA195" i="1" s="1"/>
  <c r="S195" i="1"/>
  <c r="AF194" i="1"/>
  <c r="AE194" i="1"/>
  <c r="AD194" i="1"/>
  <c r="AC194" i="1"/>
  <c r="AB194" i="1"/>
  <c r="Z194" i="1"/>
  <c r="AH194" i="1" s="1"/>
  <c r="AJ194" i="1" s="1"/>
  <c r="Y194" i="1"/>
  <c r="X194" i="1"/>
  <c r="W194" i="1"/>
  <c r="V194" i="1"/>
  <c r="U194" i="1"/>
  <c r="T194" i="1"/>
  <c r="AA194" i="1" s="1"/>
  <c r="AG194" i="1" s="1"/>
  <c r="AI194" i="1" s="1"/>
  <c r="S194" i="1"/>
  <c r="AF193" i="1"/>
  <c r="AE193" i="1"/>
  <c r="AD193" i="1"/>
  <c r="AC193" i="1"/>
  <c r="AB193" i="1"/>
  <c r="Z193" i="1"/>
  <c r="Y193" i="1"/>
  <c r="X193" i="1"/>
  <c r="W193" i="1"/>
  <c r="V193" i="1"/>
  <c r="U193" i="1"/>
  <c r="T193" i="1"/>
  <c r="AA193" i="1" s="1"/>
  <c r="S193" i="1"/>
  <c r="AF192" i="1"/>
  <c r="AE192" i="1"/>
  <c r="AC192" i="1"/>
  <c r="AB192" i="1"/>
  <c r="Z192" i="1"/>
  <c r="Y192" i="1"/>
  <c r="X192" i="1"/>
  <c r="W192" i="1"/>
  <c r="AD192" i="1" s="1"/>
  <c r="V192" i="1"/>
  <c r="U192" i="1"/>
  <c r="T192" i="1"/>
  <c r="AA192" i="1" s="1"/>
  <c r="AG192" i="1" s="1"/>
  <c r="AI192" i="1" s="1"/>
  <c r="S192" i="1"/>
  <c r="AF191" i="1"/>
  <c r="AE191" i="1"/>
  <c r="AC191" i="1"/>
  <c r="AB191" i="1"/>
  <c r="Z191" i="1"/>
  <c r="Y191" i="1"/>
  <c r="X191" i="1"/>
  <c r="W191" i="1"/>
  <c r="AD191" i="1" s="1"/>
  <c r="V191" i="1"/>
  <c r="U191" i="1"/>
  <c r="T191" i="1"/>
  <c r="AA191" i="1" s="1"/>
  <c r="S191" i="1"/>
  <c r="AF190" i="1"/>
  <c r="AE190" i="1"/>
  <c r="AC190" i="1"/>
  <c r="Z190" i="1"/>
  <c r="Y190" i="1"/>
  <c r="X190" i="1"/>
  <c r="W190" i="1"/>
  <c r="AD190" i="1" s="1"/>
  <c r="V190" i="1"/>
  <c r="U190" i="1"/>
  <c r="AB190" i="1" s="1"/>
  <c r="T190" i="1"/>
  <c r="AA190" i="1" s="1"/>
  <c r="S190" i="1"/>
  <c r="AF189" i="1"/>
  <c r="AE189" i="1"/>
  <c r="AC189" i="1"/>
  <c r="AB189" i="1"/>
  <c r="Z189" i="1"/>
  <c r="Y189" i="1"/>
  <c r="X189" i="1"/>
  <c r="W189" i="1"/>
  <c r="AD189" i="1" s="1"/>
  <c r="V189" i="1"/>
  <c r="U189" i="1"/>
  <c r="T189" i="1"/>
  <c r="AA189" i="1" s="1"/>
  <c r="S189" i="1"/>
  <c r="AF188" i="1"/>
  <c r="AE188" i="1"/>
  <c r="AD188" i="1"/>
  <c r="AC188" i="1"/>
  <c r="Z188" i="1"/>
  <c r="Y188" i="1"/>
  <c r="X188" i="1"/>
  <c r="W188" i="1"/>
  <c r="V188" i="1"/>
  <c r="U188" i="1"/>
  <c r="AB188" i="1" s="1"/>
  <c r="T188" i="1"/>
  <c r="AA188" i="1" s="1"/>
  <c r="S188" i="1"/>
  <c r="AF187" i="1"/>
  <c r="AE187" i="1"/>
  <c r="AD187" i="1"/>
  <c r="AC187" i="1"/>
  <c r="AB187" i="1"/>
  <c r="Z187" i="1"/>
  <c r="AH187" i="1" s="1"/>
  <c r="AJ187" i="1" s="1"/>
  <c r="Y187" i="1"/>
  <c r="X187" i="1"/>
  <c r="W187" i="1"/>
  <c r="V187" i="1"/>
  <c r="U187" i="1"/>
  <c r="T187" i="1"/>
  <c r="AA187" i="1" s="1"/>
  <c r="AG187" i="1" s="1"/>
  <c r="AI187" i="1" s="1"/>
  <c r="S187" i="1"/>
  <c r="AF186" i="1"/>
  <c r="AE186" i="1"/>
  <c r="AD186" i="1"/>
  <c r="AC186" i="1"/>
  <c r="Z186" i="1"/>
  <c r="Y186" i="1"/>
  <c r="X186" i="1"/>
  <c r="W186" i="1"/>
  <c r="V186" i="1"/>
  <c r="U186" i="1"/>
  <c r="AB186" i="1" s="1"/>
  <c r="T186" i="1"/>
  <c r="AA186" i="1" s="1"/>
  <c r="AG186" i="1" s="1"/>
  <c r="AI186" i="1" s="1"/>
  <c r="S186" i="1"/>
  <c r="AF185" i="1"/>
  <c r="AE185" i="1"/>
  <c r="AD185" i="1"/>
  <c r="AC185" i="1"/>
  <c r="AB185" i="1"/>
  <c r="Z185" i="1"/>
  <c r="Y185" i="1"/>
  <c r="X185" i="1"/>
  <c r="W185" i="1"/>
  <c r="V185" i="1"/>
  <c r="U185" i="1"/>
  <c r="T185" i="1"/>
  <c r="AA185" i="1" s="1"/>
  <c r="S185" i="1"/>
  <c r="AF184" i="1"/>
  <c r="AE184" i="1"/>
  <c r="AD184" i="1"/>
  <c r="AC184" i="1"/>
  <c r="Z184" i="1"/>
  <c r="Y184" i="1"/>
  <c r="X184" i="1"/>
  <c r="W184" i="1"/>
  <c r="V184" i="1"/>
  <c r="U184" i="1"/>
  <c r="AB184" i="1" s="1"/>
  <c r="T184" i="1"/>
  <c r="AA184" i="1" s="1"/>
  <c r="S184" i="1"/>
  <c r="AF183" i="1"/>
  <c r="AE183" i="1"/>
  <c r="AD183" i="1"/>
  <c r="AC183" i="1"/>
  <c r="AB183" i="1"/>
  <c r="Z183" i="1"/>
  <c r="AH183" i="1" s="1"/>
  <c r="AJ183" i="1" s="1"/>
  <c r="Y183" i="1"/>
  <c r="X183" i="1"/>
  <c r="W183" i="1"/>
  <c r="V183" i="1"/>
  <c r="U183" i="1"/>
  <c r="T183" i="1"/>
  <c r="AA183" i="1" s="1"/>
  <c r="AG183" i="1" s="1"/>
  <c r="AI183" i="1" s="1"/>
  <c r="S183" i="1"/>
  <c r="AF182" i="1"/>
  <c r="AE182" i="1"/>
  <c r="AD182" i="1"/>
  <c r="AC182" i="1"/>
  <c r="AA182" i="1"/>
  <c r="Z182" i="1"/>
  <c r="AH182" i="1" s="1"/>
  <c r="AJ182" i="1" s="1"/>
  <c r="Y182" i="1"/>
  <c r="X182" i="1"/>
  <c r="W182" i="1"/>
  <c r="V182" i="1"/>
  <c r="U182" i="1"/>
  <c r="AB182" i="1" s="1"/>
  <c r="AG182" i="1" s="1"/>
  <c r="AI182" i="1" s="1"/>
  <c r="T182" i="1"/>
  <c r="S182" i="1"/>
  <c r="AF181" i="1"/>
  <c r="AE181" i="1"/>
  <c r="AD181" i="1"/>
  <c r="AC181" i="1"/>
  <c r="AB181" i="1"/>
  <c r="Z181" i="1"/>
  <c r="Y181" i="1"/>
  <c r="X181" i="1"/>
  <c r="W181" i="1"/>
  <c r="V181" i="1"/>
  <c r="U181" i="1"/>
  <c r="T181" i="1"/>
  <c r="AA181" i="1" s="1"/>
  <c r="AG181" i="1" s="1"/>
  <c r="AI181" i="1" s="1"/>
  <c r="S181" i="1"/>
  <c r="AF180" i="1"/>
  <c r="AE180" i="1"/>
  <c r="AD180" i="1"/>
  <c r="AC180" i="1"/>
  <c r="AB180" i="1"/>
  <c r="Z180" i="1"/>
  <c r="Y180" i="1"/>
  <c r="X180" i="1"/>
  <c r="W180" i="1"/>
  <c r="V180" i="1"/>
  <c r="U180" i="1"/>
  <c r="T180" i="1"/>
  <c r="AA180" i="1" s="1"/>
  <c r="S180" i="1"/>
  <c r="AF179" i="1"/>
  <c r="AE179" i="1"/>
  <c r="AD179" i="1"/>
  <c r="AC179" i="1"/>
  <c r="AB179" i="1"/>
  <c r="Z179" i="1"/>
  <c r="Y179" i="1"/>
  <c r="X179" i="1"/>
  <c r="W179" i="1"/>
  <c r="V179" i="1"/>
  <c r="U179" i="1"/>
  <c r="T179" i="1"/>
  <c r="AA179" i="1" s="1"/>
  <c r="S179" i="1"/>
  <c r="AF178" i="1"/>
  <c r="AE178" i="1"/>
  <c r="AD178" i="1"/>
  <c r="AC178" i="1"/>
  <c r="AB178" i="1"/>
  <c r="Z178" i="1"/>
  <c r="Y178" i="1"/>
  <c r="X178" i="1"/>
  <c r="W178" i="1"/>
  <c r="V178" i="1"/>
  <c r="U178" i="1"/>
  <c r="T178" i="1"/>
  <c r="AA178" i="1" s="1"/>
  <c r="S178" i="1"/>
  <c r="AF177" i="1"/>
  <c r="AE177" i="1"/>
  <c r="AD177" i="1"/>
  <c r="AC177" i="1"/>
  <c r="AB177" i="1"/>
  <c r="Z177" i="1"/>
  <c r="Y177" i="1"/>
  <c r="X177" i="1"/>
  <c r="W177" i="1"/>
  <c r="V177" i="1"/>
  <c r="U177" i="1"/>
  <c r="T177" i="1"/>
  <c r="AA177" i="1" s="1"/>
  <c r="S177" i="1"/>
  <c r="AF176" i="1"/>
  <c r="AE176" i="1"/>
  <c r="AD176" i="1"/>
  <c r="AC176" i="1"/>
  <c r="AB176" i="1"/>
  <c r="Z176" i="1"/>
  <c r="Y176" i="1"/>
  <c r="X176" i="1"/>
  <c r="W176" i="1"/>
  <c r="V176" i="1"/>
  <c r="U176" i="1"/>
  <c r="T176" i="1"/>
  <c r="AA176" i="1" s="1"/>
  <c r="S176" i="1"/>
  <c r="AF175" i="1"/>
  <c r="AE175" i="1"/>
  <c r="AD175" i="1"/>
  <c r="AC175" i="1"/>
  <c r="AB175" i="1"/>
  <c r="Z175" i="1"/>
  <c r="Y175" i="1"/>
  <c r="X175" i="1"/>
  <c r="W175" i="1"/>
  <c r="V175" i="1"/>
  <c r="U175" i="1"/>
  <c r="T175" i="1"/>
  <c r="AA175" i="1" s="1"/>
  <c r="S175" i="1"/>
  <c r="AF174" i="1"/>
  <c r="AE174" i="1"/>
  <c r="AD174" i="1"/>
  <c r="AC174" i="1"/>
  <c r="AB174" i="1"/>
  <c r="Z174" i="1"/>
  <c r="Y174" i="1"/>
  <c r="X174" i="1"/>
  <c r="W174" i="1"/>
  <c r="V174" i="1"/>
  <c r="U174" i="1"/>
  <c r="T174" i="1"/>
  <c r="AA174" i="1" s="1"/>
  <c r="S174" i="1"/>
  <c r="AF173" i="1"/>
  <c r="AE173" i="1"/>
  <c r="AD173" i="1"/>
  <c r="AC173" i="1"/>
  <c r="AB173" i="1"/>
  <c r="Z173" i="1"/>
  <c r="Y173" i="1"/>
  <c r="X173" i="1"/>
  <c r="W173" i="1"/>
  <c r="V173" i="1"/>
  <c r="U173" i="1"/>
  <c r="T173" i="1"/>
  <c r="AA173" i="1" s="1"/>
  <c r="S173" i="1"/>
  <c r="AF172" i="1"/>
  <c r="AE172" i="1"/>
  <c r="AD172" i="1"/>
  <c r="AC172" i="1"/>
  <c r="AB172" i="1"/>
  <c r="Z172" i="1"/>
  <c r="Y172" i="1"/>
  <c r="X172" i="1"/>
  <c r="W172" i="1"/>
  <c r="V172" i="1"/>
  <c r="U172" i="1"/>
  <c r="T172" i="1"/>
  <c r="AA172" i="1" s="1"/>
  <c r="S172" i="1"/>
  <c r="AF171" i="1"/>
  <c r="AE171" i="1"/>
  <c r="AD171" i="1"/>
  <c r="AC171" i="1"/>
  <c r="AB171" i="1"/>
  <c r="Z171" i="1"/>
  <c r="Y171" i="1"/>
  <c r="X171" i="1"/>
  <c r="W171" i="1"/>
  <c r="V171" i="1"/>
  <c r="U171" i="1"/>
  <c r="T171" i="1"/>
  <c r="AA171" i="1" s="1"/>
  <c r="S171" i="1"/>
  <c r="AF170" i="1"/>
  <c r="AE170" i="1"/>
  <c r="AD170" i="1"/>
  <c r="AC170" i="1"/>
  <c r="AB170" i="1"/>
  <c r="Z170" i="1"/>
  <c r="Y170" i="1"/>
  <c r="X170" i="1"/>
  <c r="W170" i="1"/>
  <c r="V170" i="1"/>
  <c r="U170" i="1"/>
  <c r="T170" i="1"/>
  <c r="AA170" i="1" s="1"/>
  <c r="S170" i="1"/>
  <c r="AF169" i="1"/>
  <c r="AE169" i="1"/>
  <c r="AD169" i="1"/>
  <c r="AC169" i="1"/>
  <c r="AB169" i="1"/>
  <c r="Z169" i="1"/>
  <c r="Y169" i="1"/>
  <c r="X169" i="1"/>
  <c r="W169" i="1"/>
  <c r="V169" i="1"/>
  <c r="U169" i="1"/>
  <c r="T169" i="1"/>
  <c r="AA169" i="1" s="1"/>
  <c r="S169" i="1"/>
  <c r="AF168" i="1"/>
  <c r="AE168" i="1"/>
  <c r="AD168" i="1"/>
  <c r="AC168" i="1"/>
  <c r="AB168" i="1"/>
  <c r="Z168" i="1"/>
  <c r="Y168" i="1"/>
  <c r="X168" i="1"/>
  <c r="W168" i="1"/>
  <c r="V168" i="1"/>
  <c r="U168" i="1"/>
  <c r="T168" i="1"/>
  <c r="AA168" i="1" s="1"/>
  <c r="S168" i="1"/>
  <c r="AE167" i="1"/>
  <c r="AD167" i="1"/>
  <c r="AB167" i="1"/>
  <c r="Z167" i="1"/>
  <c r="Y167" i="1"/>
  <c r="AF167" i="1" s="1"/>
  <c r="X167" i="1"/>
  <c r="W167" i="1"/>
  <c r="V167" i="1"/>
  <c r="AC167" i="1" s="1"/>
  <c r="U167" i="1"/>
  <c r="T167" i="1"/>
  <c r="AA167" i="1" s="1"/>
  <c r="S167" i="1"/>
  <c r="AF166" i="1"/>
  <c r="AE166" i="1"/>
  <c r="Y166" i="1"/>
  <c r="X166" i="1"/>
  <c r="W166" i="1"/>
  <c r="AD166" i="1" s="1"/>
  <c r="V166" i="1"/>
  <c r="AC166" i="1" s="1"/>
  <c r="U166" i="1"/>
  <c r="AB166" i="1" s="1"/>
  <c r="T166" i="1"/>
  <c r="AA166" i="1" s="1"/>
  <c r="S166" i="1"/>
  <c r="Z166" i="1" s="1"/>
  <c r="AF165" i="1"/>
  <c r="AB165" i="1"/>
  <c r="AA165" i="1"/>
  <c r="Y165" i="1"/>
  <c r="X165" i="1"/>
  <c r="AE165" i="1" s="1"/>
  <c r="W165" i="1"/>
  <c r="AD165" i="1" s="1"/>
  <c r="V165" i="1"/>
  <c r="AC165" i="1" s="1"/>
  <c r="U165" i="1"/>
  <c r="T165" i="1"/>
  <c r="S165" i="1"/>
  <c r="Z165" i="1" s="1"/>
  <c r="AF164" i="1"/>
  <c r="AE164" i="1"/>
  <c r="Y164" i="1"/>
  <c r="X164" i="1"/>
  <c r="W164" i="1"/>
  <c r="AD164" i="1" s="1"/>
  <c r="V164" i="1"/>
  <c r="AC164" i="1" s="1"/>
  <c r="U164" i="1"/>
  <c r="AB164" i="1" s="1"/>
  <c r="T164" i="1"/>
  <c r="AA164" i="1" s="1"/>
  <c r="S164" i="1"/>
  <c r="Z164" i="1" s="1"/>
  <c r="AF163" i="1"/>
  <c r="AB163" i="1"/>
  <c r="AA163" i="1"/>
  <c r="Y163" i="1"/>
  <c r="X163" i="1"/>
  <c r="AE163" i="1" s="1"/>
  <c r="W163" i="1"/>
  <c r="AD163" i="1" s="1"/>
  <c r="V163" i="1"/>
  <c r="AC163" i="1" s="1"/>
  <c r="U163" i="1"/>
  <c r="T163" i="1"/>
  <c r="S163" i="1"/>
  <c r="Z163" i="1" s="1"/>
  <c r="AF162" i="1"/>
  <c r="AE162" i="1"/>
  <c r="Y162" i="1"/>
  <c r="X162" i="1"/>
  <c r="W162" i="1"/>
  <c r="AD162" i="1" s="1"/>
  <c r="V162" i="1"/>
  <c r="AC162" i="1" s="1"/>
  <c r="U162" i="1"/>
  <c r="AB162" i="1" s="1"/>
  <c r="T162" i="1"/>
  <c r="AA162" i="1" s="1"/>
  <c r="S162" i="1"/>
  <c r="Z162" i="1" s="1"/>
  <c r="AF161" i="1"/>
  <c r="AB161" i="1"/>
  <c r="AA161" i="1"/>
  <c r="Y161" i="1"/>
  <c r="X161" i="1"/>
  <c r="AE161" i="1" s="1"/>
  <c r="W161" i="1"/>
  <c r="AD161" i="1" s="1"/>
  <c r="V161" i="1"/>
  <c r="AC161" i="1" s="1"/>
  <c r="U161" i="1"/>
  <c r="T161" i="1"/>
  <c r="S161" i="1"/>
  <c r="Z161" i="1" s="1"/>
  <c r="AF160" i="1"/>
  <c r="AE160" i="1"/>
  <c r="Y160" i="1"/>
  <c r="X160" i="1"/>
  <c r="W160" i="1"/>
  <c r="AD160" i="1" s="1"/>
  <c r="V160" i="1"/>
  <c r="AC160" i="1" s="1"/>
  <c r="U160" i="1"/>
  <c r="AB160" i="1" s="1"/>
  <c r="T160" i="1"/>
  <c r="AA160" i="1" s="1"/>
  <c r="S160" i="1"/>
  <c r="Z160" i="1" s="1"/>
  <c r="AF159" i="1"/>
  <c r="AB159" i="1"/>
  <c r="AA159" i="1"/>
  <c r="Y159" i="1"/>
  <c r="X159" i="1"/>
  <c r="AE159" i="1" s="1"/>
  <c r="W159" i="1"/>
  <c r="AD159" i="1" s="1"/>
  <c r="V159" i="1"/>
  <c r="AC159" i="1" s="1"/>
  <c r="U159" i="1"/>
  <c r="T159" i="1"/>
  <c r="S159" i="1"/>
  <c r="Z159" i="1" s="1"/>
  <c r="AF158" i="1"/>
  <c r="AE158" i="1"/>
  <c r="AB158" i="1"/>
  <c r="Y158" i="1"/>
  <c r="X158" i="1"/>
  <c r="W158" i="1"/>
  <c r="AD158" i="1" s="1"/>
  <c r="V158" i="1"/>
  <c r="AC158" i="1" s="1"/>
  <c r="U158" i="1"/>
  <c r="T158" i="1"/>
  <c r="AA158" i="1" s="1"/>
  <c r="S158" i="1"/>
  <c r="Z158" i="1" s="1"/>
  <c r="AF157" i="1"/>
  <c r="AB157" i="1"/>
  <c r="AA157" i="1"/>
  <c r="Y157" i="1"/>
  <c r="X157" i="1"/>
  <c r="AE157" i="1" s="1"/>
  <c r="W157" i="1"/>
  <c r="AD157" i="1" s="1"/>
  <c r="V157" i="1"/>
  <c r="AC157" i="1" s="1"/>
  <c r="U157" i="1"/>
  <c r="T157" i="1"/>
  <c r="S157" i="1"/>
  <c r="Z157" i="1" s="1"/>
  <c r="AF156" i="1"/>
  <c r="AE156" i="1"/>
  <c r="AB156" i="1"/>
  <c r="Y156" i="1"/>
  <c r="X156" i="1"/>
  <c r="W156" i="1"/>
  <c r="AD156" i="1" s="1"/>
  <c r="V156" i="1"/>
  <c r="AC156" i="1" s="1"/>
  <c r="U156" i="1"/>
  <c r="T156" i="1"/>
  <c r="AA156" i="1" s="1"/>
  <c r="S156" i="1"/>
  <c r="Z156" i="1" s="1"/>
  <c r="AF155" i="1"/>
  <c r="AB155" i="1"/>
  <c r="AA155" i="1"/>
  <c r="Y155" i="1"/>
  <c r="X155" i="1"/>
  <c r="AE155" i="1" s="1"/>
  <c r="W155" i="1"/>
  <c r="AD155" i="1" s="1"/>
  <c r="V155" i="1"/>
  <c r="AC155" i="1" s="1"/>
  <c r="U155" i="1"/>
  <c r="T155" i="1"/>
  <c r="S155" i="1"/>
  <c r="Z155" i="1" s="1"/>
  <c r="AF154" i="1"/>
  <c r="AE154" i="1"/>
  <c r="AB154" i="1"/>
  <c r="Y154" i="1"/>
  <c r="X154" i="1"/>
  <c r="W154" i="1"/>
  <c r="AD154" i="1" s="1"/>
  <c r="V154" i="1"/>
  <c r="AC154" i="1" s="1"/>
  <c r="U154" i="1"/>
  <c r="T154" i="1"/>
  <c r="AA154" i="1" s="1"/>
  <c r="S154" i="1"/>
  <c r="Z154" i="1" s="1"/>
  <c r="AF153" i="1"/>
  <c r="AB153" i="1"/>
  <c r="AA153" i="1"/>
  <c r="Y153" i="1"/>
  <c r="X153" i="1"/>
  <c r="AE153" i="1" s="1"/>
  <c r="W153" i="1"/>
  <c r="AD153" i="1" s="1"/>
  <c r="V153" i="1"/>
  <c r="AC153" i="1" s="1"/>
  <c r="U153" i="1"/>
  <c r="T153" i="1"/>
  <c r="S153" i="1"/>
  <c r="Z153" i="1" s="1"/>
  <c r="AF152" i="1"/>
  <c r="AE152" i="1"/>
  <c r="AB152" i="1"/>
  <c r="Y152" i="1"/>
  <c r="X152" i="1"/>
  <c r="W152" i="1"/>
  <c r="AD152" i="1" s="1"/>
  <c r="V152" i="1"/>
  <c r="AC152" i="1" s="1"/>
  <c r="U152" i="1"/>
  <c r="T152" i="1"/>
  <c r="AA152" i="1" s="1"/>
  <c r="S152" i="1"/>
  <c r="Z152" i="1" s="1"/>
  <c r="AF151" i="1"/>
  <c r="AB151" i="1"/>
  <c r="AA151" i="1"/>
  <c r="Y151" i="1"/>
  <c r="X151" i="1"/>
  <c r="AE151" i="1" s="1"/>
  <c r="W151" i="1"/>
  <c r="AD151" i="1" s="1"/>
  <c r="V151" i="1"/>
  <c r="AC151" i="1" s="1"/>
  <c r="U151" i="1"/>
  <c r="T151" i="1"/>
  <c r="S151" i="1"/>
  <c r="Z151" i="1" s="1"/>
  <c r="AF150" i="1"/>
  <c r="AE150" i="1"/>
  <c r="AB150" i="1"/>
  <c r="Y150" i="1"/>
  <c r="X150" i="1"/>
  <c r="W150" i="1"/>
  <c r="AD150" i="1" s="1"/>
  <c r="V150" i="1"/>
  <c r="AC150" i="1" s="1"/>
  <c r="U150" i="1"/>
  <c r="T150" i="1"/>
  <c r="AA150" i="1" s="1"/>
  <c r="S150" i="1"/>
  <c r="Z150" i="1" s="1"/>
  <c r="AF149" i="1"/>
  <c r="AB149" i="1"/>
  <c r="AA149" i="1"/>
  <c r="Y149" i="1"/>
  <c r="X149" i="1"/>
  <c r="AE149" i="1" s="1"/>
  <c r="W149" i="1"/>
  <c r="AD149" i="1" s="1"/>
  <c r="V149" i="1"/>
  <c r="AC149" i="1" s="1"/>
  <c r="U149" i="1"/>
  <c r="T149" i="1"/>
  <c r="S149" i="1"/>
  <c r="Z149" i="1" s="1"/>
  <c r="AF148" i="1"/>
  <c r="AE148" i="1"/>
  <c r="AB148" i="1"/>
  <c r="Y148" i="1"/>
  <c r="X148" i="1"/>
  <c r="W148" i="1"/>
  <c r="AD148" i="1" s="1"/>
  <c r="V148" i="1"/>
  <c r="AC148" i="1" s="1"/>
  <c r="U148" i="1"/>
  <c r="T148" i="1"/>
  <c r="AA148" i="1" s="1"/>
  <c r="S148" i="1"/>
  <c r="Z148" i="1" s="1"/>
  <c r="AF147" i="1"/>
  <c r="AB147" i="1"/>
  <c r="AA147" i="1"/>
  <c r="Y147" i="1"/>
  <c r="X147" i="1"/>
  <c r="AE147" i="1" s="1"/>
  <c r="W147" i="1"/>
  <c r="AD147" i="1" s="1"/>
  <c r="V147" i="1"/>
  <c r="AC147" i="1" s="1"/>
  <c r="U147" i="1"/>
  <c r="T147" i="1"/>
  <c r="S147" i="1"/>
  <c r="Z147" i="1" s="1"/>
  <c r="AF146" i="1"/>
  <c r="AE146" i="1"/>
  <c r="Z146" i="1"/>
  <c r="Y146" i="1"/>
  <c r="X146" i="1"/>
  <c r="W146" i="1"/>
  <c r="AD146" i="1" s="1"/>
  <c r="V146" i="1"/>
  <c r="AC146" i="1" s="1"/>
  <c r="U146" i="1"/>
  <c r="AB146" i="1" s="1"/>
  <c r="T146" i="1"/>
  <c r="AA146" i="1" s="1"/>
  <c r="S146" i="1"/>
  <c r="AF145" i="1"/>
  <c r="AD145" i="1"/>
  <c r="AB145" i="1"/>
  <c r="AA145" i="1"/>
  <c r="Y145" i="1"/>
  <c r="X145" i="1"/>
  <c r="AE145" i="1" s="1"/>
  <c r="W145" i="1"/>
  <c r="V145" i="1"/>
  <c r="AC145" i="1" s="1"/>
  <c r="U145" i="1"/>
  <c r="T145" i="1"/>
  <c r="S145" i="1"/>
  <c r="Z145" i="1" s="1"/>
  <c r="AF144" i="1"/>
  <c r="AE144" i="1"/>
  <c r="Z144" i="1"/>
  <c r="Y144" i="1"/>
  <c r="X144" i="1"/>
  <c r="W144" i="1"/>
  <c r="AD144" i="1" s="1"/>
  <c r="V144" i="1"/>
  <c r="AC144" i="1" s="1"/>
  <c r="U144" i="1"/>
  <c r="AB144" i="1" s="1"/>
  <c r="T144" i="1"/>
  <c r="AA144" i="1" s="1"/>
  <c r="S144" i="1"/>
  <c r="AF143" i="1"/>
  <c r="AD143" i="1"/>
  <c r="AB143" i="1"/>
  <c r="AA143" i="1"/>
  <c r="Y143" i="1"/>
  <c r="X143" i="1"/>
  <c r="AE143" i="1" s="1"/>
  <c r="W143" i="1"/>
  <c r="V143" i="1"/>
  <c r="AC143" i="1" s="1"/>
  <c r="U143" i="1"/>
  <c r="T143" i="1"/>
  <c r="S143" i="1"/>
  <c r="Z143" i="1" s="1"/>
  <c r="AF142" i="1"/>
  <c r="AE142" i="1"/>
  <c r="Z142" i="1"/>
  <c r="Y142" i="1"/>
  <c r="X142" i="1"/>
  <c r="W142" i="1"/>
  <c r="AD142" i="1" s="1"/>
  <c r="V142" i="1"/>
  <c r="AC142" i="1" s="1"/>
  <c r="U142" i="1"/>
  <c r="AB142" i="1" s="1"/>
  <c r="T142" i="1"/>
  <c r="AA142" i="1" s="1"/>
  <c r="S142" i="1"/>
  <c r="AF141" i="1"/>
  <c r="AD141" i="1"/>
  <c r="AB141" i="1"/>
  <c r="AA141" i="1"/>
  <c r="Y141" i="1"/>
  <c r="X141" i="1"/>
  <c r="AE141" i="1" s="1"/>
  <c r="W141" i="1"/>
  <c r="V141" i="1"/>
  <c r="AC141" i="1" s="1"/>
  <c r="U141" i="1"/>
  <c r="T141" i="1"/>
  <c r="S141" i="1"/>
  <c r="Z141" i="1" s="1"/>
  <c r="AF140" i="1"/>
  <c r="AE140" i="1"/>
  <c r="Z140" i="1"/>
  <c r="Y140" i="1"/>
  <c r="X140" i="1"/>
  <c r="W140" i="1"/>
  <c r="AD140" i="1" s="1"/>
  <c r="V140" i="1"/>
  <c r="AC140" i="1" s="1"/>
  <c r="U140" i="1"/>
  <c r="AB140" i="1" s="1"/>
  <c r="T140" i="1"/>
  <c r="AA140" i="1" s="1"/>
  <c r="S140" i="1"/>
  <c r="AF139" i="1"/>
  <c r="AD139" i="1"/>
  <c r="AB139" i="1"/>
  <c r="AA139" i="1"/>
  <c r="Y139" i="1"/>
  <c r="X139" i="1"/>
  <c r="AE139" i="1" s="1"/>
  <c r="W139" i="1"/>
  <c r="V139" i="1"/>
  <c r="AC139" i="1" s="1"/>
  <c r="U139" i="1"/>
  <c r="T139" i="1"/>
  <c r="S139" i="1"/>
  <c r="Z139" i="1" s="1"/>
  <c r="AF138" i="1"/>
  <c r="AE138" i="1"/>
  <c r="Z138" i="1"/>
  <c r="Y138" i="1"/>
  <c r="X138" i="1"/>
  <c r="W138" i="1"/>
  <c r="AD138" i="1" s="1"/>
  <c r="V138" i="1"/>
  <c r="AC138" i="1" s="1"/>
  <c r="U138" i="1"/>
  <c r="AB138" i="1" s="1"/>
  <c r="T138" i="1"/>
  <c r="AA138" i="1" s="1"/>
  <c r="S138" i="1"/>
  <c r="AF137" i="1"/>
  <c r="AD137" i="1"/>
  <c r="AB137" i="1"/>
  <c r="AA137" i="1"/>
  <c r="Y137" i="1"/>
  <c r="X137" i="1"/>
  <c r="AE137" i="1" s="1"/>
  <c r="W137" i="1"/>
  <c r="V137" i="1"/>
  <c r="AC137" i="1" s="1"/>
  <c r="U137" i="1"/>
  <c r="T137" i="1"/>
  <c r="S137" i="1"/>
  <c r="Z137" i="1" s="1"/>
  <c r="AE136" i="1"/>
  <c r="AC136" i="1"/>
  <c r="AB136" i="1"/>
  <c r="Z136" i="1"/>
  <c r="Y136" i="1"/>
  <c r="AF136" i="1" s="1"/>
  <c r="X136" i="1"/>
  <c r="W136" i="1"/>
  <c r="AD136" i="1" s="1"/>
  <c r="V136" i="1"/>
  <c r="U136" i="1"/>
  <c r="T136" i="1"/>
  <c r="AA136" i="1" s="1"/>
  <c r="S136" i="1"/>
  <c r="AD135" i="1"/>
  <c r="AC135" i="1"/>
  <c r="AB135" i="1"/>
  <c r="AA135" i="1"/>
  <c r="Z135" i="1"/>
  <c r="Y135" i="1"/>
  <c r="AF135" i="1" s="1"/>
  <c r="X135" i="1"/>
  <c r="AE135" i="1" s="1"/>
  <c r="W135" i="1"/>
  <c r="V135" i="1"/>
  <c r="U135" i="1"/>
  <c r="T135" i="1"/>
  <c r="S135" i="1"/>
  <c r="AE134" i="1"/>
  <c r="AC134" i="1"/>
  <c r="AB134" i="1"/>
  <c r="Z134" i="1"/>
  <c r="Y134" i="1"/>
  <c r="AF134" i="1" s="1"/>
  <c r="X134" i="1"/>
  <c r="W134" i="1"/>
  <c r="AD134" i="1" s="1"/>
  <c r="V134" i="1"/>
  <c r="U134" i="1"/>
  <c r="T134" i="1"/>
  <c r="AA134" i="1" s="1"/>
  <c r="S134" i="1"/>
  <c r="AD133" i="1"/>
  <c r="AC133" i="1"/>
  <c r="AB133" i="1"/>
  <c r="AA133" i="1"/>
  <c r="Z133" i="1"/>
  <c r="Y133" i="1"/>
  <c r="AF133" i="1" s="1"/>
  <c r="X133" i="1"/>
  <c r="AE133" i="1" s="1"/>
  <c r="W133" i="1"/>
  <c r="V133" i="1"/>
  <c r="U133" i="1"/>
  <c r="T133" i="1"/>
  <c r="S133" i="1"/>
  <c r="AE132" i="1"/>
  <c r="AC132" i="1"/>
  <c r="AB132" i="1"/>
  <c r="Z132" i="1"/>
  <c r="Y132" i="1"/>
  <c r="AF132" i="1" s="1"/>
  <c r="X132" i="1"/>
  <c r="W132" i="1"/>
  <c r="AD132" i="1" s="1"/>
  <c r="V132" i="1"/>
  <c r="U132" i="1"/>
  <c r="T132" i="1"/>
  <c r="AA132" i="1" s="1"/>
  <c r="AG132" i="1" s="1"/>
  <c r="AI132" i="1" s="1"/>
  <c r="S132" i="1"/>
  <c r="AD131" i="1"/>
  <c r="AC131" i="1"/>
  <c r="AB131" i="1"/>
  <c r="AA131" i="1"/>
  <c r="Z131" i="1"/>
  <c r="Y131" i="1"/>
  <c r="AF131" i="1" s="1"/>
  <c r="X131" i="1"/>
  <c r="AE131" i="1" s="1"/>
  <c r="W131" i="1"/>
  <c r="V131" i="1"/>
  <c r="U131" i="1"/>
  <c r="T131" i="1"/>
  <c r="S131" i="1"/>
  <c r="AE130" i="1"/>
  <c r="AC130" i="1"/>
  <c r="AB130" i="1"/>
  <c r="Z130" i="1"/>
  <c r="Y130" i="1"/>
  <c r="AF130" i="1" s="1"/>
  <c r="X130" i="1"/>
  <c r="W130" i="1"/>
  <c r="AD130" i="1" s="1"/>
  <c r="V130" i="1"/>
  <c r="U130" i="1"/>
  <c r="T130" i="1"/>
  <c r="AA130" i="1" s="1"/>
  <c r="AG130" i="1" s="1"/>
  <c r="AI130" i="1" s="1"/>
  <c r="S130" i="1"/>
  <c r="AD129" i="1"/>
  <c r="AC129" i="1"/>
  <c r="AB129" i="1"/>
  <c r="AA129" i="1"/>
  <c r="Z129" i="1"/>
  <c r="Y129" i="1"/>
  <c r="AF129" i="1" s="1"/>
  <c r="X129" i="1"/>
  <c r="AE129" i="1" s="1"/>
  <c r="W129" i="1"/>
  <c r="V129" i="1"/>
  <c r="U129" i="1"/>
  <c r="T129" i="1"/>
  <c r="S129" i="1"/>
  <c r="D129" i="1"/>
  <c r="AF128" i="1"/>
  <c r="AC128" i="1"/>
  <c r="AB128" i="1"/>
  <c r="AA128" i="1"/>
  <c r="Z128" i="1"/>
  <c r="Y128" i="1"/>
  <c r="X128" i="1"/>
  <c r="AE128" i="1" s="1"/>
  <c r="W128" i="1"/>
  <c r="AD128" i="1" s="1"/>
  <c r="V128" i="1"/>
  <c r="U128" i="1"/>
  <c r="T128" i="1"/>
  <c r="S128" i="1"/>
  <c r="AE127" i="1"/>
  <c r="AD127" i="1"/>
  <c r="AC127" i="1"/>
  <c r="AB127" i="1"/>
  <c r="Z127" i="1"/>
  <c r="Y127" i="1"/>
  <c r="AF127" i="1" s="1"/>
  <c r="X127" i="1"/>
  <c r="W127" i="1"/>
  <c r="V127" i="1"/>
  <c r="U127" i="1"/>
  <c r="T127" i="1"/>
  <c r="AA127" i="1" s="1"/>
  <c r="S127" i="1"/>
  <c r="AF126" i="1"/>
  <c r="AD126" i="1"/>
  <c r="AC126" i="1"/>
  <c r="AB126" i="1"/>
  <c r="AA126" i="1"/>
  <c r="Z126" i="1"/>
  <c r="Y126" i="1"/>
  <c r="X126" i="1"/>
  <c r="AE126" i="1" s="1"/>
  <c r="W126" i="1"/>
  <c r="V126" i="1"/>
  <c r="U126" i="1"/>
  <c r="T126" i="1"/>
  <c r="S126" i="1"/>
  <c r="AE125" i="1"/>
  <c r="AD125" i="1"/>
  <c r="AC125" i="1"/>
  <c r="AB125" i="1"/>
  <c r="Z125" i="1"/>
  <c r="Y125" i="1"/>
  <c r="AF125" i="1" s="1"/>
  <c r="X125" i="1"/>
  <c r="W125" i="1"/>
  <c r="V125" i="1"/>
  <c r="U125" i="1"/>
  <c r="T125" i="1"/>
  <c r="AA125" i="1" s="1"/>
  <c r="S125" i="1"/>
  <c r="AF124" i="1"/>
  <c r="AD124" i="1"/>
  <c r="AC124" i="1"/>
  <c r="AB124" i="1"/>
  <c r="AA124" i="1"/>
  <c r="Z124" i="1"/>
  <c r="Y124" i="1"/>
  <c r="X124" i="1"/>
  <c r="AE124" i="1" s="1"/>
  <c r="W124" i="1"/>
  <c r="V124" i="1"/>
  <c r="U124" i="1"/>
  <c r="T124" i="1"/>
  <c r="S124" i="1"/>
  <c r="AE123" i="1"/>
  <c r="AD123" i="1"/>
  <c r="AC123" i="1"/>
  <c r="AB123" i="1"/>
  <c r="Z123" i="1"/>
  <c r="Y123" i="1"/>
  <c r="AF123" i="1" s="1"/>
  <c r="X123" i="1"/>
  <c r="W123" i="1"/>
  <c r="V123" i="1"/>
  <c r="U123" i="1"/>
  <c r="T123" i="1"/>
  <c r="AA123" i="1" s="1"/>
  <c r="S123" i="1"/>
  <c r="AF122" i="1"/>
  <c r="AD122" i="1"/>
  <c r="AA122" i="1"/>
  <c r="Z122" i="1"/>
  <c r="Y122" i="1"/>
  <c r="X122" i="1"/>
  <c r="AE122" i="1" s="1"/>
  <c r="W122" i="1"/>
  <c r="V122" i="1"/>
  <c r="AC122" i="1" s="1"/>
  <c r="U122" i="1"/>
  <c r="AB122" i="1" s="1"/>
  <c r="T122" i="1"/>
  <c r="S122" i="1"/>
  <c r="AE121" i="1"/>
  <c r="AD121" i="1"/>
  <c r="AC121" i="1"/>
  <c r="AB121" i="1"/>
  <c r="Z121" i="1"/>
  <c r="Y121" i="1"/>
  <c r="AF121" i="1" s="1"/>
  <c r="X121" i="1"/>
  <c r="W121" i="1"/>
  <c r="V121" i="1"/>
  <c r="U121" i="1"/>
  <c r="T121" i="1"/>
  <c r="AA121" i="1" s="1"/>
  <c r="S121" i="1"/>
  <c r="AF120" i="1"/>
  <c r="AD120" i="1"/>
  <c r="AC120" i="1"/>
  <c r="AA120" i="1"/>
  <c r="Z120" i="1"/>
  <c r="Y120" i="1"/>
  <c r="X120" i="1"/>
  <c r="AE120" i="1" s="1"/>
  <c r="W120" i="1"/>
  <c r="V120" i="1"/>
  <c r="U120" i="1"/>
  <c r="AB120" i="1" s="1"/>
  <c r="T120" i="1"/>
  <c r="S120" i="1"/>
  <c r="AE119" i="1"/>
  <c r="AD119" i="1"/>
  <c r="AC119" i="1"/>
  <c r="AB119" i="1"/>
  <c r="Z119" i="1"/>
  <c r="Y119" i="1"/>
  <c r="AF119" i="1" s="1"/>
  <c r="X119" i="1"/>
  <c r="W119" i="1"/>
  <c r="V119" i="1"/>
  <c r="U119" i="1"/>
  <c r="T119" i="1"/>
  <c r="AA119" i="1" s="1"/>
  <c r="S119" i="1"/>
  <c r="AF118" i="1"/>
  <c r="AD118" i="1"/>
  <c r="AC118" i="1"/>
  <c r="AB118" i="1"/>
  <c r="AA118" i="1"/>
  <c r="Z118" i="1"/>
  <c r="Y118" i="1"/>
  <c r="X118" i="1"/>
  <c r="AE118" i="1" s="1"/>
  <c r="W118" i="1"/>
  <c r="V118" i="1"/>
  <c r="U118" i="1"/>
  <c r="T118" i="1"/>
  <c r="S118" i="1"/>
  <c r="AE117" i="1"/>
  <c r="AD117" i="1"/>
  <c r="AC117" i="1"/>
  <c r="AB117" i="1"/>
  <c r="Z117" i="1"/>
  <c r="Y117" i="1"/>
  <c r="AF117" i="1" s="1"/>
  <c r="X117" i="1"/>
  <c r="W117" i="1"/>
  <c r="V117" i="1"/>
  <c r="U117" i="1"/>
  <c r="T117" i="1"/>
  <c r="AA117" i="1" s="1"/>
  <c r="S117" i="1"/>
  <c r="AF116" i="1"/>
  <c r="AD116" i="1"/>
  <c r="AC116" i="1"/>
  <c r="AB116" i="1"/>
  <c r="AA116" i="1"/>
  <c r="Z116" i="1"/>
  <c r="Y116" i="1"/>
  <c r="X116" i="1"/>
  <c r="AE116" i="1" s="1"/>
  <c r="W116" i="1"/>
  <c r="V116" i="1"/>
  <c r="U116" i="1"/>
  <c r="T116" i="1"/>
  <c r="S116" i="1"/>
  <c r="AE115" i="1"/>
  <c r="AD115" i="1"/>
  <c r="AC115" i="1"/>
  <c r="AB115" i="1"/>
  <c r="Z115" i="1"/>
  <c r="Y115" i="1"/>
  <c r="AF115" i="1" s="1"/>
  <c r="X115" i="1"/>
  <c r="W115" i="1"/>
  <c r="V115" i="1"/>
  <c r="U115" i="1"/>
  <c r="T115" i="1"/>
  <c r="AA115" i="1" s="1"/>
  <c r="S115" i="1"/>
  <c r="AF114" i="1"/>
  <c r="AD114" i="1"/>
  <c r="AC114" i="1"/>
  <c r="AB114" i="1"/>
  <c r="Z114" i="1"/>
  <c r="Y114" i="1"/>
  <c r="X114" i="1"/>
  <c r="AE114" i="1" s="1"/>
  <c r="W114" i="1"/>
  <c r="V114" i="1"/>
  <c r="U114" i="1"/>
  <c r="T114" i="1"/>
  <c r="AA114" i="1" s="1"/>
  <c r="S114" i="1"/>
  <c r="AD113" i="1"/>
  <c r="AC113" i="1"/>
  <c r="AB113" i="1"/>
  <c r="Z113" i="1"/>
  <c r="Y113" i="1"/>
  <c r="AF113" i="1" s="1"/>
  <c r="X113" i="1"/>
  <c r="AE113" i="1" s="1"/>
  <c r="W113" i="1"/>
  <c r="V113" i="1"/>
  <c r="U113" i="1"/>
  <c r="T113" i="1"/>
  <c r="AA113" i="1" s="1"/>
  <c r="S113" i="1"/>
  <c r="AF112" i="1"/>
  <c r="AD112" i="1"/>
  <c r="AC112" i="1"/>
  <c r="AB112" i="1"/>
  <c r="Z112" i="1"/>
  <c r="Y112" i="1"/>
  <c r="X112" i="1"/>
  <c r="AE112" i="1" s="1"/>
  <c r="W112" i="1"/>
  <c r="V112" i="1"/>
  <c r="U112" i="1"/>
  <c r="T112" i="1"/>
  <c r="AA112" i="1" s="1"/>
  <c r="S112" i="1"/>
  <c r="AD111" i="1"/>
  <c r="AC111" i="1"/>
  <c r="AB111" i="1"/>
  <c r="Z111" i="1"/>
  <c r="Y111" i="1"/>
  <c r="AF111" i="1" s="1"/>
  <c r="X111" i="1"/>
  <c r="AE111" i="1" s="1"/>
  <c r="W111" i="1"/>
  <c r="V111" i="1"/>
  <c r="U111" i="1"/>
  <c r="T111" i="1"/>
  <c r="AA111" i="1" s="1"/>
  <c r="S111" i="1"/>
  <c r="AF110" i="1"/>
  <c r="AD110" i="1"/>
  <c r="AC110" i="1"/>
  <c r="AB110" i="1"/>
  <c r="Z110" i="1"/>
  <c r="Y110" i="1"/>
  <c r="X110" i="1"/>
  <c r="AE110" i="1" s="1"/>
  <c r="W110" i="1"/>
  <c r="V110" i="1"/>
  <c r="U110" i="1"/>
  <c r="T110" i="1"/>
  <c r="AA110" i="1" s="1"/>
  <c r="S110" i="1"/>
  <c r="AD109" i="1"/>
  <c r="AC109" i="1"/>
  <c r="AB109" i="1"/>
  <c r="Z109" i="1"/>
  <c r="Y109" i="1"/>
  <c r="AF109" i="1" s="1"/>
  <c r="X109" i="1"/>
  <c r="AE109" i="1" s="1"/>
  <c r="W109" i="1"/>
  <c r="V109" i="1"/>
  <c r="U109" i="1"/>
  <c r="T109" i="1"/>
  <c r="AA109" i="1" s="1"/>
  <c r="S109" i="1"/>
  <c r="AF108" i="1"/>
  <c r="AD108" i="1"/>
  <c r="AC108" i="1"/>
  <c r="AB108" i="1"/>
  <c r="Z108" i="1"/>
  <c r="Y108" i="1"/>
  <c r="X108" i="1"/>
  <c r="AE108" i="1" s="1"/>
  <c r="W108" i="1"/>
  <c r="V108" i="1"/>
  <c r="U108" i="1"/>
  <c r="T108" i="1"/>
  <c r="AA108" i="1" s="1"/>
  <c r="S108" i="1"/>
  <c r="AD107" i="1"/>
  <c r="AC107" i="1"/>
  <c r="AB107" i="1"/>
  <c r="AA107" i="1"/>
  <c r="Z107" i="1"/>
  <c r="Y107" i="1"/>
  <c r="AF107" i="1" s="1"/>
  <c r="X107" i="1"/>
  <c r="AE107" i="1" s="1"/>
  <c r="W107" i="1"/>
  <c r="V107" i="1"/>
  <c r="U107" i="1"/>
  <c r="T107" i="1"/>
  <c r="S107" i="1"/>
  <c r="AE106" i="1"/>
  <c r="AC106" i="1"/>
  <c r="AB106" i="1"/>
  <c r="Z106" i="1"/>
  <c r="Y106" i="1"/>
  <c r="AF106" i="1" s="1"/>
  <c r="X106" i="1"/>
  <c r="W106" i="1"/>
  <c r="AD106" i="1" s="1"/>
  <c r="V106" i="1"/>
  <c r="U106" i="1"/>
  <c r="T106" i="1"/>
  <c r="AA106" i="1" s="1"/>
  <c r="S106" i="1"/>
  <c r="AD105" i="1"/>
  <c r="AC105" i="1"/>
  <c r="AB105" i="1"/>
  <c r="AA105" i="1"/>
  <c r="Z105" i="1"/>
  <c r="Y105" i="1"/>
  <c r="AF105" i="1" s="1"/>
  <c r="X105" i="1"/>
  <c r="AE105" i="1" s="1"/>
  <c r="W105" i="1"/>
  <c r="V105" i="1"/>
  <c r="U105" i="1"/>
  <c r="T105" i="1"/>
  <c r="S105" i="1"/>
  <c r="AE104" i="1"/>
  <c r="AC104" i="1"/>
  <c r="AB104" i="1"/>
  <c r="Z104" i="1"/>
  <c r="Y104" i="1"/>
  <c r="AF104" i="1" s="1"/>
  <c r="X104" i="1"/>
  <c r="W104" i="1"/>
  <c r="AD104" i="1" s="1"/>
  <c r="V104" i="1"/>
  <c r="U104" i="1"/>
  <c r="T104" i="1"/>
  <c r="AA104" i="1" s="1"/>
  <c r="S104" i="1"/>
  <c r="AD103" i="1"/>
  <c r="AC103" i="1"/>
  <c r="AB103" i="1"/>
  <c r="AA103" i="1"/>
  <c r="Z103" i="1"/>
  <c r="Y103" i="1"/>
  <c r="AF103" i="1" s="1"/>
  <c r="X103" i="1"/>
  <c r="AE103" i="1" s="1"/>
  <c r="W103" i="1"/>
  <c r="V103" i="1"/>
  <c r="U103" i="1"/>
  <c r="T103" i="1"/>
  <c r="S103" i="1"/>
  <c r="AE102" i="1"/>
  <c r="AC102" i="1"/>
  <c r="AB102" i="1"/>
  <c r="Z102" i="1"/>
  <c r="Y102" i="1"/>
  <c r="AF102" i="1" s="1"/>
  <c r="X102" i="1"/>
  <c r="W102" i="1"/>
  <c r="AD102" i="1" s="1"/>
  <c r="V102" i="1"/>
  <c r="U102" i="1"/>
  <c r="T102" i="1"/>
  <c r="AA102" i="1" s="1"/>
  <c r="S102" i="1"/>
  <c r="AD101" i="1"/>
  <c r="AC101" i="1"/>
  <c r="AB101" i="1"/>
  <c r="AA101" i="1"/>
  <c r="Z101" i="1"/>
  <c r="Y101" i="1"/>
  <c r="AF101" i="1" s="1"/>
  <c r="X101" i="1"/>
  <c r="AE101" i="1" s="1"/>
  <c r="W101" i="1"/>
  <c r="V101" i="1"/>
  <c r="U101" i="1"/>
  <c r="T101" i="1"/>
  <c r="S101" i="1"/>
  <c r="AE100" i="1"/>
  <c r="AC100" i="1"/>
  <c r="AB100" i="1"/>
  <c r="Z100" i="1"/>
  <c r="Y100" i="1"/>
  <c r="AF100" i="1" s="1"/>
  <c r="X100" i="1"/>
  <c r="W100" i="1"/>
  <c r="AD100" i="1" s="1"/>
  <c r="V100" i="1"/>
  <c r="U100" i="1"/>
  <c r="T100" i="1"/>
  <c r="AA100" i="1" s="1"/>
  <c r="S100" i="1"/>
  <c r="AD99" i="1"/>
  <c r="AC99" i="1"/>
  <c r="AB99" i="1"/>
  <c r="AA99" i="1"/>
  <c r="Z99" i="1"/>
  <c r="Y99" i="1"/>
  <c r="AF99" i="1" s="1"/>
  <c r="X99" i="1"/>
  <c r="AE99" i="1" s="1"/>
  <c r="W99" i="1"/>
  <c r="V99" i="1"/>
  <c r="U99" i="1"/>
  <c r="T99" i="1"/>
  <c r="S99" i="1"/>
  <c r="D99" i="1"/>
  <c r="AF98" i="1"/>
  <c r="AC98" i="1"/>
  <c r="AB98" i="1"/>
  <c r="AA98" i="1"/>
  <c r="Z98" i="1"/>
  <c r="Y98" i="1"/>
  <c r="X98" i="1"/>
  <c r="AE98" i="1" s="1"/>
  <c r="W98" i="1"/>
  <c r="AD98" i="1" s="1"/>
  <c r="V98" i="1"/>
  <c r="U98" i="1"/>
  <c r="T98" i="1"/>
  <c r="S98" i="1"/>
  <c r="AE97" i="1"/>
  <c r="AC97" i="1"/>
  <c r="AB97" i="1"/>
  <c r="Z97" i="1"/>
  <c r="Y97" i="1"/>
  <c r="AF97" i="1" s="1"/>
  <c r="X97" i="1"/>
  <c r="W97" i="1"/>
  <c r="AD97" i="1" s="1"/>
  <c r="V97" i="1"/>
  <c r="U97" i="1"/>
  <c r="T97" i="1"/>
  <c r="AA97" i="1" s="1"/>
  <c r="S97" i="1"/>
  <c r="AF96" i="1"/>
  <c r="AD96" i="1"/>
  <c r="AC96" i="1"/>
  <c r="AB96" i="1"/>
  <c r="AA96" i="1"/>
  <c r="Z96" i="1"/>
  <c r="Y96" i="1"/>
  <c r="X96" i="1"/>
  <c r="AE96" i="1" s="1"/>
  <c r="W96" i="1"/>
  <c r="V96" i="1"/>
  <c r="U96" i="1"/>
  <c r="T96" i="1"/>
  <c r="S96" i="1"/>
  <c r="AE95" i="1"/>
  <c r="AC95" i="1"/>
  <c r="AB95" i="1"/>
  <c r="Z95" i="1"/>
  <c r="Y95" i="1"/>
  <c r="AF95" i="1" s="1"/>
  <c r="X95" i="1"/>
  <c r="W95" i="1"/>
  <c r="AD95" i="1" s="1"/>
  <c r="V95" i="1"/>
  <c r="U95" i="1"/>
  <c r="T95" i="1"/>
  <c r="AA95" i="1" s="1"/>
  <c r="S95" i="1"/>
  <c r="AF94" i="1"/>
  <c r="AD94" i="1"/>
  <c r="AC94" i="1"/>
  <c r="AB94" i="1"/>
  <c r="AA94" i="1"/>
  <c r="Z94" i="1"/>
  <c r="Y94" i="1"/>
  <c r="X94" i="1"/>
  <c r="AE94" i="1" s="1"/>
  <c r="W94" i="1"/>
  <c r="V94" i="1"/>
  <c r="U94" i="1"/>
  <c r="T94" i="1"/>
  <c r="S94" i="1"/>
  <c r="AE93" i="1"/>
  <c r="AC93" i="1"/>
  <c r="AB93" i="1"/>
  <c r="Z93" i="1"/>
  <c r="Y93" i="1"/>
  <c r="AF93" i="1" s="1"/>
  <c r="X93" i="1"/>
  <c r="W93" i="1"/>
  <c r="AD93" i="1" s="1"/>
  <c r="V93" i="1"/>
  <c r="U93" i="1"/>
  <c r="T93" i="1"/>
  <c r="AA93" i="1" s="1"/>
  <c r="S93" i="1"/>
  <c r="AF92" i="1"/>
  <c r="AD92" i="1"/>
  <c r="AA92" i="1"/>
  <c r="Z92" i="1"/>
  <c r="Y92" i="1"/>
  <c r="X92" i="1"/>
  <c r="AE92" i="1" s="1"/>
  <c r="W92" i="1"/>
  <c r="V92" i="1"/>
  <c r="AC92" i="1" s="1"/>
  <c r="U92" i="1"/>
  <c r="AB92" i="1" s="1"/>
  <c r="T92" i="1"/>
  <c r="S92" i="1"/>
  <c r="AE91" i="1"/>
  <c r="AC91" i="1"/>
  <c r="AB91" i="1"/>
  <c r="Z91" i="1"/>
  <c r="Y91" i="1"/>
  <c r="AF91" i="1" s="1"/>
  <c r="X91" i="1"/>
  <c r="W91" i="1"/>
  <c r="AD91" i="1" s="1"/>
  <c r="V91" i="1"/>
  <c r="U91" i="1"/>
  <c r="T91" i="1"/>
  <c r="AA91" i="1" s="1"/>
  <c r="S91" i="1"/>
  <c r="AF90" i="1"/>
  <c r="AD90" i="1"/>
  <c r="AC90" i="1"/>
  <c r="AA90" i="1"/>
  <c r="Z90" i="1"/>
  <c r="Y90" i="1"/>
  <c r="X90" i="1"/>
  <c r="AE90" i="1" s="1"/>
  <c r="W90" i="1"/>
  <c r="V90" i="1"/>
  <c r="U90" i="1"/>
  <c r="AB90" i="1" s="1"/>
  <c r="T90" i="1"/>
  <c r="S90" i="1"/>
  <c r="AE89" i="1"/>
  <c r="AC89" i="1"/>
  <c r="AB89" i="1"/>
  <c r="Z89" i="1"/>
  <c r="Y89" i="1"/>
  <c r="AF89" i="1" s="1"/>
  <c r="X89" i="1"/>
  <c r="W89" i="1"/>
  <c r="AD89" i="1" s="1"/>
  <c r="V89" i="1"/>
  <c r="U89" i="1"/>
  <c r="T89" i="1"/>
  <c r="AA89" i="1" s="1"/>
  <c r="AG89" i="1" s="1"/>
  <c r="AI89" i="1" s="1"/>
  <c r="S89" i="1"/>
  <c r="AF88" i="1"/>
  <c r="AD88" i="1"/>
  <c r="AC88" i="1"/>
  <c r="AB88" i="1"/>
  <c r="AA88" i="1"/>
  <c r="AG88" i="1" s="1"/>
  <c r="AI88" i="1" s="1"/>
  <c r="Z88" i="1"/>
  <c r="AH88" i="1" s="1"/>
  <c r="AJ88" i="1" s="1"/>
  <c r="Y88" i="1"/>
  <c r="X88" i="1"/>
  <c r="AE88" i="1" s="1"/>
  <c r="W88" i="1"/>
  <c r="V88" i="1"/>
  <c r="U88" i="1"/>
  <c r="T88" i="1"/>
  <c r="S88" i="1"/>
  <c r="AE87" i="1"/>
  <c r="AC87" i="1"/>
  <c r="AB87" i="1"/>
  <c r="Z87" i="1"/>
  <c r="Y87" i="1"/>
  <c r="AF87" i="1" s="1"/>
  <c r="X87" i="1"/>
  <c r="W87" i="1"/>
  <c r="AD87" i="1" s="1"/>
  <c r="V87" i="1"/>
  <c r="U87" i="1"/>
  <c r="T87" i="1"/>
  <c r="AA87" i="1" s="1"/>
  <c r="AG87" i="1" s="1"/>
  <c r="AI87" i="1" s="1"/>
  <c r="S87" i="1"/>
  <c r="AF86" i="1"/>
  <c r="AD86" i="1"/>
  <c r="AC86" i="1"/>
  <c r="AB86" i="1"/>
  <c r="AA86" i="1"/>
  <c r="AG86" i="1" s="1"/>
  <c r="AI86" i="1" s="1"/>
  <c r="Z86" i="1"/>
  <c r="AH86" i="1" s="1"/>
  <c r="AJ86" i="1" s="1"/>
  <c r="Y86" i="1"/>
  <c r="X86" i="1"/>
  <c r="AE86" i="1" s="1"/>
  <c r="W86" i="1"/>
  <c r="V86" i="1"/>
  <c r="U86" i="1"/>
  <c r="T86" i="1"/>
  <c r="S86" i="1"/>
  <c r="AE85" i="1"/>
  <c r="AC85" i="1"/>
  <c r="AB85" i="1"/>
  <c r="Z85" i="1"/>
  <c r="Y85" i="1"/>
  <c r="AF85" i="1" s="1"/>
  <c r="X85" i="1"/>
  <c r="W85" i="1"/>
  <c r="AD85" i="1" s="1"/>
  <c r="V85" i="1"/>
  <c r="U85" i="1"/>
  <c r="T85" i="1"/>
  <c r="AA85" i="1" s="1"/>
  <c r="AG85" i="1" s="1"/>
  <c r="AI85" i="1" s="1"/>
  <c r="S85" i="1"/>
  <c r="AF84" i="1"/>
  <c r="AD84" i="1"/>
  <c r="AC84" i="1"/>
  <c r="AB84" i="1"/>
  <c r="AA84" i="1"/>
  <c r="AG84" i="1" s="1"/>
  <c r="AI84" i="1" s="1"/>
  <c r="Z84" i="1"/>
  <c r="AH84" i="1" s="1"/>
  <c r="AJ84" i="1" s="1"/>
  <c r="Y84" i="1"/>
  <c r="X84" i="1"/>
  <c r="AE84" i="1" s="1"/>
  <c r="W84" i="1"/>
  <c r="V84" i="1"/>
  <c r="U84" i="1"/>
  <c r="T84" i="1"/>
  <c r="S84" i="1"/>
  <c r="AE83" i="1"/>
  <c r="AC83" i="1"/>
  <c r="AB83" i="1"/>
  <c r="Z83" i="1"/>
  <c r="Y83" i="1"/>
  <c r="AF83" i="1" s="1"/>
  <c r="X83" i="1"/>
  <c r="W83" i="1"/>
  <c r="AD83" i="1" s="1"/>
  <c r="V83" i="1"/>
  <c r="U83" i="1"/>
  <c r="T83" i="1"/>
  <c r="AA83" i="1" s="1"/>
  <c r="AG83" i="1" s="1"/>
  <c r="AI83" i="1" s="1"/>
  <c r="S83" i="1"/>
  <c r="AF82" i="1"/>
  <c r="AD82" i="1"/>
  <c r="AC82" i="1"/>
  <c r="AB82" i="1"/>
  <c r="AA82" i="1"/>
  <c r="AG82" i="1" s="1"/>
  <c r="AI82" i="1" s="1"/>
  <c r="Z82" i="1"/>
  <c r="AH82" i="1" s="1"/>
  <c r="AJ82" i="1" s="1"/>
  <c r="Y82" i="1"/>
  <c r="X82" i="1"/>
  <c r="AE82" i="1" s="1"/>
  <c r="W82" i="1"/>
  <c r="V82" i="1"/>
  <c r="U82" i="1"/>
  <c r="T82" i="1"/>
  <c r="S82" i="1"/>
  <c r="AE81" i="1"/>
  <c r="AC81" i="1"/>
  <c r="AB81" i="1"/>
  <c r="Z81" i="1"/>
  <c r="Y81" i="1"/>
  <c r="AF81" i="1" s="1"/>
  <c r="X81" i="1"/>
  <c r="W81" i="1"/>
  <c r="AD81" i="1" s="1"/>
  <c r="V81" i="1"/>
  <c r="U81" i="1"/>
  <c r="T81" i="1"/>
  <c r="AA81" i="1" s="1"/>
  <c r="AG81" i="1" s="1"/>
  <c r="AI81" i="1" s="1"/>
  <c r="S81" i="1"/>
  <c r="AF80" i="1"/>
  <c r="AD80" i="1"/>
  <c r="AC80" i="1"/>
  <c r="AB80" i="1"/>
  <c r="AA80" i="1"/>
  <c r="AG80" i="1" s="1"/>
  <c r="AI80" i="1" s="1"/>
  <c r="Z80" i="1"/>
  <c r="AH80" i="1" s="1"/>
  <c r="AJ80" i="1" s="1"/>
  <c r="Y80" i="1"/>
  <c r="X80" i="1"/>
  <c r="AE80" i="1" s="1"/>
  <c r="W80" i="1"/>
  <c r="V80" i="1"/>
  <c r="U80" i="1"/>
  <c r="T80" i="1"/>
  <c r="S80" i="1"/>
  <c r="AE79" i="1"/>
  <c r="AC79" i="1"/>
  <c r="AB79" i="1"/>
  <c r="Z79" i="1"/>
  <c r="Y79" i="1"/>
  <c r="AF79" i="1" s="1"/>
  <c r="X79" i="1"/>
  <c r="W79" i="1"/>
  <c r="AD79" i="1" s="1"/>
  <c r="V79" i="1"/>
  <c r="U79" i="1"/>
  <c r="T79" i="1"/>
  <c r="AA79" i="1" s="1"/>
  <c r="AG79" i="1" s="1"/>
  <c r="AI79" i="1" s="1"/>
  <c r="S79" i="1"/>
  <c r="AF78" i="1"/>
  <c r="AD78" i="1"/>
  <c r="AC78" i="1"/>
  <c r="AB78" i="1"/>
  <c r="AA78" i="1"/>
  <c r="AG78" i="1" s="1"/>
  <c r="AI78" i="1" s="1"/>
  <c r="Z78" i="1"/>
  <c r="AH78" i="1" s="1"/>
  <c r="AJ78" i="1" s="1"/>
  <c r="Y78" i="1"/>
  <c r="X78" i="1"/>
  <c r="AE78" i="1" s="1"/>
  <c r="W78" i="1"/>
  <c r="V78" i="1"/>
  <c r="U78" i="1"/>
  <c r="T78" i="1"/>
  <c r="S78" i="1"/>
  <c r="AE77" i="1"/>
  <c r="AC77" i="1"/>
  <c r="AB77" i="1"/>
  <c r="AA77" i="1"/>
  <c r="Z77" i="1"/>
  <c r="Y77" i="1"/>
  <c r="AF77" i="1" s="1"/>
  <c r="X77" i="1"/>
  <c r="W77" i="1"/>
  <c r="AD77" i="1" s="1"/>
  <c r="V77" i="1"/>
  <c r="U77" i="1"/>
  <c r="T77" i="1"/>
  <c r="S77" i="1"/>
  <c r="AE76" i="1"/>
  <c r="AC76" i="1"/>
  <c r="AB76" i="1"/>
  <c r="Z76" i="1"/>
  <c r="Y76" i="1"/>
  <c r="AF76" i="1" s="1"/>
  <c r="X76" i="1"/>
  <c r="W76" i="1"/>
  <c r="AD76" i="1" s="1"/>
  <c r="V76" i="1"/>
  <c r="U76" i="1"/>
  <c r="T76" i="1"/>
  <c r="AA76" i="1" s="1"/>
  <c r="S76" i="1"/>
  <c r="AD75" i="1"/>
  <c r="AC75" i="1"/>
  <c r="AA75" i="1"/>
  <c r="AG75" i="1" s="1"/>
  <c r="AI75" i="1" s="1"/>
  <c r="Z75" i="1"/>
  <c r="AH75" i="1" s="1"/>
  <c r="AJ75" i="1" s="1"/>
  <c r="Y75" i="1"/>
  <c r="AF75" i="1" s="1"/>
  <c r="X75" i="1"/>
  <c r="AE75" i="1" s="1"/>
  <c r="W75" i="1"/>
  <c r="V75" i="1"/>
  <c r="U75" i="1"/>
  <c r="AB75" i="1" s="1"/>
  <c r="T75" i="1"/>
  <c r="S75" i="1"/>
  <c r="AF74" i="1"/>
  <c r="AE74" i="1"/>
  <c r="AC74" i="1"/>
  <c r="AB74" i="1"/>
  <c r="Z74" i="1"/>
  <c r="Y74" i="1"/>
  <c r="X74" i="1"/>
  <c r="W74" i="1"/>
  <c r="AD74" i="1" s="1"/>
  <c r="V74" i="1"/>
  <c r="U74" i="1"/>
  <c r="T74" i="1"/>
  <c r="AA74" i="1" s="1"/>
  <c r="S74" i="1"/>
  <c r="AD73" i="1"/>
  <c r="AC73" i="1"/>
  <c r="AB73" i="1"/>
  <c r="AA73" i="1"/>
  <c r="AG73" i="1" s="1"/>
  <c r="AI73" i="1" s="1"/>
  <c r="Z73" i="1"/>
  <c r="AH73" i="1" s="1"/>
  <c r="AJ73" i="1" s="1"/>
  <c r="Y73" i="1"/>
  <c r="AF73" i="1" s="1"/>
  <c r="X73" i="1"/>
  <c r="AE73" i="1" s="1"/>
  <c r="W73" i="1"/>
  <c r="V73" i="1"/>
  <c r="U73" i="1"/>
  <c r="T73" i="1"/>
  <c r="S73" i="1"/>
  <c r="AF72" i="1"/>
  <c r="AE72" i="1"/>
  <c r="AC72" i="1"/>
  <c r="AB72" i="1"/>
  <c r="Z72" i="1"/>
  <c r="Y72" i="1"/>
  <c r="X72" i="1"/>
  <c r="W72" i="1"/>
  <c r="AD72" i="1" s="1"/>
  <c r="V72" i="1"/>
  <c r="U72" i="1"/>
  <c r="T72" i="1"/>
  <c r="AA72" i="1" s="1"/>
  <c r="S72" i="1"/>
  <c r="AD71" i="1"/>
  <c r="AC71" i="1"/>
  <c r="AB71" i="1"/>
  <c r="AA71" i="1"/>
  <c r="AG71" i="1" s="1"/>
  <c r="AI71" i="1" s="1"/>
  <c r="Z71" i="1"/>
  <c r="AH71" i="1" s="1"/>
  <c r="AJ71" i="1" s="1"/>
  <c r="Y71" i="1"/>
  <c r="AF71" i="1" s="1"/>
  <c r="X71" i="1"/>
  <c r="AE71" i="1" s="1"/>
  <c r="W71" i="1"/>
  <c r="V71" i="1"/>
  <c r="U71" i="1"/>
  <c r="T71" i="1"/>
  <c r="S71" i="1"/>
  <c r="AF70" i="1"/>
  <c r="AE70" i="1"/>
  <c r="AC70" i="1"/>
  <c r="AB70" i="1"/>
  <c r="Z70" i="1"/>
  <c r="Y70" i="1"/>
  <c r="X70" i="1"/>
  <c r="W70" i="1"/>
  <c r="AD70" i="1" s="1"/>
  <c r="V70" i="1"/>
  <c r="U70" i="1"/>
  <c r="T70" i="1"/>
  <c r="AA70" i="1" s="1"/>
  <c r="S70" i="1"/>
  <c r="AE69" i="1"/>
  <c r="AD69" i="1"/>
  <c r="AC69" i="1"/>
  <c r="AB69" i="1"/>
  <c r="AA69" i="1"/>
  <c r="AG69" i="1" s="1"/>
  <c r="AI69" i="1" s="1"/>
  <c r="Z69" i="1"/>
  <c r="Y69" i="1"/>
  <c r="AF69" i="1" s="1"/>
  <c r="X69" i="1"/>
  <c r="W69" i="1"/>
  <c r="V69" i="1"/>
  <c r="U69" i="1"/>
  <c r="T69" i="1"/>
  <c r="S69" i="1"/>
  <c r="AF68" i="1"/>
  <c r="AE68" i="1"/>
  <c r="AC68" i="1"/>
  <c r="AB68" i="1"/>
  <c r="Z68" i="1"/>
  <c r="Y68" i="1"/>
  <c r="X68" i="1"/>
  <c r="W68" i="1"/>
  <c r="AD68" i="1" s="1"/>
  <c r="V68" i="1"/>
  <c r="U68" i="1"/>
  <c r="T68" i="1"/>
  <c r="AA68" i="1" s="1"/>
  <c r="S68" i="1"/>
  <c r="AD67" i="1"/>
  <c r="AC67" i="1"/>
  <c r="AB67" i="1"/>
  <c r="AA67" i="1"/>
  <c r="AG67" i="1" s="1"/>
  <c r="AI67" i="1" s="1"/>
  <c r="Z67" i="1"/>
  <c r="Y67" i="1"/>
  <c r="AF67" i="1" s="1"/>
  <c r="X67" i="1"/>
  <c r="AE67" i="1" s="1"/>
  <c r="W67" i="1"/>
  <c r="V67" i="1"/>
  <c r="U67" i="1"/>
  <c r="T67" i="1"/>
  <c r="S67" i="1"/>
  <c r="AF66" i="1"/>
  <c r="AE66" i="1"/>
  <c r="AC66" i="1"/>
  <c r="AB66" i="1"/>
  <c r="Z66" i="1"/>
  <c r="Y66" i="1"/>
  <c r="X66" i="1"/>
  <c r="W66" i="1"/>
  <c r="AD66" i="1" s="1"/>
  <c r="V66" i="1"/>
  <c r="U66" i="1"/>
  <c r="T66" i="1"/>
  <c r="AA66" i="1" s="1"/>
  <c r="S66" i="1"/>
  <c r="AE65" i="1"/>
  <c r="AD65" i="1"/>
  <c r="AC65" i="1"/>
  <c r="AB65" i="1"/>
  <c r="AA65" i="1"/>
  <c r="AG65" i="1" s="1"/>
  <c r="AI65" i="1" s="1"/>
  <c r="Z65" i="1"/>
  <c r="Y65" i="1"/>
  <c r="AF65" i="1" s="1"/>
  <c r="X65" i="1"/>
  <c r="W65" i="1"/>
  <c r="V65" i="1"/>
  <c r="U65" i="1"/>
  <c r="T65" i="1"/>
  <c r="S65" i="1"/>
  <c r="AF64" i="1"/>
  <c r="AE64" i="1"/>
  <c r="AC64" i="1"/>
  <c r="AB64" i="1"/>
  <c r="Z64" i="1"/>
  <c r="Y64" i="1"/>
  <c r="X64" i="1"/>
  <c r="W64" i="1"/>
  <c r="AD64" i="1" s="1"/>
  <c r="V64" i="1"/>
  <c r="U64" i="1"/>
  <c r="T64" i="1"/>
  <c r="AA64" i="1" s="1"/>
  <c r="S64" i="1"/>
  <c r="AE63" i="1"/>
  <c r="AD63" i="1"/>
  <c r="AC63" i="1"/>
  <c r="AB63" i="1"/>
  <c r="AA63" i="1"/>
  <c r="Z63" i="1"/>
  <c r="Y63" i="1"/>
  <c r="AF63" i="1" s="1"/>
  <c r="X63" i="1"/>
  <c r="W63" i="1"/>
  <c r="V63" i="1"/>
  <c r="U63" i="1"/>
  <c r="T63" i="1"/>
  <c r="S63" i="1"/>
  <c r="AF62" i="1"/>
  <c r="AE62" i="1"/>
  <c r="AC62" i="1"/>
  <c r="Z62" i="1"/>
  <c r="Y62" i="1"/>
  <c r="X62" i="1"/>
  <c r="W62" i="1"/>
  <c r="AD62" i="1" s="1"/>
  <c r="V62" i="1"/>
  <c r="U62" i="1"/>
  <c r="AB62" i="1" s="1"/>
  <c r="T62" i="1"/>
  <c r="AA62" i="1" s="1"/>
  <c r="S62" i="1"/>
  <c r="AF61" i="1"/>
  <c r="AC61" i="1"/>
  <c r="AB61" i="1"/>
  <c r="Z61" i="1"/>
  <c r="Y61" i="1"/>
  <c r="X61" i="1"/>
  <c r="AE61" i="1" s="1"/>
  <c r="W61" i="1"/>
  <c r="AD61" i="1" s="1"/>
  <c r="V61" i="1"/>
  <c r="U61" i="1"/>
  <c r="T61" i="1"/>
  <c r="AA61" i="1" s="1"/>
  <c r="S61" i="1"/>
  <c r="AF60" i="1"/>
  <c r="AE60" i="1"/>
  <c r="AC60" i="1"/>
  <c r="AB60" i="1"/>
  <c r="Z60" i="1"/>
  <c r="Y60" i="1"/>
  <c r="X60" i="1"/>
  <c r="W60" i="1"/>
  <c r="AD60" i="1" s="1"/>
  <c r="V60" i="1"/>
  <c r="U60" i="1"/>
  <c r="T60" i="1"/>
  <c r="AA60" i="1" s="1"/>
  <c r="S60" i="1"/>
  <c r="AF59" i="1"/>
  <c r="AE59" i="1"/>
  <c r="AC59" i="1"/>
  <c r="AB59" i="1"/>
  <c r="Z59" i="1"/>
  <c r="Y59" i="1"/>
  <c r="X59" i="1"/>
  <c r="W59" i="1"/>
  <c r="AD59" i="1" s="1"/>
  <c r="V59" i="1"/>
  <c r="U59" i="1"/>
  <c r="T59" i="1"/>
  <c r="AA59" i="1" s="1"/>
  <c r="S59" i="1"/>
  <c r="AF58" i="1"/>
  <c r="AE58" i="1"/>
  <c r="AC58" i="1"/>
  <c r="AB58" i="1"/>
  <c r="Z58" i="1"/>
  <c r="Y58" i="1"/>
  <c r="X58" i="1"/>
  <c r="W58" i="1"/>
  <c r="AD58" i="1" s="1"/>
  <c r="V58" i="1"/>
  <c r="U58" i="1"/>
  <c r="T58" i="1"/>
  <c r="AA58" i="1" s="1"/>
  <c r="S58" i="1"/>
  <c r="AF57" i="1"/>
  <c r="AE57" i="1"/>
  <c r="AC57" i="1"/>
  <c r="AB57" i="1"/>
  <c r="Z57" i="1"/>
  <c r="Y57" i="1"/>
  <c r="X57" i="1"/>
  <c r="W57" i="1"/>
  <c r="AD57" i="1" s="1"/>
  <c r="V57" i="1"/>
  <c r="U57" i="1"/>
  <c r="T57" i="1"/>
  <c r="AA57" i="1" s="1"/>
  <c r="S57" i="1"/>
  <c r="AF56" i="1"/>
  <c r="AE56" i="1"/>
  <c r="AC56" i="1"/>
  <c r="AB56" i="1"/>
  <c r="Y56" i="1"/>
  <c r="X56" i="1"/>
  <c r="W56" i="1"/>
  <c r="AD56" i="1" s="1"/>
  <c r="V56" i="1"/>
  <c r="U56" i="1"/>
  <c r="T56" i="1"/>
  <c r="AA56" i="1" s="1"/>
  <c r="S56" i="1"/>
  <c r="Z56" i="1" s="1"/>
  <c r="AF55" i="1"/>
  <c r="AE55" i="1"/>
  <c r="AC55" i="1"/>
  <c r="AB55" i="1"/>
  <c r="Z55" i="1"/>
  <c r="Y55" i="1"/>
  <c r="X55" i="1"/>
  <c r="W55" i="1"/>
  <c r="AD55" i="1" s="1"/>
  <c r="V55" i="1"/>
  <c r="U55" i="1"/>
  <c r="T55" i="1"/>
  <c r="AA55" i="1" s="1"/>
  <c r="S55" i="1"/>
  <c r="AF54" i="1"/>
  <c r="AE54" i="1"/>
  <c r="AD54" i="1"/>
  <c r="AC54" i="1"/>
  <c r="AB54" i="1"/>
  <c r="Z54" i="1"/>
  <c r="Y54" i="1"/>
  <c r="X54" i="1"/>
  <c r="W54" i="1"/>
  <c r="V54" i="1"/>
  <c r="U54" i="1"/>
  <c r="T54" i="1"/>
  <c r="AA54" i="1" s="1"/>
  <c r="S54" i="1"/>
  <c r="AF53" i="1"/>
  <c r="AE53" i="1"/>
  <c r="AC53" i="1"/>
  <c r="AB53" i="1"/>
  <c r="Z53" i="1"/>
  <c r="Y53" i="1"/>
  <c r="X53" i="1"/>
  <c r="W53" i="1"/>
  <c r="AD53" i="1" s="1"/>
  <c r="V53" i="1"/>
  <c r="U53" i="1"/>
  <c r="T53" i="1"/>
  <c r="AA53" i="1" s="1"/>
  <c r="S53" i="1"/>
  <c r="AF52" i="1"/>
  <c r="AE52" i="1"/>
  <c r="AC52" i="1"/>
  <c r="AB52" i="1"/>
  <c r="Z52" i="1"/>
  <c r="Y52" i="1"/>
  <c r="X52" i="1"/>
  <c r="W52" i="1"/>
  <c r="AD52" i="1" s="1"/>
  <c r="V52" i="1"/>
  <c r="U52" i="1"/>
  <c r="T52" i="1"/>
  <c r="AA52" i="1" s="1"/>
  <c r="S52" i="1"/>
  <c r="AF51" i="1"/>
  <c r="AE51" i="1"/>
  <c r="AC51" i="1"/>
  <c r="AB51" i="1"/>
  <c r="Z51" i="1"/>
  <c r="Y51" i="1"/>
  <c r="X51" i="1"/>
  <c r="W51" i="1"/>
  <c r="AD51" i="1" s="1"/>
  <c r="V51" i="1"/>
  <c r="U51" i="1"/>
  <c r="T51" i="1"/>
  <c r="AA51" i="1" s="1"/>
  <c r="S51" i="1"/>
  <c r="AF50" i="1"/>
  <c r="AE50" i="1"/>
  <c r="AC50" i="1"/>
  <c r="AB50" i="1"/>
  <c r="Y50" i="1"/>
  <c r="X50" i="1"/>
  <c r="W50" i="1"/>
  <c r="AD50" i="1" s="1"/>
  <c r="V50" i="1"/>
  <c r="U50" i="1"/>
  <c r="T50" i="1"/>
  <c r="AA50" i="1" s="1"/>
  <c r="S50" i="1"/>
  <c r="Z50" i="1" s="1"/>
  <c r="AF49" i="1"/>
  <c r="AE49" i="1"/>
  <c r="AC49" i="1"/>
  <c r="AB49" i="1"/>
  <c r="Z49" i="1"/>
  <c r="Y49" i="1"/>
  <c r="X49" i="1"/>
  <c r="W49" i="1"/>
  <c r="AD49" i="1" s="1"/>
  <c r="V49" i="1"/>
  <c r="U49" i="1"/>
  <c r="T49" i="1"/>
  <c r="AA49" i="1" s="1"/>
  <c r="S49" i="1"/>
  <c r="AF48" i="1"/>
  <c r="AE48" i="1"/>
  <c r="AC48" i="1"/>
  <c r="AB48" i="1"/>
  <c r="Z48" i="1"/>
  <c r="Y48" i="1"/>
  <c r="X48" i="1"/>
  <c r="W48" i="1"/>
  <c r="AD48" i="1" s="1"/>
  <c r="V48" i="1"/>
  <c r="U48" i="1"/>
  <c r="T48" i="1"/>
  <c r="AA48" i="1" s="1"/>
  <c r="S48" i="1"/>
  <c r="AF47" i="1"/>
  <c r="AE47" i="1"/>
  <c r="Y47" i="1"/>
  <c r="X47" i="1"/>
  <c r="W47" i="1"/>
  <c r="AD47" i="1" s="1"/>
  <c r="V47" i="1"/>
  <c r="AC47" i="1" s="1"/>
  <c r="U47" i="1"/>
  <c r="AB47" i="1" s="1"/>
  <c r="T47" i="1"/>
  <c r="AA47" i="1" s="1"/>
  <c r="S47" i="1"/>
  <c r="Z47" i="1" s="1"/>
  <c r="AF46" i="1"/>
  <c r="AC46" i="1"/>
  <c r="AB46" i="1"/>
  <c r="Z46" i="1"/>
  <c r="X46" i="1"/>
  <c r="AE46" i="1" s="1"/>
  <c r="W46" i="1"/>
  <c r="AD46" i="1" s="1"/>
  <c r="V46" i="1"/>
  <c r="U46" i="1"/>
  <c r="T46" i="1"/>
  <c r="AA46" i="1" s="1"/>
  <c r="S46" i="1"/>
  <c r="AF45" i="1"/>
  <c r="AC45" i="1"/>
  <c r="AB45" i="1"/>
  <c r="Z45" i="1"/>
  <c r="X45" i="1"/>
  <c r="AE45" i="1" s="1"/>
  <c r="W45" i="1"/>
  <c r="AD45" i="1" s="1"/>
  <c r="V45" i="1"/>
  <c r="U45" i="1"/>
  <c r="T45" i="1"/>
  <c r="AA45" i="1" s="1"/>
  <c r="S45" i="1"/>
  <c r="AF44" i="1"/>
  <c r="AC44" i="1"/>
  <c r="AB44" i="1"/>
  <c r="Z44" i="1"/>
  <c r="X44" i="1"/>
  <c r="AE44" i="1" s="1"/>
  <c r="W44" i="1"/>
  <c r="AD44" i="1" s="1"/>
  <c r="V44" i="1"/>
  <c r="U44" i="1"/>
  <c r="T44" i="1"/>
  <c r="AA44" i="1" s="1"/>
  <c r="S44" i="1"/>
  <c r="AF43" i="1"/>
  <c r="AC43" i="1"/>
  <c r="AB43" i="1"/>
  <c r="Z43" i="1"/>
  <c r="X43" i="1"/>
  <c r="AE43" i="1" s="1"/>
  <c r="W43" i="1"/>
  <c r="AD43" i="1" s="1"/>
  <c r="V43" i="1"/>
  <c r="U43" i="1"/>
  <c r="T43" i="1"/>
  <c r="AA43" i="1" s="1"/>
  <c r="S43" i="1"/>
  <c r="AF42" i="1"/>
  <c r="AC42" i="1"/>
  <c r="AB42" i="1"/>
  <c r="Z42" i="1"/>
  <c r="X42" i="1"/>
  <c r="AE42" i="1" s="1"/>
  <c r="W42" i="1"/>
  <c r="AD42" i="1" s="1"/>
  <c r="V42" i="1"/>
  <c r="U42" i="1"/>
  <c r="T42" i="1"/>
  <c r="AA42" i="1" s="1"/>
  <c r="S42" i="1"/>
  <c r="AF41" i="1"/>
  <c r="AC41" i="1"/>
  <c r="AB41" i="1"/>
  <c r="Z41" i="1"/>
  <c r="X41" i="1"/>
  <c r="AE41" i="1" s="1"/>
  <c r="W41" i="1"/>
  <c r="AD41" i="1" s="1"/>
  <c r="V41" i="1"/>
  <c r="U41" i="1"/>
  <c r="T41" i="1"/>
  <c r="AA41" i="1" s="1"/>
  <c r="S41" i="1"/>
  <c r="AF40" i="1"/>
  <c r="AC40" i="1"/>
  <c r="AB40" i="1"/>
  <c r="Z40" i="1"/>
  <c r="X40" i="1"/>
  <c r="AE40" i="1" s="1"/>
  <c r="W40" i="1"/>
  <c r="AD40" i="1" s="1"/>
  <c r="V40" i="1"/>
  <c r="U40" i="1"/>
  <c r="T40" i="1"/>
  <c r="AA40" i="1" s="1"/>
  <c r="S40" i="1"/>
  <c r="AF39" i="1"/>
  <c r="AC39" i="1"/>
  <c r="AB39" i="1"/>
  <c r="Z39" i="1"/>
  <c r="X39" i="1"/>
  <c r="AE39" i="1" s="1"/>
  <c r="W39" i="1"/>
  <c r="AD39" i="1" s="1"/>
  <c r="V39" i="1"/>
  <c r="U39" i="1"/>
  <c r="T39" i="1"/>
  <c r="AA39" i="1" s="1"/>
  <c r="S39" i="1"/>
  <c r="AF38" i="1"/>
  <c r="AC38" i="1"/>
  <c r="AB38" i="1"/>
  <c r="Z38" i="1"/>
  <c r="X38" i="1"/>
  <c r="AE38" i="1" s="1"/>
  <c r="W38" i="1"/>
  <c r="AD38" i="1" s="1"/>
  <c r="V38" i="1"/>
  <c r="U38" i="1"/>
  <c r="T38" i="1"/>
  <c r="AA38" i="1" s="1"/>
  <c r="S38" i="1"/>
  <c r="AF37" i="1"/>
  <c r="AC37" i="1"/>
  <c r="AB37" i="1"/>
  <c r="Z37" i="1"/>
  <c r="X37" i="1"/>
  <c r="AE37" i="1" s="1"/>
  <c r="W37" i="1"/>
  <c r="AD37" i="1" s="1"/>
  <c r="V37" i="1"/>
  <c r="U37" i="1"/>
  <c r="T37" i="1"/>
  <c r="AA37" i="1" s="1"/>
  <c r="S37" i="1"/>
  <c r="AF36" i="1"/>
  <c r="AC36" i="1"/>
  <c r="AB36" i="1"/>
  <c r="Z36" i="1"/>
  <c r="X36" i="1"/>
  <c r="AE36" i="1" s="1"/>
  <c r="W36" i="1"/>
  <c r="AD36" i="1" s="1"/>
  <c r="V36" i="1"/>
  <c r="U36" i="1"/>
  <c r="T36" i="1"/>
  <c r="AA36" i="1" s="1"/>
  <c r="S36" i="1"/>
  <c r="AF35" i="1"/>
  <c r="AC35" i="1"/>
  <c r="AB35" i="1"/>
  <c r="Z35" i="1"/>
  <c r="X35" i="1"/>
  <c r="AE35" i="1" s="1"/>
  <c r="W35" i="1"/>
  <c r="AD35" i="1" s="1"/>
  <c r="V35" i="1"/>
  <c r="U35" i="1"/>
  <c r="T35" i="1"/>
  <c r="AA35" i="1" s="1"/>
  <c r="S35" i="1"/>
  <c r="AF34" i="1"/>
  <c r="AC34" i="1"/>
  <c r="AB34" i="1"/>
  <c r="Z34" i="1"/>
  <c r="X34" i="1"/>
  <c r="AE34" i="1" s="1"/>
  <c r="W34" i="1"/>
  <c r="AD34" i="1" s="1"/>
  <c r="V34" i="1"/>
  <c r="U34" i="1"/>
  <c r="T34" i="1"/>
  <c r="AA34" i="1" s="1"/>
  <c r="S34" i="1"/>
  <c r="AF33" i="1"/>
  <c r="AC33" i="1"/>
  <c r="AB33" i="1"/>
  <c r="Z33" i="1"/>
  <c r="X33" i="1"/>
  <c r="AE33" i="1" s="1"/>
  <c r="W33" i="1"/>
  <c r="AD33" i="1" s="1"/>
  <c r="V33" i="1"/>
  <c r="U33" i="1"/>
  <c r="T33" i="1"/>
  <c r="AA33" i="1" s="1"/>
  <c r="S33" i="1"/>
  <c r="AF32" i="1"/>
  <c r="AA32" i="1"/>
  <c r="Z32" i="1"/>
  <c r="X32" i="1"/>
  <c r="AE32" i="1" s="1"/>
  <c r="W32" i="1"/>
  <c r="AD32" i="1" s="1"/>
  <c r="V32" i="1"/>
  <c r="AC32" i="1" s="1"/>
  <c r="U32" i="1"/>
  <c r="AB32" i="1" s="1"/>
  <c r="T32" i="1"/>
  <c r="S32" i="1"/>
  <c r="AF31" i="1"/>
  <c r="AC31" i="1"/>
  <c r="AB31" i="1"/>
  <c r="Z31" i="1"/>
  <c r="X31" i="1"/>
  <c r="AE31" i="1" s="1"/>
  <c r="W31" i="1"/>
  <c r="AD31" i="1" s="1"/>
  <c r="V31" i="1"/>
  <c r="U31" i="1"/>
  <c r="T31" i="1"/>
  <c r="AA31" i="1" s="1"/>
  <c r="S31" i="1"/>
  <c r="AF30" i="1"/>
  <c r="AC30" i="1"/>
  <c r="AB30" i="1"/>
  <c r="Z30" i="1"/>
  <c r="X30" i="1"/>
  <c r="AE30" i="1" s="1"/>
  <c r="W30" i="1"/>
  <c r="AD30" i="1" s="1"/>
  <c r="V30" i="1"/>
  <c r="U30" i="1"/>
  <c r="T30" i="1"/>
  <c r="AA30" i="1" s="1"/>
  <c r="S30" i="1"/>
  <c r="AF29" i="1"/>
  <c r="AC29" i="1"/>
  <c r="AB29" i="1"/>
  <c r="Z29" i="1"/>
  <c r="X29" i="1"/>
  <c r="AE29" i="1" s="1"/>
  <c r="W29" i="1"/>
  <c r="AD29" i="1" s="1"/>
  <c r="V29" i="1"/>
  <c r="U29" i="1"/>
  <c r="T29" i="1"/>
  <c r="AA29" i="1" s="1"/>
  <c r="S29" i="1"/>
  <c r="AF28" i="1"/>
  <c r="AC28" i="1"/>
  <c r="AB28" i="1"/>
  <c r="Z28" i="1"/>
  <c r="X28" i="1"/>
  <c r="AE28" i="1" s="1"/>
  <c r="W28" i="1"/>
  <c r="AD28" i="1" s="1"/>
  <c r="V28" i="1"/>
  <c r="U28" i="1"/>
  <c r="T28" i="1"/>
  <c r="AA28" i="1" s="1"/>
  <c r="S28" i="1"/>
  <c r="AF27" i="1"/>
  <c r="AC27" i="1"/>
  <c r="AB27" i="1"/>
  <c r="Z27" i="1"/>
  <c r="X27" i="1"/>
  <c r="AE27" i="1" s="1"/>
  <c r="W27" i="1"/>
  <c r="AD27" i="1" s="1"/>
  <c r="V27" i="1"/>
  <c r="U27" i="1"/>
  <c r="T27" i="1"/>
  <c r="AA27" i="1" s="1"/>
  <c r="S27" i="1"/>
  <c r="AF26" i="1"/>
  <c r="AC26" i="1"/>
  <c r="AB26" i="1"/>
  <c r="Z26" i="1"/>
  <c r="X26" i="1"/>
  <c r="AE26" i="1" s="1"/>
  <c r="W26" i="1"/>
  <c r="AD26" i="1" s="1"/>
  <c r="V26" i="1"/>
  <c r="U26" i="1"/>
  <c r="T26" i="1"/>
  <c r="AA26" i="1" s="1"/>
  <c r="S26" i="1"/>
  <c r="AF25" i="1"/>
  <c r="AC25" i="1"/>
  <c r="AB25" i="1"/>
  <c r="Z25" i="1"/>
  <c r="X25" i="1"/>
  <c r="AE25" i="1" s="1"/>
  <c r="W25" i="1"/>
  <c r="AD25" i="1" s="1"/>
  <c r="V25" i="1"/>
  <c r="U25" i="1"/>
  <c r="T25" i="1"/>
  <c r="AA25" i="1" s="1"/>
  <c r="S25" i="1"/>
  <c r="AF24" i="1"/>
  <c r="AC24" i="1"/>
  <c r="AB24" i="1"/>
  <c r="Z24" i="1"/>
  <c r="X24" i="1"/>
  <c r="AE24" i="1" s="1"/>
  <c r="W24" i="1"/>
  <c r="AD24" i="1" s="1"/>
  <c r="V24" i="1"/>
  <c r="U24" i="1"/>
  <c r="T24" i="1"/>
  <c r="AA24" i="1" s="1"/>
  <c r="S24" i="1"/>
  <c r="AF23" i="1"/>
  <c r="AC23" i="1"/>
  <c r="AB23" i="1"/>
  <c r="Z23" i="1"/>
  <c r="X23" i="1"/>
  <c r="AE23" i="1" s="1"/>
  <c r="W23" i="1"/>
  <c r="AD23" i="1" s="1"/>
  <c r="V23" i="1"/>
  <c r="U23" i="1"/>
  <c r="T23" i="1"/>
  <c r="AA23" i="1" s="1"/>
  <c r="S23" i="1"/>
  <c r="AF22" i="1"/>
  <c r="AC22" i="1"/>
  <c r="AB22" i="1"/>
  <c r="Z22" i="1"/>
  <c r="X22" i="1"/>
  <c r="AE22" i="1" s="1"/>
  <c r="W22" i="1"/>
  <c r="AD22" i="1" s="1"/>
  <c r="V22" i="1"/>
  <c r="U22" i="1"/>
  <c r="T22" i="1"/>
  <c r="AA22" i="1" s="1"/>
  <c r="S22" i="1"/>
  <c r="AF21" i="1"/>
  <c r="AC21" i="1"/>
  <c r="AB21" i="1"/>
  <c r="Z21" i="1"/>
  <c r="X21" i="1"/>
  <c r="AE21" i="1" s="1"/>
  <c r="W21" i="1"/>
  <c r="AD21" i="1" s="1"/>
  <c r="V21" i="1"/>
  <c r="U21" i="1"/>
  <c r="T21" i="1"/>
  <c r="AA21" i="1" s="1"/>
  <c r="S21" i="1"/>
  <c r="AF20" i="1"/>
  <c r="AC20" i="1"/>
  <c r="AB20" i="1"/>
  <c r="Z20" i="1"/>
  <c r="X20" i="1"/>
  <c r="AE20" i="1" s="1"/>
  <c r="W20" i="1"/>
  <c r="AD20" i="1" s="1"/>
  <c r="V20" i="1"/>
  <c r="U20" i="1"/>
  <c r="T20" i="1"/>
  <c r="AA20" i="1" s="1"/>
  <c r="S20" i="1"/>
  <c r="AF19" i="1"/>
  <c r="AC19" i="1"/>
  <c r="AB19" i="1"/>
  <c r="Z19" i="1"/>
  <c r="X19" i="1"/>
  <c r="AE19" i="1" s="1"/>
  <c r="W19" i="1"/>
  <c r="AD19" i="1" s="1"/>
  <c r="V19" i="1"/>
  <c r="U19" i="1"/>
  <c r="T19" i="1"/>
  <c r="AA19" i="1" s="1"/>
  <c r="S19" i="1"/>
  <c r="AF18" i="1"/>
  <c r="AC18" i="1"/>
  <c r="AB18" i="1"/>
  <c r="Z18" i="1"/>
  <c r="X18" i="1"/>
  <c r="AE18" i="1" s="1"/>
  <c r="W18" i="1"/>
  <c r="AD18" i="1" s="1"/>
  <c r="V18" i="1"/>
  <c r="U18" i="1"/>
  <c r="T18" i="1"/>
  <c r="AA18" i="1" s="1"/>
  <c r="S18" i="1"/>
  <c r="AF17" i="1"/>
  <c r="AE17" i="1"/>
  <c r="AA17" i="1"/>
  <c r="Z17" i="1"/>
  <c r="X17" i="1"/>
  <c r="W17" i="1"/>
  <c r="AD17" i="1" s="1"/>
  <c r="V17" i="1"/>
  <c r="AC17" i="1" s="1"/>
  <c r="U17" i="1"/>
  <c r="AB17" i="1" s="1"/>
  <c r="T17" i="1"/>
  <c r="S17" i="1"/>
  <c r="AF16" i="1"/>
  <c r="AC16" i="1"/>
  <c r="AB16" i="1"/>
  <c r="Z16" i="1"/>
  <c r="X16" i="1"/>
  <c r="AE16" i="1" s="1"/>
  <c r="W16" i="1"/>
  <c r="AD16" i="1" s="1"/>
  <c r="V16" i="1"/>
  <c r="U16" i="1"/>
  <c r="T16" i="1"/>
  <c r="AA16" i="1" s="1"/>
  <c r="S16" i="1"/>
  <c r="AF15" i="1"/>
  <c r="AC15" i="1"/>
  <c r="Z15" i="1"/>
  <c r="X15" i="1"/>
  <c r="AE15" i="1" s="1"/>
  <c r="W15" i="1"/>
  <c r="AD15" i="1" s="1"/>
  <c r="V15" i="1"/>
  <c r="U15" i="1"/>
  <c r="AB15" i="1" s="1"/>
  <c r="T15" i="1"/>
  <c r="AA15" i="1" s="1"/>
  <c r="S15" i="1"/>
  <c r="AF14" i="1"/>
  <c r="AC14" i="1"/>
  <c r="AB14" i="1"/>
  <c r="Z14" i="1"/>
  <c r="X14" i="1"/>
  <c r="AE14" i="1" s="1"/>
  <c r="W14" i="1"/>
  <c r="AD14" i="1" s="1"/>
  <c r="V14" i="1"/>
  <c r="U14" i="1"/>
  <c r="T14" i="1"/>
  <c r="AA14" i="1" s="1"/>
  <c r="S14" i="1"/>
  <c r="AF13" i="1"/>
  <c r="AC13" i="1"/>
  <c r="AB13" i="1"/>
  <c r="Z13" i="1"/>
  <c r="X13" i="1"/>
  <c r="AE13" i="1" s="1"/>
  <c r="W13" i="1"/>
  <c r="AD13" i="1" s="1"/>
  <c r="V13" i="1"/>
  <c r="U13" i="1"/>
  <c r="T13" i="1"/>
  <c r="AA13" i="1" s="1"/>
  <c r="S13" i="1"/>
  <c r="AF12" i="1"/>
  <c r="AC12" i="1"/>
  <c r="AB12" i="1"/>
  <c r="Z12" i="1"/>
  <c r="X12" i="1"/>
  <c r="AE12" i="1" s="1"/>
  <c r="W12" i="1"/>
  <c r="AD12" i="1" s="1"/>
  <c r="V12" i="1"/>
  <c r="U12" i="1"/>
  <c r="T12" i="1"/>
  <c r="AA12" i="1" s="1"/>
  <c r="S12" i="1"/>
  <c r="AF11" i="1"/>
  <c r="AC11" i="1"/>
  <c r="AB11" i="1"/>
  <c r="Z11" i="1"/>
  <c r="X11" i="1"/>
  <c r="AE11" i="1" s="1"/>
  <c r="W11" i="1"/>
  <c r="AD11" i="1" s="1"/>
  <c r="V11" i="1"/>
  <c r="U11" i="1"/>
  <c r="T11" i="1"/>
  <c r="AA11" i="1" s="1"/>
  <c r="S11" i="1"/>
  <c r="AF10" i="1"/>
  <c r="AC10" i="1"/>
  <c r="AB10" i="1"/>
  <c r="Z10" i="1"/>
  <c r="X10" i="1"/>
  <c r="AE10" i="1" s="1"/>
  <c r="W10" i="1"/>
  <c r="AD10" i="1" s="1"/>
  <c r="V10" i="1"/>
  <c r="U10" i="1"/>
  <c r="T10" i="1"/>
  <c r="AA10" i="1" s="1"/>
  <c r="S10" i="1"/>
  <c r="AF9" i="1"/>
  <c r="AC9" i="1"/>
  <c r="AB9" i="1"/>
  <c r="Z9" i="1"/>
  <c r="X9" i="1"/>
  <c r="AE9" i="1" s="1"/>
  <c r="W9" i="1"/>
  <c r="AD9" i="1" s="1"/>
  <c r="V9" i="1"/>
  <c r="U9" i="1"/>
  <c r="T9" i="1"/>
  <c r="AA9" i="1" s="1"/>
  <c r="S9" i="1"/>
  <c r="AF8" i="1"/>
  <c r="AC8" i="1"/>
  <c r="AB8" i="1"/>
  <c r="Z8" i="1"/>
  <c r="X8" i="1"/>
  <c r="AE8" i="1" s="1"/>
  <c r="W8" i="1"/>
  <c r="AD8" i="1" s="1"/>
  <c r="V8" i="1"/>
  <c r="U8" i="1"/>
  <c r="T8" i="1"/>
  <c r="AA8" i="1" s="1"/>
  <c r="S8" i="1"/>
  <c r="AF7" i="1"/>
  <c r="AC7" i="1"/>
  <c r="AB7" i="1"/>
  <c r="Z7" i="1"/>
  <c r="X7" i="1"/>
  <c r="AE7" i="1" s="1"/>
  <c r="W7" i="1"/>
  <c r="AD7" i="1" s="1"/>
  <c r="V7" i="1"/>
  <c r="U7" i="1"/>
  <c r="T7" i="1"/>
  <c r="AA7" i="1" s="1"/>
  <c r="S7" i="1"/>
  <c r="AF6" i="1"/>
  <c r="AC6" i="1"/>
  <c r="AB6" i="1"/>
  <c r="Z6" i="1"/>
  <c r="X6" i="1"/>
  <c r="AE6" i="1" s="1"/>
  <c r="W6" i="1"/>
  <c r="AD6" i="1" s="1"/>
  <c r="V6" i="1"/>
  <c r="U6" i="1"/>
  <c r="T6" i="1"/>
  <c r="AA6" i="1" s="1"/>
  <c r="S6" i="1"/>
  <c r="AF5" i="1"/>
  <c r="AC5" i="1"/>
  <c r="AB5" i="1"/>
  <c r="Z5" i="1"/>
  <c r="X5" i="1"/>
  <c r="AE5" i="1" s="1"/>
  <c r="W5" i="1"/>
  <c r="AD5" i="1" s="1"/>
  <c r="V5" i="1"/>
  <c r="U5" i="1"/>
  <c r="T5" i="1"/>
  <c r="AA5" i="1" s="1"/>
  <c r="S5" i="1"/>
  <c r="AF4" i="1"/>
  <c r="AC4" i="1"/>
  <c r="AB4" i="1"/>
  <c r="Z4" i="1"/>
  <c r="X4" i="1"/>
  <c r="AE4" i="1" s="1"/>
  <c r="W4" i="1"/>
  <c r="AD4" i="1" s="1"/>
  <c r="V4" i="1"/>
  <c r="U4" i="1"/>
  <c r="T4" i="1"/>
  <c r="AA4" i="1" s="1"/>
  <c r="S4" i="1"/>
  <c r="AF3" i="1"/>
  <c r="AC3" i="1"/>
  <c r="AB3" i="1"/>
  <c r="Z3" i="1"/>
  <c r="X3" i="1"/>
  <c r="AE3" i="1" s="1"/>
  <c r="W3" i="1"/>
  <c r="AD3" i="1" s="1"/>
  <c r="V3" i="1"/>
  <c r="U3" i="1"/>
  <c r="T3" i="1"/>
  <c r="AA3" i="1" s="1"/>
  <c r="S3" i="1"/>
  <c r="AF2" i="1"/>
  <c r="AC2" i="1"/>
  <c r="AB2" i="1"/>
  <c r="AA2" i="1"/>
  <c r="Z2" i="1"/>
  <c r="X2" i="1"/>
  <c r="AE2" i="1" s="1"/>
  <c r="W2" i="1"/>
  <c r="AD2" i="1" s="1"/>
  <c r="V2" i="1"/>
  <c r="U2" i="1"/>
  <c r="T2" i="1"/>
  <c r="S2" i="1"/>
  <c r="AH214" i="1" l="1"/>
  <c r="AJ214" i="1" s="1"/>
  <c r="AK204" i="1"/>
  <c r="AL204" i="1" s="1"/>
  <c r="AG208" i="1"/>
  <c r="AI208" i="1" s="1"/>
  <c r="AH210" i="1"/>
  <c r="AJ210" i="1" s="1"/>
  <c r="AG202" i="1"/>
  <c r="AI202" i="1" s="1"/>
  <c r="AG210" i="1"/>
  <c r="AI210" i="1" s="1"/>
  <c r="AH221" i="1"/>
  <c r="AJ221" i="1" s="1"/>
  <c r="AG223" i="1"/>
  <c r="AI223" i="1" s="1"/>
  <c r="AG207" i="1"/>
  <c r="AI207" i="1" s="1"/>
  <c r="AH211" i="1"/>
  <c r="AJ211" i="1" s="1"/>
  <c r="AH215" i="1"/>
  <c r="AJ215" i="1" s="1"/>
  <c r="AK215" i="1" s="1"/>
  <c r="AL215" i="1" s="1"/>
  <c r="AG211" i="1"/>
  <c r="AI211" i="1" s="1"/>
  <c r="AG219" i="1"/>
  <c r="AI219" i="1" s="1"/>
  <c r="AH222" i="1"/>
  <c r="AJ222" i="1" s="1"/>
  <c r="AG198" i="1"/>
  <c r="AI198" i="1" s="1"/>
  <c r="AG214" i="1"/>
  <c r="AI214" i="1" s="1"/>
  <c r="AG218" i="1"/>
  <c r="AI218" i="1" s="1"/>
  <c r="AG222" i="1"/>
  <c r="AI222" i="1" s="1"/>
  <c r="AG226" i="1"/>
  <c r="AI226" i="1" s="1"/>
  <c r="AG197" i="1"/>
  <c r="AI197" i="1" s="1"/>
  <c r="AG201" i="1"/>
  <c r="AI201" i="1" s="1"/>
  <c r="AG206" i="1"/>
  <c r="AI206" i="1" s="1"/>
  <c r="AH199" i="1"/>
  <c r="AJ199" i="1" s="1"/>
  <c r="AK199" i="1" s="1"/>
  <c r="AL199" i="1" s="1"/>
  <c r="AG213" i="1"/>
  <c r="AI213" i="1" s="1"/>
  <c r="AG217" i="1"/>
  <c r="AI217" i="1" s="1"/>
  <c r="AG221" i="1"/>
  <c r="AI221" i="1" s="1"/>
  <c r="AG225" i="1"/>
  <c r="AI225" i="1" s="1"/>
  <c r="AH208" i="1"/>
  <c r="AJ208" i="1" s="1"/>
  <c r="AG200" i="1"/>
  <c r="AI200" i="1" s="1"/>
  <c r="AG203" i="1"/>
  <c r="AI203" i="1" s="1"/>
  <c r="AG205" i="1"/>
  <c r="AI205" i="1" s="1"/>
  <c r="AG209" i="1"/>
  <c r="AI209" i="1" s="1"/>
  <c r="AG212" i="1"/>
  <c r="AI212" i="1" s="1"/>
  <c r="AG216" i="1"/>
  <c r="AI216" i="1" s="1"/>
  <c r="AG220" i="1"/>
  <c r="AI220" i="1" s="1"/>
  <c r="AG224" i="1"/>
  <c r="AI224" i="1" s="1"/>
  <c r="AH172" i="1"/>
  <c r="AJ172" i="1" s="1"/>
  <c r="AH180" i="1"/>
  <c r="AJ180" i="1" s="1"/>
  <c r="AG188" i="1"/>
  <c r="AI188" i="1" s="1"/>
  <c r="AG190" i="1"/>
  <c r="AI190" i="1" s="1"/>
  <c r="AK194" i="1"/>
  <c r="AL194" i="1" s="1"/>
  <c r="AH191" i="1"/>
  <c r="AJ191" i="1" s="1"/>
  <c r="AH188" i="1"/>
  <c r="AJ188" i="1" s="1"/>
  <c r="AK183" i="1"/>
  <c r="AL183" i="1" s="1"/>
  <c r="AG167" i="1"/>
  <c r="AI167" i="1" s="1"/>
  <c r="AH171" i="1"/>
  <c r="AJ171" i="1" s="1"/>
  <c r="AH179" i="1"/>
  <c r="AJ179" i="1" s="1"/>
  <c r="AK187" i="1"/>
  <c r="AL187" i="1" s="1"/>
  <c r="AG191" i="1"/>
  <c r="AI191" i="1" s="1"/>
  <c r="AK191" i="1" s="1"/>
  <c r="AL191" i="1" s="1"/>
  <c r="AH184" i="1"/>
  <c r="AJ184" i="1" s="1"/>
  <c r="AG189" i="1"/>
  <c r="AI189" i="1" s="1"/>
  <c r="AH167" i="1"/>
  <c r="AJ167" i="1" s="1"/>
  <c r="AH181" i="1"/>
  <c r="AJ181" i="1" s="1"/>
  <c r="AK181" i="1" s="1"/>
  <c r="AL181" i="1" s="1"/>
  <c r="AK182" i="1"/>
  <c r="AL182" i="1" s="1"/>
  <c r="AH186" i="1"/>
  <c r="AJ186" i="1" s="1"/>
  <c r="AK186" i="1" s="1"/>
  <c r="AL186" i="1" s="1"/>
  <c r="AH192" i="1"/>
  <c r="AJ192" i="1" s="1"/>
  <c r="AK192" i="1" s="1"/>
  <c r="AL192" i="1" s="1"/>
  <c r="AG168" i="1"/>
  <c r="AI168" i="1" s="1"/>
  <c r="AG170" i="1"/>
  <c r="AI170" i="1" s="1"/>
  <c r="AG172" i="1"/>
  <c r="AI172" i="1" s="1"/>
  <c r="AG174" i="1"/>
  <c r="AI174" i="1" s="1"/>
  <c r="AG176" i="1"/>
  <c r="AI176" i="1" s="1"/>
  <c r="AG178" i="1"/>
  <c r="AI178" i="1" s="1"/>
  <c r="AG180" i="1"/>
  <c r="AI180" i="1" s="1"/>
  <c r="AG184" i="1"/>
  <c r="AI184" i="1" s="1"/>
  <c r="AG196" i="1"/>
  <c r="AI196" i="1" s="1"/>
  <c r="AG169" i="1"/>
  <c r="AI169" i="1" s="1"/>
  <c r="AG171" i="1"/>
  <c r="AI171" i="1" s="1"/>
  <c r="AG173" i="1"/>
  <c r="AI173" i="1" s="1"/>
  <c r="AG175" i="1"/>
  <c r="AI175" i="1" s="1"/>
  <c r="AG177" i="1"/>
  <c r="AI177" i="1" s="1"/>
  <c r="AG179" i="1"/>
  <c r="AI179" i="1" s="1"/>
  <c r="AG185" i="1"/>
  <c r="AI185" i="1" s="1"/>
  <c r="AG193" i="1"/>
  <c r="AI193" i="1" s="1"/>
  <c r="AG195" i="1"/>
  <c r="AI195" i="1" s="1"/>
  <c r="AG139" i="1"/>
  <c r="AI139" i="1" s="1"/>
  <c r="AG149" i="1"/>
  <c r="AI149" i="1" s="1"/>
  <c r="AG153" i="1"/>
  <c r="AI153" i="1" s="1"/>
  <c r="AG157" i="1"/>
  <c r="AI157" i="1" s="1"/>
  <c r="AH143" i="1"/>
  <c r="AJ143" i="1" s="1"/>
  <c r="AG143" i="1"/>
  <c r="AI143" i="1" s="1"/>
  <c r="AH150" i="1"/>
  <c r="AJ150" i="1" s="1"/>
  <c r="AG150" i="1"/>
  <c r="AI150" i="1" s="1"/>
  <c r="AH158" i="1"/>
  <c r="AJ158" i="1" s="1"/>
  <c r="AG158" i="1"/>
  <c r="AI158" i="1" s="1"/>
  <c r="AH163" i="1"/>
  <c r="AJ163" i="1" s="1"/>
  <c r="AG163" i="1"/>
  <c r="AI163" i="1" s="1"/>
  <c r="AH137" i="1"/>
  <c r="AJ137" i="1" s="1"/>
  <c r="AG137" i="1"/>
  <c r="AI137" i="1" s="1"/>
  <c r="AH154" i="1"/>
  <c r="AJ154" i="1" s="1"/>
  <c r="AG154" i="1"/>
  <c r="AI154" i="1" s="1"/>
  <c r="AG147" i="1"/>
  <c r="AI147" i="1" s="1"/>
  <c r="AG151" i="1"/>
  <c r="AI151" i="1" s="1"/>
  <c r="AG155" i="1"/>
  <c r="AI155" i="1" s="1"/>
  <c r="AG159" i="1"/>
  <c r="AI159" i="1" s="1"/>
  <c r="AG164" i="1"/>
  <c r="AI164" i="1" s="1"/>
  <c r="AG141" i="1"/>
  <c r="AI141" i="1" s="1"/>
  <c r="AG165" i="1"/>
  <c r="AI165" i="1" s="1"/>
  <c r="AG148" i="1"/>
  <c r="AI148" i="1" s="1"/>
  <c r="AG152" i="1"/>
  <c r="AI152" i="1" s="1"/>
  <c r="AG156" i="1"/>
  <c r="AI156" i="1" s="1"/>
  <c r="AG160" i="1"/>
  <c r="AI160" i="1" s="1"/>
  <c r="AG162" i="1"/>
  <c r="AI162" i="1" s="1"/>
  <c r="AH145" i="1"/>
  <c r="AJ145" i="1" s="1"/>
  <c r="AG145" i="1"/>
  <c r="AI145" i="1" s="1"/>
  <c r="AH161" i="1"/>
  <c r="AJ161" i="1" s="1"/>
  <c r="AG161" i="1"/>
  <c r="AI161" i="1" s="1"/>
  <c r="AH166" i="1"/>
  <c r="AJ166" i="1" s="1"/>
  <c r="AG166" i="1"/>
  <c r="AI166" i="1" s="1"/>
  <c r="AG138" i="1"/>
  <c r="AI138" i="1" s="1"/>
  <c r="AG140" i="1"/>
  <c r="AI140" i="1" s="1"/>
  <c r="AG142" i="1"/>
  <c r="AI142" i="1" s="1"/>
  <c r="AG144" i="1"/>
  <c r="AI144" i="1" s="1"/>
  <c r="AG146" i="1"/>
  <c r="AI146" i="1" s="1"/>
  <c r="AH109" i="1"/>
  <c r="AJ109" i="1" s="1"/>
  <c r="AH110" i="1"/>
  <c r="AJ110" i="1" s="1"/>
  <c r="AH122" i="1"/>
  <c r="AJ122" i="1" s="1"/>
  <c r="AH132" i="1"/>
  <c r="AJ132" i="1" s="1"/>
  <c r="AK132" i="1" s="1"/>
  <c r="AL132" i="1" s="1"/>
  <c r="AH130" i="1"/>
  <c r="AJ130" i="1" s="1"/>
  <c r="AK130" i="1" s="1"/>
  <c r="AL130" i="1" s="1"/>
  <c r="AG134" i="1"/>
  <c r="AI134" i="1" s="1"/>
  <c r="AG108" i="1"/>
  <c r="AI108" i="1" s="1"/>
  <c r="AG110" i="1"/>
  <c r="AI110" i="1" s="1"/>
  <c r="AG112" i="1"/>
  <c r="AI112" i="1" s="1"/>
  <c r="AG114" i="1"/>
  <c r="AI114" i="1" s="1"/>
  <c r="AG116" i="1"/>
  <c r="AI116" i="1" s="1"/>
  <c r="AG118" i="1"/>
  <c r="AI118" i="1" s="1"/>
  <c r="AG120" i="1"/>
  <c r="AI120" i="1" s="1"/>
  <c r="AG122" i="1"/>
  <c r="AI122" i="1" s="1"/>
  <c r="AG124" i="1"/>
  <c r="AI124" i="1" s="1"/>
  <c r="AG126" i="1"/>
  <c r="AI126" i="1" s="1"/>
  <c r="AG128" i="1"/>
  <c r="AI128" i="1" s="1"/>
  <c r="AG136" i="1"/>
  <c r="AI136" i="1" s="1"/>
  <c r="AG107" i="1"/>
  <c r="AI107" i="1" s="1"/>
  <c r="AG109" i="1"/>
  <c r="AI109" i="1" s="1"/>
  <c r="AG111" i="1"/>
  <c r="AI111" i="1" s="1"/>
  <c r="AG113" i="1"/>
  <c r="AI113" i="1" s="1"/>
  <c r="AG115" i="1"/>
  <c r="AI115" i="1" s="1"/>
  <c r="AG117" i="1"/>
  <c r="AI117" i="1" s="1"/>
  <c r="AG119" i="1"/>
  <c r="AI119" i="1" s="1"/>
  <c r="AG121" i="1"/>
  <c r="AI121" i="1" s="1"/>
  <c r="AG123" i="1"/>
  <c r="AI123" i="1" s="1"/>
  <c r="AG125" i="1"/>
  <c r="AI125" i="1" s="1"/>
  <c r="AG127" i="1"/>
  <c r="AI127" i="1" s="1"/>
  <c r="AG129" i="1"/>
  <c r="AI129" i="1" s="1"/>
  <c r="AG131" i="1"/>
  <c r="AI131" i="1" s="1"/>
  <c r="AG133" i="1"/>
  <c r="AI133" i="1" s="1"/>
  <c r="AG135" i="1"/>
  <c r="AI135" i="1" s="1"/>
  <c r="AG92" i="1"/>
  <c r="AI92" i="1" s="1"/>
  <c r="AK78" i="1"/>
  <c r="AL78" i="1" s="1"/>
  <c r="AK80" i="1"/>
  <c r="AL80" i="1" s="1"/>
  <c r="AK82" i="1"/>
  <c r="AL82" i="1" s="1"/>
  <c r="AK84" i="1"/>
  <c r="AL84" i="1" s="1"/>
  <c r="AK86" i="1"/>
  <c r="AL86" i="1" s="1"/>
  <c r="AK88" i="1"/>
  <c r="AL88" i="1" s="1"/>
  <c r="AG90" i="1"/>
  <c r="AI90" i="1" s="1"/>
  <c r="AH97" i="1"/>
  <c r="AJ97" i="1" s="1"/>
  <c r="AH92" i="1"/>
  <c r="AJ92" i="1" s="1"/>
  <c r="AH91" i="1"/>
  <c r="AJ91" i="1" s="1"/>
  <c r="AK83" i="1"/>
  <c r="AL83" i="1" s="1"/>
  <c r="AH79" i="1"/>
  <c r="AJ79" i="1" s="1"/>
  <c r="AK79" i="1" s="1"/>
  <c r="AL79" i="1" s="1"/>
  <c r="AH81" i="1"/>
  <c r="AJ81" i="1" s="1"/>
  <c r="AH83" i="1"/>
  <c r="AJ83" i="1" s="1"/>
  <c r="AH85" i="1"/>
  <c r="AJ85" i="1" s="1"/>
  <c r="AK85" i="1" s="1"/>
  <c r="AL85" i="1" s="1"/>
  <c r="AH87" i="1"/>
  <c r="AJ87" i="1" s="1"/>
  <c r="AK87" i="1" s="1"/>
  <c r="AL87" i="1" s="1"/>
  <c r="AH89" i="1"/>
  <c r="AJ89" i="1" s="1"/>
  <c r="AK89" i="1" s="1"/>
  <c r="AL89" i="1" s="1"/>
  <c r="AK81" i="1"/>
  <c r="AL81" i="1" s="1"/>
  <c r="AG77" i="1"/>
  <c r="AI77" i="1" s="1"/>
  <c r="AG94" i="1"/>
  <c r="AI94" i="1" s="1"/>
  <c r="AG96" i="1"/>
  <c r="AI96" i="1" s="1"/>
  <c r="AG98" i="1"/>
  <c r="AI98" i="1" s="1"/>
  <c r="AG100" i="1"/>
  <c r="AI100" i="1" s="1"/>
  <c r="AG102" i="1"/>
  <c r="AI102" i="1" s="1"/>
  <c r="AG104" i="1"/>
  <c r="AI104" i="1" s="1"/>
  <c r="AG106" i="1"/>
  <c r="AI106" i="1" s="1"/>
  <c r="AG91" i="1"/>
  <c r="AI91" i="1" s="1"/>
  <c r="AG93" i="1"/>
  <c r="AI93" i="1" s="1"/>
  <c r="AG95" i="1"/>
  <c r="AI95" i="1" s="1"/>
  <c r="AG97" i="1"/>
  <c r="AI97" i="1" s="1"/>
  <c r="AG99" i="1"/>
  <c r="AI99" i="1" s="1"/>
  <c r="AG101" i="1"/>
  <c r="AI101" i="1" s="1"/>
  <c r="AG103" i="1"/>
  <c r="AI103" i="1" s="1"/>
  <c r="AG105" i="1"/>
  <c r="AI105" i="1" s="1"/>
  <c r="AH67" i="1"/>
  <c r="AJ67" i="1" s="1"/>
  <c r="AK67" i="1" s="1"/>
  <c r="AL67" i="1" s="1"/>
  <c r="AH69" i="1"/>
  <c r="AJ69" i="1" s="1"/>
  <c r="AK69" i="1" s="1"/>
  <c r="AL69" i="1" s="1"/>
  <c r="AK71" i="1"/>
  <c r="AL71" i="1" s="1"/>
  <c r="AK75" i="1"/>
  <c r="AL75" i="1" s="1"/>
  <c r="AH62" i="1"/>
  <c r="AJ62" i="1" s="1"/>
  <c r="AK73" i="1"/>
  <c r="AL73" i="1" s="1"/>
  <c r="AH70" i="1"/>
  <c r="AJ70" i="1" s="1"/>
  <c r="AH72" i="1"/>
  <c r="AJ72" i="1" s="1"/>
  <c r="AH74" i="1"/>
  <c r="AJ74" i="1" s="1"/>
  <c r="AH63" i="1"/>
  <c r="AJ63" i="1" s="1"/>
  <c r="AG63" i="1"/>
  <c r="AI63" i="1" s="1"/>
  <c r="AH65" i="1"/>
  <c r="AJ65" i="1" s="1"/>
  <c r="AK65" i="1" s="1"/>
  <c r="AL65" i="1" s="1"/>
  <c r="AG62" i="1"/>
  <c r="AI62" i="1" s="1"/>
  <c r="AG64" i="1"/>
  <c r="AI64" i="1" s="1"/>
  <c r="AG66" i="1"/>
  <c r="AI66" i="1" s="1"/>
  <c r="AG68" i="1"/>
  <c r="AI68" i="1" s="1"/>
  <c r="AG70" i="1"/>
  <c r="AI70" i="1" s="1"/>
  <c r="AG72" i="1"/>
  <c r="AI72" i="1" s="1"/>
  <c r="AG74" i="1"/>
  <c r="AI74" i="1" s="1"/>
  <c r="AG76" i="1"/>
  <c r="AI76" i="1" s="1"/>
  <c r="AG6" i="1"/>
  <c r="AI6" i="1" s="1"/>
  <c r="AG56" i="1"/>
  <c r="AI56" i="1" s="1"/>
  <c r="AG27" i="1"/>
  <c r="AI27" i="1" s="1"/>
  <c r="AG38" i="1"/>
  <c r="AI38" i="1" s="1"/>
  <c r="AG50" i="1"/>
  <c r="AI50" i="1" s="1"/>
  <c r="AG3" i="1"/>
  <c r="AI3" i="1" s="1"/>
  <c r="AG14" i="1"/>
  <c r="AI14" i="1" s="1"/>
  <c r="AG41" i="1"/>
  <c r="AI41" i="1" s="1"/>
  <c r="AG52" i="1"/>
  <c r="AI52" i="1" s="1"/>
  <c r="AG15" i="1"/>
  <c r="AI15" i="1" s="1"/>
  <c r="AG30" i="1"/>
  <c r="AI30" i="1" s="1"/>
  <c r="AG48" i="1"/>
  <c r="AI48" i="1" s="1"/>
  <c r="AG61" i="1"/>
  <c r="AI61" i="1" s="1"/>
  <c r="AG54" i="1"/>
  <c r="AI54" i="1" s="1"/>
  <c r="AG58" i="1"/>
  <c r="AI58" i="1" s="1"/>
  <c r="AG60" i="1"/>
  <c r="AI60" i="1" s="1"/>
  <c r="AH15" i="1"/>
  <c r="AJ15" i="1" s="1"/>
  <c r="AG47" i="1"/>
  <c r="AI47" i="1" s="1"/>
  <c r="AG49" i="1"/>
  <c r="AI49" i="1" s="1"/>
  <c r="AG51" i="1"/>
  <c r="AI51" i="1" s="1"/>
  <c r="AG53" i="1"/>
  <c r="AI53" i="1" s="1"/>
  <c r="AG55" i="1"/>
  <c r="AI55" i="1" s="1"/>
  <c r="AG57" i="1"/>
  <c r="AI57" i="1" s="1"/>
  <c r="AG59" i="1"/>
  <c r="AI59" i="1" s="1"/>
  <c r="AH50" i="1"/>
  <c r="AJ50" i="1" s="1"/>
  <c r="AK50" i="1" s="1"/>
  <c r="AL50" i="1" s="1"/>
  <c r="AH56" i="1"/>
  <c r="AJ56" i="1" s="1"/>
  <c r="AK56" i="1" s="1"/>
  <c r="AL56" i="1" s="1"/>
  <c r="AH52" i="1"/>
  <c r="AJ52" i="1" s="1"/>
  <c r="AK52" i="1" s="1"/>
  <c r="AL52" i="1" s="1"/>
  <c r="AG45" i="1"/>
  <c r="AI45" i="1" s="1"/>
  <c r="AG37" i="1"/>
  <c r="AI37" i="1" s="1"/>
  <c r="AG5" i="1"/>
  <c r="AI5" i="1" s="1"/>
  <c r="AG8" i="1"/>
  <c r="AI8" i="1" s="1"/>
  <c r="AG19" i="1"/>
  <c r="AI19" i="1" s="1"/>
  <c r="AG22" i="1"/>
  <c r="AI22" i="1" s="1"/>
  <c r="AG29" i="1"/>
  <c r="AI29" i="1" s="1"/>
  <c r="AG32" i="1"/>
  <c r="AI32" i="1" s="1"/>
  <c r="AH38" i="1"/>
  <c r="AJ38" i="1" s="1"/>
  <c r="AK38" i="1" s="1"/>
  <c r="AL38" i="1" s="1"/>
  <c r="AK15" i="1"/>
  <c r="AL15" i="1" s="1"/>
  <c r="AH3" i="1"/>
  <c r="AJ3" i="1" s="1"/>
  <c r="AK3" i="1" s="1"/>
  <c r="AL3" i="1" s="1"/>
  <c r="AH41" i="1"/>
  <c r="AJ41" i="1" s="1"/>
  <c r="AK41" i="1" s="1"/>
  <c r="AL41" i="1" s="1"/>
  <c r="AG43" i="1"/>
  <c r="AI43" i="1" s="1"/>
  <c r="AG13" i="1"/>
  <c r="AI13" i="1" s="1"/>
  <c r="AH6" i="1"/>
  <c r="AJ6" i="1" s="1"/>
  <c r="AK6" i="1" s="1"/>
  <c r="AL6" i="1" s="1"/>
  <c r="AG11" i="1"/>
  <c r="AI11" i="1" s="1"/>
  <c r="AG21" i="1"/>
  <c r="AI21" i="1" s="1"/>
  <c r="AG24" i="1"/>
  <c r="AI24" i="1" s="1"/>
  <c r="AH27" i="1"/>
  <c r="AJ27" i="1" s="1"/>
  <c r="AK27" i="1" s="1"/>
  <c r="AL27" i="1" s="1"/>
  <c r="AG35" i="1"/>
  <c r="AI35" i="1" s="1"/>
  <c r="AG46" i="1"/>
  <c r="AI46" i="1" s="1"/>
  <c r="AH24" i="1"/>
  <c r="AJ24" i="1" s="1"/>
  <c r="AG16" i="1"/>
  <c r="AI16" i="1" s="1"/>
  <c r="AH21" i="1"/>
  <c r="AJ21" i="1" s="1"/>
  <c r="AH37" i="1"/>
  <c r="AJ37" i="1" s="1"/>
  <c r="AG40" i="1"/>
  <c r="AI40" i="1" s="1"/>
  <c r="AG9" i="1"/>
  <c r="AI9" i="1" s="1"/>
  <c r="AG17" i="1"/>
  <c r="AI17" i="1" s="1"/>
  <c r="AG25" i="1"/>
  <c r="AI25" i="1" s="1"/>
  <c r="AG33" i="1"/>
  <c r="AI33" i="1" s="1"/>
  <c r="AG4" i="1"/>
  <c r="AI4" i="1" s="1"/>
  <c r="AG12" i="1"/>
  <c r="AI12" i="1" s="1"/>
  <c r="AG20" i="1"/>
  <c r="AI20" i="1" s="1"/>
  <c r="AG28" i="1"/>
  <c r="AI28" i="1" s="1"/>
  <c r="AG36" i="1"/>
  <c r="AI36" i="1" s="1"/>
  <c r="AG44" i="1"/>
  <c r="AI44" i="1" s="1"/>
  <c r="AG7" i="1"/>
  <c r="AI7" i="1" s="1"/>
  <c r="AG23" i="1"/>
  <c r="AI23" i="1" s="1"/>
  <c r="AG31" i="1"/>
  <c r="AI31" i="1" s="1"/>
  <c r="AG39" i="1"/>
  <c r="AI39" i="1" s="1"/>
  <c r="AG2" i="1"/>
  <c r="AI2" i="1" s="1"/>
  <c r="AG10" i="1"/>
  <c r="AI10" i="1" s="1"/>
  <c r="AG18" i="1"/>
  <c r="AI18" i="1" s="1"/>
  <c r="AG26" i="1"/>
  <c r="AI26" i="1" s="1"/>
  <c r="AG34" i="1"/>
  <c r="AI34" i="1" s="1"/>
  <c r="AG42" i="1"/>
  <c r="AI42" i="1" s="1"/>
  <c r="AK214" i="1" l="1"/>
  <c r="AL214" i="1" s="1"/>
  <c r="AH213" i="1"/>
  <c r="AJ213" i="1" s="1"/>
  <c r="AK213" i="1" s="1"/>
  <c r="AL213" i="1" s="1"/>
  <c r="AH212" i="1"/>
  <c r="AJ212" i="1" s="1"/>
  <c r="AK212" i="1" s="1"/>
  <c r="AL212" i="1" s="1"/>
  <c r="AK198" i="1"/>
  <c r="AL198" i="1" s="1"/>
  <c r="AH207" i="1"/>
  <c r="AJ207" i="1" s="1"/>
  <c r="AH225" i="1"/>
  <c r="AJ225" i="1" s="1"/>
  <c r="AH202" i="1"/>
  <c r="AJ202" i="1" s="1"/>
  <c r="AK202" i="1" s="1"/>
  <c r="AL202" i="1" s="1"/>
  <c r="AH209" i="1"/>
  <c r="AJ209" i="1" s="1"/>
  <c r="AK209" i="1" s="1"/>
  <c r="AL209" i="1" s="1"/>
  <c r="AH205" i="1"/>
  <c r="AJ205" i="1" s="1"/>
  <c r="AK205" i="1" s="1"/>
  <c r="AL205" i="1" s="1"/>
  <c r="AK208" i="1"/>
  <c r="AL208" i="1" s="1"/>
  <c r="AH198" i="1"/>
  <c r="AJ198" i="1" s="1"/>
  <c r="AK207" i="1"/>
  <c r="AL207" i="1" s="1"/>
  <c r="AH201" i="1"/>
  <c r="AJ201" i="1" s="1"/>
  <c r="AH218" i="1"/>
  <c r="AJ218" i="1" s="1"/>
  <c r="AK223" i="1"/>
  <c r="AL223" i="1" s="1"/>
  <c r="AH217" i="1"/>
  <c r="AJ217" i="1" s="1"/>
  <c r="AK217" i="1" s="1"/>
  <c r="AL217" i="1" s="1"/>
  <c r="AH203" i="1"/>
  <c r="AJ203" i="1" s="1"/>
  <c r="AK203" i="1" s="1"/>
  <c r="AL203" i="1" s="1"/>
  <c r="AH197" i="1"/>
  <c r="AJ197" i="1" s="1"/>
  <c r="AK197" i="1" s="1"/>
  <c r="AL197" i="1" s="1"/>
  <c r="AH200" i="1"/>
  <c r="AJ200" i="1" s="1"/>
  <c r="AK200" i="1" s="1"/>
  <c r="AL200" i="1" s="1"/>
  <c r="AK218" i="1"/>
  <c r="AL218" i="1" s="1"/>
  <c r="AK225" i="1"/>
  <c r="AL225" i="1" s="1"/>
  <c r="AK211" i="1"/>
  <c r="AL211" i="1" s="1"/>
  <c r="AH219" i="1"/>
  <c r="AJ219" i="1" s="1"/>
  <c r="AK219" i="1" s="1"/>
  <c r="AL219" i="1" s="1"/>
  <c r="AH223" i="1"/>
  <c r="AJ223" i="1" s="1"/>
  <c r="AH220" i="1"/>
  <c r="AJ220" i="1" s="1"/>
  <c r="AK220" i="1" s="1"/>
  <c r="AL220" i="1" s="1"/>
  <c r="AK201" i="1"/>
  <c r="AL201" i="1" s="1"/>
  <c r="AK221" i="1"/>
  <c r="AL221" i="1" s="1"/>
  <c r="AK222" i="1"/>
  <c r="AL222" i="1" s="1"/>
  <c r="AH224" i="1"/>
  <c r="AJ224" i="1" s="1"/>
  <c r="AK224" i="1" s="1"/>
  <c r="AL224" i="1" s="1"/>
  <c r="AH226" i="1"/>
  <c r="AJ226" i="1" s="1"/>
  <c r="AK226" i="1" s="1"/>
  <c r="AL226" i="1" s="1"/>
  <c r="AK210" i="1"/>
  <c r="AL210" i="1" s="1"/>
  <c r="AH216" i="1"/>
  <c r="AJ216" i="1" s="1"/>
  <c r="AK216" i="1" s="1"/>
  <c r="AL216" i="1" s="1"/>
  <c r="AH206" i="1"/>
  <c r="AJ206" i="1" s="1"/>
  <c r="AK206" i="1" s="1"/>
  <c r="AL206" i="1" s="1"/>
  <c r="AH169" i="1"/>
  <c r="AJ169" i="1" s="1"/>
  <c r="AK169" i="1" s="1"/>
  <c r="AL169" i="1" s="1"/>
  <c r="AK184" i="1"/>
  <c r="AL184" i="1" s="1"/>
  <c r="AH176" i="1"/>
  <c r="AJ176" i="1" s="1"/>
  <c r="AK176" i="1" s="1"/>
  <c r="AL176" i="1" s="1"/>
  <c r="AK167" i="1"/>
  <c r="AL167" i="1" s="1"/>
  <c r="AH170" i="1"/>
  <c r="AJ170" i="1" s="1"/>
  <c r="AK180" i="1"/>
  <c r="AL180" i="1" s="1"/>
  <c r="AH177" i="1"/>
  <c r="AJ177" i="1" s="1"/>
  <c r="AK177" i="1" s="1"/>
  <c r="AL177" i="1" s="1"/>
  <c r="AK195" i="1"/>
  <c r="AL195" i="1" s="1"/>
  <c r="AK179" i="1"/>
  <c r="AL179" i="1" s="1"/>
  <c r="AH168" i="1"/>
  <c r="AJ168" i="1" s="1"/>
  <c r="AK168" i="1" s="1"/>
  <c r="AL168" i="1" s="1"/>
  <c r="AH196" i="1"/>
  <c r="AJ196" i="1" s="1"/>
  <c r="AK196" i="1" s="1"/>
  <c r="AL196" i="1" s="1"/>
  <c r="AH195" i="1"/>
  <c r="AJ195" i="1" s="1"/>
  <c r="AH189" i="1"/>
  <c r="AJ189" i="1" s="1"/>
  <c r="AK189" i="1" s="1"/>
  <c r="AL189" i="1" s="1"/>
  <c r="AK190" i="1"/>
  <c r="AL190" i="1" s="1"/>
  <c r="AH175" i="1"/>
  <c r="AJ175" i="1" s="1"/>
  <c r="AK175" i="1" s="1"/>
  <c r="AL175" i="1" s="1"/>
  <c r="AH174" i="1"/>
  <c r="AJ174" i="1" s="1"/>
  <c r="AK188" i="1"/>
  <c r="AL188" i="1" s="1"/>
  <c r="AH190" i="1"/>
  <c r="AJ190" i="1" s="1"/>
  <c r="AK170" i="1"/>
  <c r="AL170" i="1" s="1"/>
  <c r="AK174" i="1"/>
  <c r="AL174" i="1" s="1"/>
  <c r="AH173" i="1"/>
  <c r="AJ173" i="1" s="1"/>
  <c r="AK173" i="1" s="1"/>
  <c r="AL173" i="1" s="1"/>
  <c r="AK171" i="1"/>
  <c r="AL171" i="1" s="1"/>
  <c r="AK172" i="1"/>
  <c r="AL172" i="1" s="1"/>
  <c r="AH193" i="1"/>
  <c r="AJ193" i="1" s="1"/>
  <c r="AK193" i="1" s="1"/>
  <c r="AL193" i="1" s="1"/>
  <c r="AH185" i="1"/>
  <c r="AJ185" i="1" s="1"/>
  <c r="AK185" i="1" s="1"/>
  <c r="AL185" i="1" s="1"/>
  <c r="AH178" i="1"/>
  <c r="AJ178" i="1" s="1"/>
  <c r="AK178" i="1" s="1"/>
  <c r="AL178" i="1" s="1"/>
  <c r="AK166" i="1"/>
  <c r="AL166" i="1" s="1"/>
  <c r="AH162" i="1"/>
  <c r="AJ162" i="1" s="1"/>
  <c r="AH148" i="1"/>
  <c r="AJ148" i="1" s="1"/>
  <c r="AH164" i="1"/>
  <c r="AJ164" i="1" s="1"/>
  <c r="AH147" i="1"/>
  <c r="AJ147" i="1" s="1"/>
  <c r="AK147" i="1" s="1"/>
  <c r="AL147" i="1" s="1"/>
  <c r="AK158" i="1"/>
  <c r="AL158" i="1" s="1"/>
  <c r="AH157" i="1"/>
  <c r="AJ157" i="1" s="1"/>
  <c r="AK157" i="1" s="1"/>
  <c r="AL157" i="1" s="1"/>
  <c r="AH144" i="1"/>
  <c r="AJ144" i="1" s="1"/>
  <c r="AK161" i="1"/>
  <c r="AL161" i="1" s="1"/>
  <c r="AH160" i="1"/>
  <c r="AJ160" i="1" s="1"/>
  <c r="AK160" i="1" s="1"/>
  <c r="AL160" i="1" s="1"/>
  <c r="AH165" i="1"/>
  <c r="AJ165" i="1" s="1"/>
  <c r="AK165" i="1" s="1"/>
  <c r="AL165" i="1" s="1"/>
  <c r="AH159" i="1"/>
  <c r="AJ159" i="1" s="1"/>
  <c r="AK159" i="1" s="1"/>
  <c r="AL159" i="1" s="1"/>
  <c r="AK154" i="1"/>
  <c r="AL154" i="1" s="1"/>
  <c r="AK150" i="1"/>
  <c r="AL150" i="1" s="1"/>
  <c r="AH153" i="1"/>
  <c r="AJ153" i="1" s="1"/>
  <c r="AK153" i="1" s="1"/>
  <c r="AL153" i="1" s="1"/>
  <c r="AK162" i="1"/>
  <c r="AL162" i="1" s="1"/>
  <c r="AK149" i="1"/>
  <c r="AL149" i="1" s="1"/>
  <c r="AK148" i="1"/>
  <c r="AL148" i="1" s="1"/>
  <c r="AK144" i="1"/>
  <c r="AL144" i="1" s="1"/>
  <c r="AK145" i="1"/>
  <c r="AL145" i="1" s="1"/>
  <c r="AH156" i="1"/>
  <c r="AJ156" i="1" s="1"/>
  <c r="AK156" i="1" s="1"/>
  <c r="AL156" i="1" s="1"/>
  <c r="AH141" i="1"/>
  <c r="AJ141" i="1" s="1"/>
  <c r="AK141" i="1" s="1"/>
  <c r="AL141" i="1" s="1"/>
  <c r="AH155" i="1"/>
  <c r="AJ155" i="1" s="1"/>
  <c r="AK155" i="1" s="1"/>
  <c r="AL155" i="1" s="1"/>
  <c r="AK137" i="1"/>
  <c r="AL137" i="1" s="1"/>
  <c r="AK143" i="1"/>
  <c r="AL143" i="1" s="1"/>
  <c r="AH149" i="1"/>
  <c r="AJ149" i="1" s="1"/>
  <c r="AK138" i="1"/>
  <c r="AL138" i="1" s="1"/>
  <c r="AK152" i="1"/>
  <c r="AL152" i="1" s="1"/>
  <c r="AH138" i="1"/>
  <c r="AJ138" i="1" s="1"/>
  <c r="AK164" i="1"/>
  <c r="AL164" i="1" s="1"/>
  <c r="AH142" i="1"/>
  <c r="AJ142" i="1" s="1"/>
  <c r="AK142" i="1" s="1"/>
  <c r="AL142" i="1" s="1"/>
  <c r="AH152" i="1"/>
  <c r="AJ152" i="1" s="1"/>
  <c r="AH146" i="1"/>
  <c r="AJ146" i="1" s="1"/>
  <c r="AK146" i="1" s="1"/>
  <c r="AL146" i="1" s="1"/>
  <c r="AH151" i="1"/>
  <c r="AJ151" i="1" s="1"/>
  <c r="AK151" i="1" s="1"/>
  <c r="AL151" i="1" s="1"/>
  <c r="AK163" i="1"/>
  <c r="AL163" i="1" s="1"/>
  <c r="AH140" i="1"/>
  <c r="AJ140" i="1" s="1"/>
  <c r="AK140" i="1" s="1"/>
  <c r="AL140" i="1" s="1"/>
  <c r="AH139" i="1"/>
  <c r="AJ139" i="1" s="1"/>
  <c r="AK139" i="1" s="1"/>
  <c r="AL139" i="1" s="1"/>
  <c r="AK109" i="1"/>
  <c r="AL109" i="1" s="1"/>
  <c r="AH115" i="1"/>
  <c r="AJ115" i="1" s="1"/>
  <c r="AH120" i="1"/>
  <c r="AJ120" i="1" s="1"/>
  <c r="AH129" i="1"/>
  <c r="AJ129" i="1" s="1"/>
  <c r="AH107" i="1"/>
  <c r="AJ107" i="1" s="1"/>
  <c r="AK107" i="1"/>
  <c r="AL107" i="1" s="1"/>
  <c r="AH125" i="1"/>
  <c r="AJ125" i="1" s="1"/>
  <c r="AK125" i="1" s="1"/>
  <c r="AL125" i="1" s="1"/>
  <c r="AH116" i="1"/>
  <c r="AJ116" i="1" s="1"/>
  <c r="AK116" i="1" s="1"/>
  <c r="AL116" i="1" s="1"/>
  <c r="AH119" i="1"/>
  <c r="AJ119" i="1" s="1"/>
  <c r="AK114" i="1"/>
  <c r="AL114" i="1" s="1"/>
  <c r="AH121" i="1"/>
  <c r="AJ121" i="1" s="1"/>
  <c r="AK121" i="1" s="1"/>
  <c r="AL121" i="1" s="1"/>
  <c r="AH114" i="1"/>
  <c r="AJ114" i="1" s="1"/>
  <c r="AH135" i="1"/>
  <c r="AJ135" i="1" s="1"/>
  <c r="AK135" i="1" s="1"/>
  <c r="AL135" i="1" s="1"/>
  <c r="AK119" i="1"/>
  <c r="AL119" i="1" s="1"/>
  <c r="AK128" i="1"/>
  <c r="AL128" i="1" s="1"/>
  <c r="AK112" i="1"/>
  <c r="AL112" i="1" s="1"/>
  <c r="AH128" i="1"/>
  <c r="AJ128" i="1" s="1"/>
  <c r="AH136" i="1"/>
  <c r="AJ136" i="1" s="1"/>
  <c r="AK136" i="1" s="1"/>
  <c r="AL136" i="1" s="1"/>
  <c r="AH133" i="1"/>
  <c r="AJ133" i="1" s="1"/>
  <c r="AK120" i="1"/>
  <c r="AL120" i="1" s="1"/>
  <c r="AK133" i="1"/>
  <c r="AL133" i="1" s="1"/>
  <c r="AK117" i="1"/>
  <c r="AL117" i="1" s="1"/>
  <c r="AK126" i="1"/>
  <c r="AL126" i="1" s="1"/>
  <c r="AK110" i="1"/>
  <c r="AL110" i="1" s="1"/>
  <c r="AH108" i="1"/>
  <c r="AJ108" i="1" s="1"/>
  <c r="AH124" i="1"/>
  <c r="AJ124" i="1" s="1"/>
  <c r="AH111" i="1"/>
  <c r="AJ111" i="1" s="1"/>
  <c r="AK111" i="1" s="1"/>
  <c r="AL111" i="1" s="1"/>
  <c r="AH123" i="1"/>
  <c r="AJ123" i="1" s="1"/>
  <c r="AK123" i="1" s="1"/>
  <c r="AL123" i="1" s="1"/>
  <c r="AK131" i="1"/>
  <c r="AL131" i="1" s="1"/>
  <c r="AK115" i="1"/>
  <c r="AL115" i="1" s="1"/>
  <c r="AK124" i="1"/>
  <c r="AL124" i="1" s="1"/>
  <c r="AK108" i="1"/>
  <c r="AL108" i="1" s="1"/>
  <c r="AH134" i="1"/>
  <c r="AJ134" i="1" s="1"/>
  <c r="AK134" i="1" s="1"/>
  <c r="AL134" i="1" s="1"/>
  <c r="AH118" i="1"/>
  <c r="AJ118" i="1" s="1"/>
  <c r="AK118" i="1" s="1"/>
  <c r="AL118" i="1" s="1"/>
  <c r="AH131" i="1"/>
  <c r="AJ131" i="1" s="1"/>
  <c r="AH117" i="1"/>
  <c r="AJ117" i="1" s="1"/>
  <c r="AK129" i="1"/>
  <c r="AL129" i="1" s="1"/>
  <c r="AK113" i="1"/>
  <c r="AL113" i="1" s="1"/>
  <c r="AK122" i="1"/>
  <c r="AL122" i="1" s="1"/>
  <c r="AH126" i="1"/>
  <c r="AJ126" i="1" s="1"/>
  <c r="AH112" i="1"/>
  <c r="AJ112" i="1" s="1"/>
  <c r="AH127" i="1"/>
  <c r="AJ127" i="1" s="1"/>
  <c r="AK127" i="1" s="1"/>
  <c r="AL127" i="1" s="1"/>
  <c r="AH113" i="1"/>
  <c r="AJ113" i="1" s="1"/>
  <c r="AK91" i="1"/>
  <c r="AL91" i="1" s="1"/>
  <c r="AH77" i="1"/>
  <c r="AJ77" i="1" s="1"/>
  <c r="AH95" i="1"/>
  <c r="AJ95" i="1" s="1"/>
  <c r="AK77" i="1"/>
  <c r="AL77" i="1" s="1"/>
  <c r="AH93" i="1"/>
  <c r="AJ93" i="1" s="1"/>
  <c r="AK93" i="1" s="1"/>
  <c r="AL93" i="1" s="1"/>
  <c r="AH101" i="1"/>
  <c r="AJ101" i="1" s="1"/>
  <c r="AK101" i="1"/>
  <c r="AL101" i="1" s="1"/>
  <c r="AH102" i="1"/>
  <c r="AJ102" i="1" s="1"/>
  <c r="AK102" i="1" s="1"/>
  <c r="AL102" i="1" s="1"/>
  <c r="AH106" i="1"/>
  <c r="AJ106" i="1" s="1"/>
  <c r="AK106" i="1" s="1"/>
  <c r="AL106" i="1" s="1"/>
  <c r="AK90" i="1"/>
  <c r="AL90" i="1" s="1"/>
  <c r="AH103" i="1"/>
  <c r="AJ103" i="1" s="1"/>
  <c r="AK103" i="1" s="1"/>
  <c r="AL103" i="1" s="1"/>
  <c r="AH98" i="1"/>
  <c r="AJ98" i="1" s="1"/>
  <c r="AK98" i="1" s="1"/>
  <c r="AL98" i="1" s="1"/>
  <c r="AH105" i="1"/>
  <c r="AJ105" i="1" s="1"/>
  <c r="AK105" i="1" s="1"/>
  <c r="AL105" i="1" s="1"/>
  <c r="AK92" i="1"/>
  <c r="AL92" i="1" s="1"/>
  <c r="AK96" i="1"/>
  <c r="AL96" i="1" s="1"/>
  <c r="AK97" i="1"/>
  <c r="AL97" i="1" s="1"/>
  <c r="AH96" i="1"/>
  <c r="AJ96" i="1" s="1"/>
  <c r="AH90" i="1"/>
  <c r="AJ90" i="1" s="1"/>
  <c r="AK95" i="1"/>
  <c r="AL95" i="1" s="1"/>
  <c r="AH100" i="1"/>
  <c r="AJ100" i="1" s="1"/>
  <c r="AK100" i="1" s="1"/>
  <c r="AL100" i="1" s="1"/>
  <c r="AH94" i="1"/>
  <c r="AJ94" i="1" s="1"/>
  <c r="AK94" i="1" s="1"/>
  <c r="AL94" i="1" s="1"/>
  <c r="AH104" i="1"/>
  <c r="AJ104" i="1" s="1"/>
  <c r="AK104" i="1" s="1"/>
  <c r="AL104" i="1" s="1"/>
  <c r="AH99" i="1"/>
  <c r="AJ99" i="1" s="1"/>
  <c r="AK99" i="1" s="1"/>
  <c r="AL99" i="1" s="1"/>
  <c r="AK70" i="1"/>
  <c r="AL70" i="1" s="1"/>
  <c r="AH64" i="1"/>
  <c r="AJ64" i="1" s="1"/>
  <c r="AK64" i="1"/>
  <c r="AL64" i="1" s="1"/>
  <c r="AH76" i="1"/>
  <c r="AJ76" i="1" s="1"/>
  <c r="AK76" i="1" s="1"/>
  <c r="AL76" i="1" s="1"/>
  <c r="AK74" i="1"/>
  <c r="AL74" i="1" s="1"/>
  <c r="AK63" i="1"/>
  <c r="AL63" i="1" s="1"/>
  <c r="AH68" i="1"/>
  <c r="AJ68" i="1" s="1"/>
  <c r="AK68" i="1" s="1"/>
  <c r="AL68" i="1" s="1"/>
  <c r="AK62" i="1"/>
  <c r="AL62" i="1" s="1"/>
  <c r="AK72" i="1"/>
  <c r="AL72" i="1" s="1"/>
  <c r="AH66" i="1"/>
  <c r="AJ66" i="1" s="1"/>
  <c r="AK66" i="1" s="1"/>
  <c r="AL66" i="1" s="1"/>
  <c r="AH60" i="1"/>
  <c r="AJ60" i="1" s="1"/>
  <c r="AK60" i="1" s="1"/>
  <c r="AL60" i="1" s="1"/>
  <c r="AH8" i="1"/>
  <c r="AJ8" i="1" s="1"/>
  <c r="AH9" i="1"/>
  <c r="AJ9" i="1" s="1"/>
  <c r="AH45" i="1"/>
  <c r="AJ45" i="1" s="1"/>
  <c r="AH54" i="1"/>
  <c r="AJ54" i="1" s="1"/>
  <c r="AK54" i="1" s="1"/>
  <c r="AL54" i="1" s="1"/>
  <c r="AH14" i="1"/>
  <c r="AJ14" i="1" s="1"/>
  <c r="AK14" i="1" s="1"/>
  <c r="AL14" i="1" s="1"/>
  <c r="AH11" i="1"/>
  <c r="AJ11" i="1" s="1"/>
  <c r="AK11" i="1" s="1"/>
  <c r="AL11" i="1" s="1"/>
  <c r="AH58" i="1"/>
  <c r="AJ58" i="1" s="1"/>
  <c r="AK58" i="1" s="1"/>
  <c r="AL58" i="1" s="1"/>
  <c r="AH32" i="1"/>
  <c r="AJ32" i="1" s="1"/>
  <c r="AH12" i="1"/>
  <c r="AJ12" i="1" s="1"/>
  <c r="AK12" i="1" s="1"/>
  <c r="AL12" i="1" s="1"/>
  <c r="AH55" i="1"/>
  <c r="AJ55" i="1" s="1"/>
  <c r="AH30" i="1"/>
  <c r="AJ30" i="1" s="1"/>
  <c r="AK30" i="1" s="1"/>
  <c r="AL30" i="1" s="1"/>
  <c r="AH29" i="1"/>
  <c r="AJ29" i="1" s="1"/>
  <c r="AH39" i="1"/>
  <c r="AJ39" i="1" s="1"/>
  <c r="AH40" i="1"/>
  <c r="AJ40" i="1" s="1"/>
  <c r="AK40" i="1" s="1"/>
  <c r="AL40" i="1" s="1"/>
  <c r="AH26" i="1"/>
  <c r="AJ26" i="1" s="1"/>
  <c r="AH48" i="1"/>
  <c r="AJ48" i="1" s="1"/>
  <c r="AK48" i="1" s="1"/>
  <c r="AL48" i="1" s="1"/>
  <c r="AH5" i="1"/>
  <c r="AJ5" i="1" s="1"/>
  <c r="AK5" i="1" s="1"/>
  <c r="AL5" i="1" s="1"/>
  <c r="AH10" i="1"/>
  <c r="AJ10" i="1" s="1"/>
  <c r="AH61" i="1"/>
  <c r="AJ61" i="1" s="1"/>
  <c r="AK61" i="1" s="1"/>
  <c r="AL61" i="1" s="1"/>
  <c r="AH47" i="1"/>
  <c r="AJ47" i="1" s="1"/>
  <c r="AK47" i="1" s="1"/>
  <c r="AL47" i="1" s="1"/>
  <c r="AK55" i="1"/>
  <c r="AL55" i="1" s="1"/>
  <c r="AH57" i="1"/>
  <c r="AJ57" i="1" s="1"/>
  <c r="AK57" i="1" s="1"/>
  <c r="AL57" i="1" s="1"/>
  <c r="AH49" i="1"/>
  <c r="AJ49" i="1" s="1"/>
  <c r="AK49" i="1" s="1"/>
  <c r="AL49" i="1" s="1"/>
  <c r="AH51" i="1"/>
  <c r="AJ51" i="1" s="1"/>
  <c r="AK51" i="1" s="1"/>
  <c r="AL51" i="1" s="1"/>
  <c r="AH59" i="1"/>
  <c r="AJ59" i="1" s="1"/>
  <c r="AK59" i="1" s="1"/>
  <c r="AL59" i="1" s="1"/>
  <c r="AH53" i="1"/>
  <c r="AJ53" i="1" s="1"/>
  <c r="AK53" i="1" s="1"/>
  <c r="AL53" i="1" s="1"/>
  <c r="AH17" i="1"/>
  <c r="AJ17" i="1" s="1"/>
  <c r="AK8" i="1"/>
  <c r="AL8" i="1" s="1"/>
  <c r="AK37" i="1"/>
  <c r="AL37" i="1" s="1"/>
  <c r="AK45" i="1"/>
  <c r="AL45" i="1" s="1"/>
  <c r="AK9" i="1"/>
  <c r="AL9" i="1" s="1"/>
  <c r="AH7" i="1"/>
  <c r="AJ7" i="1" s="1"/>
  <c r="AK7" i="1" s="1"/>
  <c r="AL7" i="1" s="1"/>
  <c r="AH16" i="1"/>
  <c r="AJ16" i="1" s="1"/>
  <c r="AK16" i="1" s="1"/>
  <c r="AL16" i="1" s="1"/>
  <c r="AH34" i="1"/>
  <c r="AJ34" i="1" s="1"/>
  <c r="AK34" i="1" s="1"/>
  <c r="AL34" i="1" s="1"/>
  <c r="AH42" i="1"/>
  <c r="AJ42" i="1" s="1"/>
  <c r="AK42" i="1" s="1"/>
  <c r="AL42" i="1" s="1"/>
  <c r="AH33" i="1"/>
  <c r="AJ33" i="1" s="1"/>
  <c r="AK33" i="1" s="1"/>
  <c r="AL33" i="1" s="1"/>
  <c r="AK10" i="1"/>
  <c r="AL10" i="1" s="1"/>
  <c r="AK24" i="1"/>
  <c r="AL24" i="1" s="1"/>
  <c r="AH44" i="1"/>
  <c r="AJ44" i="1" s="1"/>
  <c r="AK44" i="1" s="1"/>
  <c r="AL44" i="1" s="1"/>
  <c r="AH20" i="1"/>
  <c r="AJ20" i="1" s="1"/>
  <c r="AK20" i="1" s="1"/>
  <c r="AL20" i="1" s="1"/>
  <c r="AH31" i="1"/>
  <c r="AJ31" i="1" s="1"/>
  <c r="AK31" i="1" s="1"/>
  <c r="AL31" i="1" s="1"/>
  <c r="AK26" i="1"/>
  <c r="AL26" i="1" s="1"/>
  <c r="AH13" i="1"/>
  <c r="AJ13" i="1" s="1"/>
  <c r="AK21" i="1"/>
  <c r="AL21" i="1" s="1"/>
  <c r="AH46" i="1"/>
  <c r="AJ46" i="1" s="1"/>
  <c r="AK46" i="1" s="1"/>
  <c r="AL46" i="1" s="1"/>
  <c r="AH2" i="1"/>
  <c r="AJ2" i="1" s="1"/>
  <c r="AK2" i="1" s="1"/>
  <c r="AL2" i="1" s="1"/>
  <c r="AH28" i="1"/>
  <c r="AJ28" i="1" s="1"/>
  <c r="AK28" i="1" s="1"/>
  <c r="AL28" i="1" s="1"/>
  <c r="AK13" i="1"/>
  <c r="AL13" i="1" s="1"/>
  <c r="AK39" i="1"/>
  <c r="AL39" i="1" s="1"/>
  <c r="AH18" i="1"/>
  <c r="AJ18" i="1" s="1"/>
  <c r="AK18" i="1" s="1"/>
  <c r="AL18" i="1" s="1"/>
  <c r="AH36" i="1"/>
  <c r="AJ36" i="1" s="1"/>
  <c r="AK36" i="1" s="1"/>
  <c r="AL36" i="1" s="1"/>
  <c r="AK32" i="1"/>
  <c r="AL32" i="1" s="1"/>
  <c r="AH35" i="1"/>
  <c r="AJ35" i="1" s="1"/>
  <c r="AK35" i="1" s="1"/>
  <c r="AL35" i="1" s="1"/>
  <c r="AH25" i="1"/>
  <c r="AJ25" i="1" s="1"/>
  <c r="AK25" i="1" s="1"/>
  <c r="AL25" i="1" s="1"/>
  <c r="AH19" i="1"/>
  <c r="AJ19" i="1" s="1"/>
  <c r="AK19" i="1" s="1"/>
  <c r="AL19" i="1" s="1"/>
  <c r="AK17" i="1"/>
  <c r="AL17" i="1" s="1"/>
  <c r="AK29" i="1"/>
  <c r="AL29" i="1" s="1"/>
  <c r="AH23" i="1"/>
  <c r="AJ23" i="1" s="1"/>
  <c r="AK23" i="1" s="1"/>
  <c r="AL23" i="1" s="1"/>
  <c r="AH43" i="1"/>
  <c r="AJ43" i="1" s="1"/>
  <c r="AK43" i="1" s="1"/>
  <c r="AL43" i="1" s="1"/>
  <c r="AH22" i="1"/>
  <c r="AJ22" i="1" s="1"/>
  <c r="AK22" i="1" s="1"/>
  <c r="AL22" i="1" s="1"/>
  <c r="AH4" i="1"/>
  <c r="AJ4" i="1" s="1"/>
  <c r="AK4" i="1" s="1"/>
  <c r="AL4" i="1" s="1"/>
</calcChain>
</file>

<file path=xl/sharedStrings.xml><?xml version="1.0" encoding="utf-8"?>
<sst xmlns="http://schemas.openxmlformats.org/spreadsheetml/2006/main" count="428" uniqueCount="62">
  <si>
    <t>No.</t>
  </si>
  <si>
    <t>Nama Sungai</t>
  </si>
  <si>
    <t>Lokasi/ Koordinat</t>
  </si>
  <si>
    <t>Periode/ Tanggal</t>
  </si>
  <si>
    <t>TSS</t>
  </si>
  <si>
    <t>DO</t>
  </si>
  <si>
    <t>BOD</t>
  </si>
  <si>
    <t>COD</t>
  </si>
  <si>
    <t>Fosfat</t>
  </si>
  <si>
    <t>Fecal Coli</t>
  </si>
  <si>
    <t>Total-Coliform</t>
  </si>
  <si>
    <t>(Ci/Lij)R</t>
  </si>
  <si>
    <t>(Ci/Lij)M</t>
  </si>
  <si>
    <t>(Ci/Lij)R2</t>
  </si>
  <si>
    <t>(Ci/Lij)M2</t>
  </si>
  <si>
    <t>Pij</t>
  </si>
  <si>
    <t>Status Mutu Air</t>
  </si>
  <si>
    <t>Cimahi Hulu</t>
  </si>
  <si>
    <t xml:space="preserve"> E 107´33.618´ S 06´51.309´</t>
  </si>
  <si>
    <t>Cimahi Tengah</t>
  </si>
  <si>
    <t>E 108´32.466´ S 06´53.606´</t>
  </si>
  <si>
    <t>Cimahi Hilir</t>
  </si>
  <si>
    <t xml:space="preserve"> E 107° 32' 304" S 06° 55' 203" </t>
  </si>
  <si>
    <t>Cisangkan Hulu</t>
  </si>
  <si>
    <t>E 107´32.181´ S 06´52.223´</t>
  </si>
  <si>
    <t>Cisangkan Tengah</t>
  </si>
  <si>
    <t>E 108´31.818´ S 06´52.867´</t>
  </si>
  <si>
    <t>Cisangkan Hilir</t>
  </si>
  <si>
    <t xml:space="preserve">E 107° 32' 006"  S 6° 55' 092" </t>
  </si>
  <si>
    <t>Cibabat Hulu</t>
  </si>
  <si>
    <t>E 107´33.694´ S 06´53.373´</t>
  </si>
  <si>
    <t>Cibabat Tengah</t>
  </si>
  <si>
    <t>E 107´32.892´ S 06´54.016´</t>
  </si>
  <si>
    <t>Cibabat Hilir</t>
  </si>
  <si>
    <t xml:space="preserve">E 107° 33' 008"  S 06° 55' 502" </t>
  </si>
  <si>
    <t>Cibaligo Hulu</t>
  </si>
  <si>
    <t>E 107´33.329´ S 06´53.876´</t>
  </si>
  <si>
    <t>Cibaligo Tengah</t>
  </si>
  <si>
    <t>E 107´33.108' S 06´54.523´</t>
  </si>
  <si>
    <t>Cibaligo Hilir</t>
  </si>
  <si>
    <t xml:space="preserve">E 107° 32' 630" S 06° 55' 270" </t>
  </si>
  <si>
    <t>Cibeureum Hulu</t>
  </si>
  <si>
    <t>E 107° 34' 130" S 06° 54' 622"</t>
  </si>
  <si>
    <t>Cibeureum Tengah</t>
  </si>
  <si>
    <t>E 107´33.923´ S 06´55.164´</t>
  </si>
  <si>
    <t>Cibeureum Hilir</t>
  </si>
  <si>
    <t>E 107´34.130´ S 06´54.622´</t>
  </si>
  <si>
    <t xml:space="preserve">E 107° 32' 466" S 06´53.606´ </t>
  </si>
  <si>
    <t>E 107´32.714´ S 06´55.918´</t>
  </si>
  <si>
    <t>cimahi tengah</t>
  </si>
  <si>
    <t>Cimahi hilir</t>
  </si>
  <si>
    <t>Cibaligo hilir</t>
  </si>
  <si>
    <t>Maret 2016</t>
  </si>
  <si>
    <t>April 2016</t>
  </si>
  <si>
    <t>November 2016</t>
  </si>
  <si>
    <t>10 Juli 2018</t>
  </si>
  <si>
    <t>11 Juli 2018</t>
  </si>
  <si>
    <t>9 Juli 2018</t>
  </si>
  <si>
    <t>19 Juli 2018</t>
  </si>
  <si>
    <t>21 November 2018</t>
  </si>
  <si>
    <t>19 November 2018</t>
  </si>
  <si>
    <t>22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</si>
</sst>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_(* #,##0_);_(* \(#,##0\);_(* &quot;-&quot;_);_(@_)"/>
    <numFmt numFmtId="165" formatCode="_(* #,##0.00_);_(* \(#,##0.00\);_(* &quot;-&quot;_);_(@_)"/>
    <numFmt numFmtId="166" formatCode="_(* #,##0.0000_);_(* \(#,##0.0000\);_(* &quot;-&quot;_);_(@_)"/>
    <numFmt numFmtId="167" formatCode="_(* #,##0.00_);_(* \(#,##0.00\);_(* &quot;-&quot;??_);_(@_)"/>
    <numFmt numFmtId="168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charset val="1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0"/>
      <color theme="1"/>
      <name val="Aptos Narrow"/>
      <family val="2"/>
      <charset val="1"/>
      <scheme val="minor"/>
    </font>
    <font>
      <sz val="11"/>
      <color rgb="FFFF0000"/>
      <name val="Aptos Narrow"/>
      <family val="2"/>
      <charset val="1"/>
      <scheme val="minor"/>
    </font>
    <font>
      <sz val="10"/>
      <color rgb="FFFF0000"/>
      <name val="Aptos Narrow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89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165" fontId="5" fillId="4" borderId="1" xfId="3" applyNumberFormat="1" applyFont="1" applyFill="1" applyBorder="1" applyAlignment="1">
      <alignment horizontal="center" vertical="center" wrapText="1"/>
    </xf>
    <xf numFmtId="166" fontId="5" fillId="4" borderId="1" xfId="3" applyNumberFormat="1" applyFont="1" applyFill="1" applyBorder="1" applyAlignment="1">
      <alignment horizontal="center" vertical="center" wrapText="1"/>
    </xf>
    <xf numFmtId="165" fontId="5" fillId="5" borderId="1" xfId="3" applyNumberFormat="1" applyFont="1" applyFill="1" applyBorder="1" applyAlignment="1">
      <alignment horizontal="center" vertical="center" wrapText="1"/>
    </xf>
    <xf numFmtId="166" fontId="5" fillId="5" borderId="1" xfId="3" applyNumberFormat="1" applyFont="1" applyFill="1" applyBorder="1" applyAlignment="1">
      <alignment horizontal="center" vertical="center" wrapText="1"/>
    </xf>
    <xf numFmtId="0" fontId="5" fillId="6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165" fontId="5" fillId="0" borderId="1" xfId="3" applyNumberFormat="1" applyFont="1" applyFill="1" applyBorder="1" applyAlignment="1">
      <alignment horizontal="center" vertical="center" wrapText="1"/>
    </xf>
    <xf numFmtId="166" fontId="5" fillId="0" borderId="1" xfId="3" applyNumberFormat="1" applyFont="1" applyFill="1" applyBorder="1" applyAlignment="1">
      <alignment horizontal="center" vertical="center" wrapText="1"/>
    </xf>
    <xf numFmtId="0" fontId="2" fillId="0" borderId="1" xfId="2" applyBorder="1"/>
    <xf numFmtId="0" fontId="5" fillId="0" borderId="1" xfId="4" applyFont="1" applyBorder="1"/>
    <xf numFmtId="0" fontId="6" fillId="0" borderId="0" xfId="4" applyFont="1" applyAlignment="1">
      <alignment horizontal="center"/>
    </xf>
    <xf numFmtId="17" fontId="5" fillId="0" borderId="1" xfId="4" quotePrefix="1" applyNumberFormat="1" applyFont="1" applyBorder="1" applyAlignment="1">
      <alignment horizontal="center"/>
    </xf>
    <xf numFmtId="1" fontId="7" fillId="0" borderId="1" xfId="4" applyNumberFormat="1" applyFont="1" applyBorder="1" applyAlignment="1">
      <alignment horizontal="center" vertical="center" wrapText="1"/>
    </xf>
    <xf numFmtId="2" fontId="7" fillId="0" borderId="1" xfId="4" applyNumberFormat="1" applyFont="1" applyBorder="1" applyAlignment="1">
      <alignment horizontal="center" vertical="center" wrapText="1"/>
    </xf>
    <xf numFmtId="1" fontId="5" fillId="0" borderId="1" xfId="4" applyNumberFormat="1" applyFont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center" vertical="center" wrapText="1"/>
    </xf>
    <xf numFmtId="167" fontId="5" fillId="6" borderId="1" xfId="2" applyNumberFormat="1" applyFont="1" applyFill="1" applyBorder="1" applyAlignment="1">
      <alignment vertical="center" wrapText="1"/>
    </xf>
    <xf numFmtId="167" fontId="5" fillId="6" borderId="1" xfId="2" applyNumberFormat="1" applyFont="1" applyFill="1" applyBorder="1"/>
    <xf numFmtId="2" fontId="5" fillId="6" borderId="1" xfId="2" applyNumberFormat="1" applyFont="1" applyFill="1" applyBorder="1"/>
    <xf numFmtId="2" fontId="5" fillId="6" borderId="1" xfId="2" applyNumberFormat="1" applyFont="1" applyFill="1" applyBorder="1" applyAlignment="1">
      <alignment horizontal="center"/>
    </xf>
    <xf numFmtId="0" fontId="2" fillId="0" borderId="1" xfId="2" applyBorder="1" applyAlignment="1">
      <alignment horizontal="center"/>
    </xf>
    <xf numFmtId="0" fontId="5" fillId="0" borderId="1" xfId="4" applyFont="1" applyBorder="1" applyAlignment="1">
      <alignment horizontal="center"/>
    </xf>
    <xf numFmtId="0" fontId="6" fillId="0" borderId="1" xfId="4" applyFont="1" applyBorder="1" applyAlignment="1">
      <alignment horizontal="center"/>
    </xf>
    <xf numFmtId="2" fontId="5" fillId="0" borderId="1" xfId="4" applyNumberFormat="1" applyFont="1" applyBorder="1" applyAlignment="1">
      <alignment horizontal="center" vertical="center" wrapText="1"/>
    </xf>
    <xf numFmtId="41" fontId="5" fillId="0" borderId="1" xfId="1" applyFont="1" applyFill="1" applyBorder="1" applyAlignment="1">
      <alignment horizontal="center" vertical="center" wrapText="1"/>
    </xf>
    <xf numFmtId="167" fontId="5" fillId="0" borderId="1" xfId="2" applyNumberFormat="1" applyFont="1" applyBorder="1" applyAlignment="1">
      <alignment vertical="center" wrapText="1"/>
    </xf>
    <xf numFmtId="167" fontId="5" fillId="0" borderId="1" xfId="2" applyNumberFormat="1" applyFont="1" applyBorder="1"/>
    <xf numFmtId="2" fontId="5" fillId="0" borderId="1" xfId="2" applyNumberFormat="1" applyFont="1" applyBorder="1"/>
    <xf numFmtId="2" fontId="5" fillId="0" borderId="1" xfId="2" applyNumberFormat="1" applyFont="1" applyBorder="1" applyAlignment="1">
      <alignment horizontal="center"/>
    </xf>
    <xf numFmtId="0" fontId="6" fillId="0" borderId="2" xfId="4" applyFont="1" applyBorder="1" applyAlignment="1">
      <alignment horizontal="center"/>
    </xf>
    <xf numFmtId="1" fontId="5" fillId="0" borderId="3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1" fontId="7" fillId="0" borderId="1" xfId="2" applyNumberFormat="1" applyFont="1" applyBorder="1" applyAlignment="1">
      <alignment horizontal="center" vertical="center" wrapText="1"/>
    </xf>
    <xf numFmtId="2" fontId="7" fillId="0" borderId="1" xfId="2" applyNumberFormat="1" applyFont="1" applyBorder="1" applyAlignment="1">
      <alignment horizontal="center" vertical="center" wrapText="1"/>
    </xf>
    <xf numFmtId="167" fontId="5" fillId="7" borderId="1" xfId="2" applyNumberFormat="1" applyFont="1" applyFill="1" applyBorder="1" applyAlignment="1">
      <alignment vertical="center" wrapText="1"/>
    </xf>
    <xf numFmtId="167" fontId="5" fillId="7" borderId="1" xfId="2" applyNumberFormat="1" applyFont="1" applyFill="1" applyBorder="1"/>
    <xf numFmtId="2" fontId="5" fillId="7" borderId="1" xfId="2" applyNumberFormat="1" applyFont="1" applyFill="1" applyBorder="1"/>
    <xf numFmtId="2" fontId="5" fillId="7" borderId="1" xfId="2" applyNumberFormat="1" applyFont="1" applyFill="1" applyBorder="1" applyAlignment="1">
      <alignment horizontal="center"/>
    </xf>
    <xf numFmtId="1" fontId="7" fillId="0" borderId="3" xfId="2" applyNumberFormat="1" applyFont="1" applyBorder="1" applyAlignment="1">
      <alignment horizontal="center" vertical="center" wrapText="1"/>
    </xf>
    <xf numFmtId="41" fontId="7" fillId="0" borderId="1" xfId="1" applyFont="1" applyFill="1" applyBorder="1" applyAlignment="1">
      <alignment vertical="center" wrapText="1"/>
    </xf>
    <xf numFmtId="2" fontId="5" fillId="0" borderId="3" xfId="2" applyNumberFormat="1" applyFont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 wrapText="1"/>
    </xf>
    <xf numFmtId="14" fontId="8" fillId="0" borderId="4" xfId="4" applyNumberFormat="1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164" fontId="5" fillId="0" borderId="1" xfId="3" applyFont="1" applyFill="1" applyBorder="1" applyAlignment="1">
      <alignment horizontal="center" vertical="center" wrapText="1"/>
    </xf>
    <xf numFmtId="167" fontId="5" fillId="6" borderId="1" xfId="4" applyNumberFormat="1" applyFont="1" applyFill="1" applyBorder="1" applyAlignment="1">
      <alignment vertical="center" wrapText="1"/>
    </xf>
    <xf numFmtId="167" fontId="5" fillId="6" borderId="1" xfId="4" applyNumberFormat="1" applyFont="1" applyFill="1" applyBorder="1"/>
    <xf numFmtId="2" fontId="5" fillId="6" borderId="1" xfId="4" applyNumberFormat="1" applyFont="1" applyFill="1" applyBorder="1"/>
    <xf numFmtId="2" fontId="5" fillId="6" borderId="1" xfId="4" applyNumberFormat="1" applyFont="1" applyFill="1" applyBorder="1" applyAlignment="1">
      <alignment horizontal="center"/>
    </xf>
    <xf numFmtId="0" fontId="2" fillId="8" borderId="1" xfId="4" applyFill="1" applyBorder="1" applyAlignment="1">
      <alignment horizontal="center"/>
    </xf>
    <xf numFmtId="0" fontId="2" fillId="9" borderId="1" xfId="4" applyFill="1" applyBorder="1" applyAlignment="1">
      <alignment horizontal="center"/>
    </xf>
    <xf numFmtId="0" fontId="2" fillId="10" borderId="1" xfId="4" applyFill="1" applyBorder="1" applyAlignment="1">
      <alignment horizontal="center"/>
    </xf>
    <xf numFmtId="0" fontId="2" fillId="11" borderId="1" xfId="4" applyFill="1" applyBorder="1" applyAlignment="1">
      <alignment horizontal="center"/>
    </xf>
    <xf numFmtId="165" fontId="5" fillId="0" borderId="1" xfId="5" applyFont="1" applyFill="1" applyBorder="1" applyAlignment="1">
      <alignment horizontal="center" vertical="center" wrapText="1"/>
    </xf>
    <xf numFmtId="0" fontId="2" fillId="0" borderId="1" xfId="4" applyBorder="1" applyAlignment="1">
      <alignment horizontal="center"/>
    </xf>
    <xf numFmtId="0" fontId="5" fillId="0" borderId="1" xfId="2" applyFont="1" applyBorder="1"/>
    <xf numFmtId="14" fontId="8" fillId="0" borderId="4" xfId="2" applyNumberFormat="1" applyFont="1" applyBorder="1" applyAlignment="1">
      <alignment horizontal="center" vertical="center"/>
    </xf>
    <xf numFmtId="0" fontId="2" fillId="8" borderId="1" xfId="2" applyFill="1" applyBorder="1" applyAlignment="1">
      <alignment horizontal="center"/>
    </xf>
    <xf numFmtId="0" fontId="2" fillId="11" borderId="1" xfId="2" applyFill="1" applyBorder="1" applyAlignment="1">
      <alignment horizontal="center"/>
    </xf>
    <xf numFmtId="0" fontId="6" fillId="0" borderId="0" xfId="4" applyFont="1"/>
    <xf numFmtId="17" fontId="5" fillId="0" borderId="1" xfId="4" quotePrefix="1" applyNumberFormat="1" applyFont="1" applyBorder="1"/>
    <xf numFmtId="1" fontId="5" fillId="12" borderId="1" xfId="4" applyNumberFormat="1" applyFont="1" applyFill="1" applyBorder="1" applyAlignment="1">
      <alignment horizontal="center" vertical="center" wrapText="1"/>
    </xf>
    <xf numFmtId="0" fontId="5" fillId="12" borderId="1" xfId="4" applyFont="1" applyFill="1" applyBorder="1" applyAlignment="1">
      <alignment horizontal="center" vertical="center" wrapText="1"/>
    </xf>
    <xf numFmtId="168" fontId="5" fillId="13" borderId="1" xfId="4" applyNumberFormat="1" applyFont="1" applyFill="1" applyBorder="1" applyAlignment="1">
      <alignment horizontal="center" vertical="center" wrapText="1"/>
    </xf>
    <xf numFmtId="0" fontId="5" fillId="13" borderId="1" xfId="4" applyFont="1" applyFill="1" applyBorder="1" applyAlignment="1">
      <alignment horizontal="center" vertical="center" wrapText="1"/>
    </xf>
    <xf numFmtId="0" fontId="6" fillId="0" borderId="1" xfId="4" applyFont="1" applyBorder="1"/>
    <xf numFmtId="1" fontId="5" fillId="13" borderId="1" xfId="4" applyNumberFormat="1" applyFont="1" applyFill="1" applyBorder="1" applyAlignment="1">
      <alignment horizontal="center" vertical="center" wrapText="1"/>
    </xf>
    <xf numFmtId="0" fontId="7" fillId="14" borderId="1" xfId="4" applyFont="1" applyFill="1" applyBorder="1"/>
    <xf numFmtId="14" fontId="10" fillId="14" borderId="4" xfId="4" applyNumberFormat="1" applyFont="1" applyFill="1" applyBorder="1" applyAlignment="1">
      <alignment horizontal="center" vertical="center"/>
    </xf>
    <xf numFmtId="1" fontId="7" fillId="14" borderId="1" xfId="4" applyNumberFormat="1" applyFont="1" applyFill="1" applyBorder="1" applyAlignment="1">
      <alignment horizontal="center" vertical="center" wrapText="1"/>
    </xf>
    <xf numFmtId="0" fontId="7" fillId="14" borderId="1" xfId="4" applyFont="1" applyFill="1" applyBorder="1" applyAlignment="1">
      <alignment horizontal="center" vertical="center" wrapText="1"/>
    </xf>
    <xf numFmtId="165" fontId="7" fillId="14" borderId="1" xfId="3" applyNumberFormat="1" applyFont="1" applyFill="1" applyBorder="1" applyAlignment="1">
      <alignment horizontal="center" vertical="center" wrapText="1"/>
    </xf>
    <xf numFmtId="166" fontId="7" fillId="14" borderId="1" xfId="3" applyNumberFormat="1" applyFont="1" applyFill="1" applyBorder="1" applyAlignment="1">
      <alignment horizontal="center" vertical="center" wrapText="1"/>
    </xf>
    <xf numFmtId="167" fontId="7" fillId="14" borderId="1" xfId="4" applyNumberFormat="1" applyFont="1" applyFill="1" applyBorder="1" applyAlignment="1">
      <alignment vertical="center" wrapText="1"/>
    </xf>
    <xf numFmtId="167" fontId="7" fillId="14" borderId="1" xfId="4" applyNumberFormat="1" applyFont="1" applyFill="1" applyBorder="1"/>
    <xf numFmtId="2" fontId="7" fillId="14" borderId="1" xfId="4" applyNumberFormat="1" applyFont="1" applyFill="1" applyBorder="1"/>
    <xf numFmtId="2" fontId="7" fillId="14" borderId="1" xfId="4" applyNumberFormat="1" applyFont="1" applyFill="1" applyBorder="1" applyAlignment="1">
      <alignment horizontal="center"/>
    </xf>
    <xf numFmtId="0" fontId="9" fillId="14" borderId="1" xfId="4" applyFont="1" applyFill="1" applyBorder="1" applyAlignment="1">
      <alignment horizontal="center"/>
    </xf>
    <xf numFmtId="2" fontId="5" fillId="13" borderId="1" xfId="4" applyNumberFormat="1" applyFont="1" applyFill="1" applyBorder="1" applyAlignment="1">
      <alignment horizontal="center" vertical="center" wrapText="1"/>
    </xf>
    <xf numFmtId="14" fontId="8" fillId="0" borderId="5" xfId="4" applyNumberFormat="1" applyFont="1" applyBorder="1" applyAlignment="1">
      <alignment horizontal="center" vertical="center"/>
    </xf>
    <xf numFmtId="0" fontId="2" fillId="12" borderId="1" xfId="2" applyFill="1" applyBorder="1" applyAlignment="1">
      <alignment horizontal="center"/>
    </xf>
    <xf numFmtId="17" fontId="5" fillId="0" borderId="6" xfId="4" quotePrefix="1" applyNumberFormat="1" applyFont="1" applyBorder="1" applyAlignment="1">
      <alignment horizontal="center"/>
    </xf>
  </cellXfs>
  <cellStyles count="6">
    <cellStyle name="Comma [0]" xfId="1" builtinId="6"/>
    <cellStyle name="Comma [0] 2" xfId="3" xr:uid="{6F780117-978A-416F-A365-5E35E8C2AC29}"/>
    <cellStyle name="Comma [0] 2 2" xfId="5" xr:uid="{7AC53F56-4E71-413B-BADD-63929BC9BFB3}"/>
    <cellStyle name="Normal" xfId="0" builtinId="0"/>
    <cellStyle name="Normal 14" xfId="4" xr:uid="{7D76D233-1C74-4AAE-AC49-B47FA5445226}"/>
    <cellStyle name="Normal 2" xfId="2" xr:uid="{93D80EFC-4488-4D19-A6FE-86E52B4D6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B6AC-6613-4C62-81C3-1228F90E06CE}">
  <dimension ref="A1:AL226"/>
  <sheetViews>
    <sheetView tabSelected="1" topLeftCell="A101" zoomScale="25" zoomScaleNormal="25" workbookViewId="0">
      <selection activeCell="C195" sqref="C195"/>
    </sheetView>
  </sheetViews>
  <sheetFormatPr defaultRowHeight="15" x14ac:dyDescent="0.25"/>
  <cols>
    <col min="2" max="2" width="24.42578125" customWidth="1"/>
    <col min="3" max="3" width="33.85546875" customWidth="1"/>
    <col min="4" max="4" width="26.140625" customWidth="1"/>
  </cols>
  <sheetData>
    <row r="1" spans="1:38" ht="49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4" t="s">
        <v>4</v>
      </c>
      <c r="T1" s="4" t="s">
        <v>5</v>
      </c>
      <c r="U1" s="4" t="s">
        <v>6</v>
      </c>
      <c r="V1" s="4" t="s">
        <v>7</v>
      </c>
      <c r="W1" s="5" t="s">
        <v>8</v>
      </c>
      <c r="X1" s="4" t="s">
        <v>9</v>
      </c>
      <c r="Y1" s="4" t="s">
        <v>10</v>
      </c>
      <c r="Z1" s="6" t="s">
        <v>4</v>
      </c>
      <c r="AA1" s="6" t="s">
        <v>5</v>
      </c>
      <c r="AB1" s="6" t="s">
        <v>6</v>
      </c>
      <c r="AC1" s="6" t="s">
        <v>7</v>
      </c>
      <c r="AD1" s="7" t="s">
        <v>8</v>
      </c>
      <c r="AE1" s="6" t="s">
        <v>9</v>
      </c>
      <c r="AF1" s="6" t="s">
        <v>10</v>
      </c>
      <c r="AG1" s="8" t="s">
        <v>11</v>
      </c>
      <c r="AH1" s="8" t="s">
        <v>12</v>
      </c>
      <c r="AI1" s="8" t="s">
        <v>13</v>
      </c>
      <c r="AJ1" s="8" t="s">
        <v>14</v>
      </c>
      <c r="AK1" s="8" t="s">
        <v>15</v>
      </c>
      <c r="AL1" s="9" t="s">
        <v>16</v>
      </c>
    </row>
    <row r="2" spans="1:38" ht="16.5" x14ac:dyDescent="0.3">
      <c r="A2" s="13">
        <v>1</v>
      </c>
      <c r="B2" s="14" t="s">
        <v>17</v>
      </c>
      <c r="C2" s="15" t="s">
        <v>18</v>
      </c>
      <c r="D2" s="16">
        <v>43560</v>
      </c>
      <c r="E2" s="17">
        <v>81</v>
      </c>
      <c r="F2" s="18">
        <v>7.19</v>
      </c>
      <c r="G2" s="17">
        <v>4</v>
      </c>
      <c r="H2" s="19">
        <v>12</v>
      </c>
      <c r="I2" s="18">
        <v>0.28000000000000003</v>
      </c>
      <c r="J2" s="20">
        <v>1100000</v>
      </c>
      <c r="K2" s="20">
        <v>1100000</v>
      </c>
      <c r="L2" s="3">
        <v>50</v>
      </c>
      <c r="M2" s="3">
        <v>4</v>
      </c>
      <c r="N2" s="3">
        <v>3</v>
      </c>
      <c r="O2" s="3">
        <v>25</v>
      </c>
      <c r="P2" s="3">
        <v>0.2</v>
      </c>
      <c r="Q2" s="3">
        <v>1000</v>
      </c>
      <c r="R2" s="3">
        <v>5000</v>
      </c>
      <c r="S2" s="4">
        <f t="shared" ref="S2:S16" si="0">E2/L2</f>
        <v>1.62</v>
      </c>
      <c r="T2" s="4">
        <f t="shared" ref="T2:T16" si="1">((7-F2)/(7-M2))/M2</f>
        <v>-1.5833333333333366E-2</v>
      </c>
      <c r="U2" s="4">
        <f t="shared" ref="U2:X16" si="2">G2/N2</f>
        <v>1.3333333333333333</v>
      </c>
      <c r="V2" s="4">
        <f t="shared" si="2"/>
        <v>0.48</v>
      </c>
      <c r="W2" s="5">
        <f t="shared" si="2"/>
        <v>1.4000000000000001</v>
      </c>
      <c r="X2" s="4">
        <f t="shared" si="2"/>
        <v>1100</v>
      </c>
      <c r="Y2" s="4"/>
      <c r="Z2" s="6">
        <f>1+(5*(LOG10(E2/L2)))</f>
        <v>2.0475750727131548</v>
      </c>
      <c r="AA2" s="6">
        <f>1+(5*(LOG10(F2/M2)))</f>
        <v>2.2733444952746011</v>
      </c>
      <c r="AB2" s="6">
        <f>1+(5*(LOG10(G2/N2)))</f>
        <v>1.6246936830414995</v>
      </c>
      <c r="AC2" s="6">
        <f>1+(5*(LOG10(H2/O2)))</f>
        <v>-0.59379381312206392</v>
      </c>
      <c r="AD2" s="6">
        <f t="shared" ref="AA2:AF32" si="3">W2</f>
        <v>1.4000000000000001</v>
      </c>
      <c r="AE2" s="6">
        <f>X2</f>
        <v>1100</v>
      </c>
      <c r="AF2" s="6">
        <f t="shared" si="3"/>
        <v>0</v>
      </c>
      <c r="AG2" s="21">
        <f>AVERAGE(Z2:AF2)</f>
        <v>158.10740277684388</v>
      </c>
      <c r="AH2" s="22">
        <f>MAX(Z2:AG2)</f>
        <v>1100</v>
      </c>
      <c r="AI2" s="23">
        <f>POWER(AG2,2)</f>
        <v>24997.950812839143</v>
      </c>
      <c r="AJ2" s="23">
        <f>POWER(AH2,2)</f>
        <v>1210000</v>
      </c>
      <c r="AK2" s="24">
        <f>SQRT((AI2+AJ2)/2)</f>
        <v>785.8110303415317</v>
      </c>
      <c r="AL2" s="25" t="str">
        <f>IF(ISNUMBER(AK2),IF(AK2&lt;=1,"memenuhi",IF(AK2&lt;=5,"ringan",IF(AK2&lt;=10,"sedang","berat"))),"")</f>
        <v>berat</v>
      </c>
    </row>
    <row r="3" spans="1:38" ht="16.5" x14ac:dyDescent="0.3">
      <c r="A3" s="13">
        <v>2</v>
      </c>
      <c r="B3" s="14" t="s">
        <v>19</v>
      </c>
      <c r="C3" s="26" t="s">
        <v>20</v>
      </c>
      <c r="D3" s="16">
        <v>43556</v>
      </c>
      <c r="E3" s="17">
        <v>62</v>
      </c>
      <c r="F3" s="18">
        <v>6.04</v>
      </c>
      <c r="G3" s="17">
        <v>4</v>
      </c>
      <c r="H3" s="19">
        <v>11</v>
      </c>
      <c r="I3" s="18">
        <v>0.36</v>
      </c>
      <c r="J3" s="20">
        <v>240000</v>
      </c>
      <c r="K3" s="20">
        <v>1100000</v>
      </c>
      <c r="L3" s="3">
        <v>50</v>
      </c>
      <c r="M3" s="3">
        <v>4</v>
      </c>
      <c r="N3" s="3">
        <v>3</v>
      </c>
      <c r="O3" s="3">
        <v>25</v>
      </c>
      <c r="P3" s="3">
        <v>0.2</v>
      </c>
      <c r="Q3" s="3">
        <v>1000</v>
      </c>
      <c r="R3" s="3">
        <v>5000</v>
      </c>
      <c r="S3" s="4">
        <f t="shared" si="0"/>
        <v>1.24</v>
      </c>
      <c r="T3" s="4">
        <f t="shared" si="1"/>
        <v>0.08</v>
      </c>
      <c r="U3" s="4">
        <f t="shared" si="2"/>
        <v>1.3333333333333333</v>
      </c>
      <c r="V3" s="4">
        <f t="shared" si="2"/>
        <v>0.44</v>
      </c>
      <c r="W3" s="5">
        <f t="shared" si="2"/>
        <v>1.7999999999999998</v>
      </c>
      <c r="X3" s="4">
        <f t="shared" si="2"/>
        <v>240</v>
      </c>
      <c r="Y3" s="4"/>
      <c r="Z3" s="6">
        <f t="shared" ref="Z3:Z16" si="4">1+(5*(LOG10(E3/L3)))</f>
        <v>1.4671084258111753</v>
      </c>
      <c r="AA3" s="6">
        <f t="shared" si="3"/>
        <v>0.08</v>
      </c>
      <c r="AB3" s="6">
        <f t="shared" ref="AB3:AC14" si="5">1+(5*(LOG10(G3/N3)))</f>
        <v>1.6246936830414995</v>
      </c>
      <c r="AC3" s="6">
        <f t="shared" si="5"/>
        <v>-0.78273661756906288</v>
      </c>
      <c r="AD3" s="6">
        <f t="shared" si="3"/>
        <v>1.7999999999999998</v>
      </c>
      <c r="AE3" s="6">
        <f t="shared" si="3"/>
        <v>240</v>
      </c>
      <c r="AF3" s="6">
        <f t="shared" si="3"/>
        <v>0</v>
      </c>
      <c r="AG3" s="21">
        <f t="shared" ref="AG3:AG46" si="6">AVERAGE(Z3:AF3)</f>
        <v>34.884152213040515</v>
      </c>
      <c r="AH3" s="22">
        <f t="shared" ref="AH3:AH46" si="7">MAX(Z3:AG3)</f>
        <v>240</v>
      </c>
      <c r="AI3" s="23">
        <f t="shared" ref="AI3:AJ46" si="8">POWER(AG3,2)</f>
        <v>1216.9040756225795</v>
      </c>
      <c r="AJ3" s="23">
        <f t="shared" si="8"/>
        <v>57600</v>
      </c>
      <c r="AK3" s="24">
        <f t="shared" ref="AK3:AK46" si="9">SQRT((AI3+AJ3)/2)</f>
        <v>171.48892686646357</v>
      </c>
      <c r="AL3" s="25" t="str">
        <f>IF(ISNUMBER(AK3),IF(AK3&lt;=1,"memenuhi",IF(AK3&lt;=5,"ringan",IF(AK3&lt;=10,"sedang","berat"))),"")</f>
        <v>berat</v>
      </c>
    </row>
    <row r="4" spans="1:38" ht="16.5" x14ac:dyDescent="0.3">
      <c r="A4" s="13">
        <v>3</v>
      </c>
      <c r="B4" s="14" t="s">
        <v>21</v>
      </c>
      <c r="C4" s="15" t="s">
        <v>22</v>
      </c>
      <c r="D4" s="16">
        <v>43560</v>
      </c>
      <c r="E4" s="17">
        <v>20</v>
      </c>
      <c r="F4" s="18">
        <v>6.19</v>
      </c>
      <c r="G4" s="17">
        <v>6</v>
      </c>
      <c r="H4" s="17">
        <v>27</v>
      </c>
      <c r="I4" s="18">
        <v>0.33</v>
      </c>
      <c r="J4" s="20">
        <v>1100000</v>
      </c>
      <c r="K4" s="20">
        <v>1100000</v>
      </c>
      <c r="L4" s="3">
        <v>50</v>
      </c>
      <c r="M4" s="3">
        <v>4</v>
      </c>
      <c r="N4" s="3">
        <v>3</v>
      </c>
      <c r="O4" s="3">
        <v>25</v>
      </c>
      <c r="P4" s="3">
        <v>0.2</v>
      </c>
      <c r="Q4" s="3">
        <v>1000</v>
      </c>
      <c r="R4" s="3">
        <v>5000</v>
      </c>
      <c r="S4" s="4">
        <f t="shared" si="0"/>
        <v>0.4</v>
      </c>
      <c r="T4" s="4">
        <f t="shared" si="1"/>
        <v>6.7499999999999963E-2</v>
      </c>
      <c r="U4" s="4">
        <f t="shared" si="2"/>
        <v>2</v>
      </c>
      <c r="V4" s="4">
        <f t="shared" si="2"/>
        <v>1.08</v>
      </c>
      <c r="W4" s="5">
        <f t="shared" si="2"/>
        <v>1.65</v>
      </c>
      <c r="X4" s="4">
        <f t="shared" si="2"/>
        <v>1100</v>
      </c>
      <c r="Y4" s="4"/>
      <c r="Z4" s="6">
        <f t="shared" si="4"/>
        <v>-0.98970004336018791</v>
      </c>
      <c r="AA4" s="6">
        <f t="shared" si="3"/>
        <v>6.7499999999999963E-2</v>
      </c>
      <c r="AB4" s="6">
        <f t="shared" si="5"/>
        <v>2.5051499783199063</v>
      </c>
      <c r="AC4" s="6">
        <f t="shared" si="5"/>
        <v>1.1671187774347487</v>
      </c>
      <c r="AD4" s="6">
        <f t="shared" si="3"/>
        <v>1.65</v>
      </c>
      <c r="AE4" s="6">
        <f t="shared" si="3"/>
        <v>1100</v>
      </c>
      <c r="AF4" s="6">
        <f t="shared" si="3"/>
        <v>0</v>
      </c>
      <c r="AG4" s="21">
        <f t="shared" si="6"/>
        <v>157.77143838748492</v>
      </c>
      <c r="AH4" s="22">
        <f t="shared" si="7"/>
        <v>1100</v>
      </c>
      <c r="AI4" s="23">
        <f t="shared" si="8"/>
        <v>24891.826770855951</v>
      </c>
      <c r="AJ4" s="23">
        <f t="shared" si="8"/>
        <v>1210000</v>
      </c>
      <c r="AK4" s="24">
        <f t="shared" si="9"/>
        <v>785.77726703273106</v>
      </c>
      <c r="AL4" s="25" t="str">
        <f>IF(ISNUMBER(AK4),IF(AK4&lt;=1,"memenuhi",IF(AK4&lt;=5,"ringan",IF(AK4&lt;=10,"sedang","berat"))),"")</f>
        <v>berat</v>
      </c>
    </row>
    <row r="5" spans="1:38" ht="16.5" x14ac:dyDescent="0.3">
      <c r="A5" s="13">
        <v>4</v>
      </c>
      <c r="B5" s="14" t="s">
        <v>23</v>
      </c>
      <c r="C5" s="27" t="s">
        <v>24</v>
      </c>
      <c r="D5" s="16">
        <v>43556</v>
      </c>
      <c r="E5" s="19">
        <v>23</v>
      </c>
      <c r="F5" s="18">
        <v>4.25</v>
      </c>
      <c r="G5" s="19">
        <v>2</v>
      </c>
      <c r="H5" s="19">
        <v>7</v>
      </c>
      <c r="I5" s="18">
        <v>0.78</v>
      </c>
      <c r="J5" s="20">
        <v>460000</v>
      </c>
      <c r="K5" s="20">
        <v>460000</v>
      </c>
      <c r="L5" s="3">
        <v>50</v>
      </c>
      <c r="M5" s="3">
        <v>4</v>
      </c>
      <c r="N5" s="3">
        <v>3</v>
      </c>
      <c r="O5" s="3">
        <v>25</v>
      </c>
      <c r="P5" s="3">
        <v>0.2</v>
      </c>
      <c r="Q5" s="3">
        <v>1000</v>
      </c>
      <c r="R5" s="3">
        <v>5000</v>
      </c>
      <c r="S5" s="4">
        <f t="shared" si="0"/>
        <v>0.46</v>
      </c>
      <c r="T5" s="4">
        <f t="shared" si="1"/>
        <v>0.22916666666666666</v>
      </c>
      <c r="U5" s="4">
        <f t="shared" si="2"/>
        <v>0.66666666666666663</v>
      </c>
      <c r="V5" s="4">
        <f t="shared" si="2"/>
        <v>0.28000000000000003</v>
      </c>
      <c r="W5" s="5">
        <f t="shared" si="2"/>
        <v>3.9</v>
      </c>
      <c r="X5" s="4">
        <f t="shared" si="2"/>
        <v>460</v>
      </c>
      <c r="Y5" s="4"/>
      <c r="Z5" s="6">
        <f t="shared" si="4"/>
        <v>-0.68621084159212953</v>
      </c>
      <c r="AA5" s="6">
        <f t="shared" si="3"/>
        <v>0.22916666666666666</v>
      </c>
      <c r="AB5" s="6">
        <f t="shared" si="5"/>
        <v>0.1195437047215937</v>
      </c>
      <c r="AC5" s="6">
        <f t="shared" si="5"/>
        <v>-1.7642098432889037</v>
      </c>
      <c r="AD5" s="6">
        <f t="shared" si="3"/>
        <v>3.9</v>
      </c>
      <c r="AE5" s="6">
        <f t="shared" si="3"/>
        <v>460</v>
      </c>
      <c r="AF5" s="6">
        <f t="shared" si="3"/>
        <v>0</v>
      </c>
      <c r="AG5" s="21">
        <f t="shared" si="6"/>
        <v>65.971184240929603</v>
      </c>
      <c r="AH5" s="22">
        <f t="shared" si="7"/>
        <v>460</v>
      </c>
      <c r="AI5" s="23">
        <f t="shared" si="8"/>
        <v>4352.1971501506787</v>
      </c>
      <c r="AJ5" s="23">
        <f t="shared" si="8"/>
        <v>211600</v>
      </c>
      <c r="AK5" s="24">
        <f t="shared" si="9"/>
        <v>328.59716763093888</v>
      </c>
      <c r="AL5" s="25" t="str">
        <f>IF(ISNUMBER(AK5),IF(AK5&lt;=1,"memenuhi",IF(AK5&lt;=5,"ringan",IF(AK5&lt;=10,"sedang","berat"))),"")</f>
        <v>berat</v>
      </c>
    </row>
    <row r="6" spans="1:38" ht="16.5" x14ac:dyDescent="0.3">
      <c r="A6" s="13">
        <v>5</v>
      </c>
      <c r="B6" s="14" t="s">
        <v>25</v>
      </c>
      <c r="C6" s="27" t="s">
        <v>26</v>
      </c>
      <c r="D6" s="16">
        <v>43556</v>
      </c>
      <c r="E6" s="19">
        <v>25</v>
      </c>
      <c r="F6" s="28">
        <v>1</v>
      </c>
      <c r="G6" s="17">
        <v>6</v>
      </c>
      <c r="H6" s="19">
        <v>23</v>
      </c>
      <c r="I6" s="18">
        <v>0.86</v>
      </c>
      <c r="J6" s="20">
        <v>1100000</v>
      </c>
      <c r="K6" s="20">
        <v>1100000</v>
      </c>
      <c r="L6" s="3">
        <v>50</v>
      </c>
      <c r="M6" s="3">
        <v>4</v>
      </c>
      <c r="N6" s="3">
        <v>3</v>
      </c>
      <c r="O6" s="3">
        <v>25</v>
      </c>
      <c r="P6" s="3">
        <v>0.2</v>
      </c>
      <c r="Q6" s="3">
        <v>1000</v>
      </c>
      <c r="R6" s="3">
        <v>5000</v>
      </c>
      <c r="S6" s="4">
        <f t="shared" si="0"/>
        <v>0.5</v>
      </c>
      <c r="T6" s="4">
        <f t="shared" si="1"/>
        <v>0.5</v>
      </c>
      <c r="U6" s="4">
        <f t="shared" si="2"/>
        <v>2</v>
      </c>
      <c r="V6" s="4">
        <f t="shared" si="2"/>
        <v>0.92</v>
      </c>
      <c r="W6" s="5">
        <f t="shared" si="2"/>
        <v>4.3</v>
      </c>
      <c r="X6" s="4">
        <f t="shared" si="2"/>
        <v>1100</v>
      </c>
      <c r="Y6" s="4"/>
      <c r="Z6" s="6">
        <f t="shared" si="4"/>
        <v>-0.50514997831990605</v>
      </c>
      <c r="AA6" s="6">
        <f t="shared" si="3"/>
        <v>0.5</v>
      </c>
      <c r="AB6" s="6">
        <f t="shared" si="5"/>
        <v>2.5051499783199063</v>
      </c>
      <c r="AC6" s="6">
        <f t="shared" si="5"/>
        <v>0.81893913672777641</v>
      </c>
      <c r="AD6" s="6">
        <f t="shared" si="3"/>
        <v>4.3</v>
      </c>
      <c r="AE6" s="6">
        <f t="shared" si="3"/>
        <v>1100</v>
      </c>
      <c r="AF6" s="6">
        <f t="shared" si="3"/>
        <v>0</v>
      </c>
      <c r="AG6" s="21">
        <f t="shared" si="6"/>
        <v>158.23127701953254</v>
      </c>
      <c r="AH6" s="22">
        <f t="shared" si="7"/>
        <v>1100</v>
      </c>
      <c r="AI6" s="23">
        <f t="shared" si="8"/>
        <v>25037.137027232046</v>
      </c>
      <c r="AJ6" s="23">
        <f t="shared" si="8"/>
        <v>1210000</v>
      </c>
      <c r="AK6" s="24">
        <f t="shared" si="9"/>
        <v>785.82349704855221</v>
      </c>
      <c r="AL6" s="25" t="str">
        <f>IF(ISNUMBER(AK6),IF(AK6&lt;=1,"memenuhi",IF(AK6&lt;=5,"ringan",IF(AK6&lt;=10,"sedang","berat"))),"")</f>
        <v>berat</v>
      </c>
    </row>
    <row r="7" spans="1:38" ht="16.5" x14ac:dyDescent="0.3">
      <c r="A7" s="13">
        <v>6</v>
      </c>
      <c r="B7" s="14" t="s">
        <v>27</v>
      </c>
      <c r="C7" s="27" t="s">
        <v>28</v>
      </c>
      <c r="D7" s="16">
        <v>43557</v>
      </c>
      <c r="E7" s="19">
        <v>20</v>
      </c>
      <c r="F7" s="28">
        <v>1.73</v>
      </c>
      <c r="G7" s="17">
        <v>19</v>
      </c>
      <c r="H7" s="17">
        <v>42</v>
      </c>
      <c r="I7" s="18">
        <v>0.94</v>
      </c>
      <c r="J7" s="20">
        <v>93000</v>
      </c>
      <c r="K7" s="20">
        <v>240000</v>
      </c>
      <c r="L7" s="3">
        <v>50</v>
      </c>
      <c r="M7" s="3">
        <v>4</v>
      </c>
      <c r="N7" s="3">
        <v>3</v>
      </c>
      <c r="O7" s="3">
        <v>25</v>
      </c>
      <c r="P7" s="3">
        <v>0.2</v>
      </c>
      <c r="Q7" s="3">
        <v>1000</v>
      </c>
      <c r="R7" s="3">
        <v>5000</v>
      </c>
      <c r="S7" s="4">
        <f t="shared" si="0"/>
        <v>0.4</v>
      </c>
      <c r="T7" s="4">
        <f t="shared" si="1"/>
        <v>0.43916666666666665</v>
      </c>
      <c r="U7" s="4">
        <f t="shared" si="2"/>
        <v>6.333333333333333</v>
      </c>
      <c r="V7" s="4">
        <f t="shared" si="2"/>
        <v>1.68</v>
      </c>
      <c r="W7" s="5">
        <f t="shared" si="2"/>
        <v>4.6999999999999993</v>
      </c>
      <c r="X7" s="4">
        <f t="shared" si="2"/>
        <v>93</v>
      </c>
      <c r="Y7" s="4"/>
      <c r="Z7" s="6">
        <f t="shared" si="4"/>
        <v>-0.98970004336018791</v>
      </c>
      <c r="AA7" s="6">
        <f t="shared" si="3"/>
        <v>0.43916666666666665</v>
      </c>
      <c r="AB7" s="6">
        <f t="shared" si="5"/>
        <v>5.0081617311658322</v>
      </c>
      <c r="AC7" s="6">
        <f t="shared" si="5"/>
        <v>2.1265464086293142</v>
      </c>
      <c r="AD7" s="6">
        <f t="shared" si="3"/>
        <v>4.6999999999999993</v>
      </c>
      <c r="AE7" s="6">
        <f t="shared" si="3"/>
        <v>93</v>
      </c>
      <c r="AF7" s="6">
        <f t="shared" si="3"/>
        <v>0</v>
      </c>
      <c r="AG7" s="21">
        <f t="shared" si="6"/>
        <v>14.897739251871659</v>
      </c>
      <c r="AH7" s="22">
        <f t="shared" si="7"/>
        <v>93</v>
      </c>
      <c r="AI7" s="23">
        <f t="shared" si="8"/>
        <v>221.94263481675753</v>
      </c>
      <c r="AJ7" s="23">
        <f t="shared" si="8"/>
        <v>8649</v>
      </c>
      <c r="AK7" s="24">
        <f t="shared" si="9"/>
        <v>66.59933421144973</v>
      </c>
      <c r="AL7" s="25" t="str">
        <f t="shared" ref="AL7:AL46" si="10">IF(ISNUMBER(AK7),IF(AK7&lt;=1,"memenuhi",IF(AK7&lt;=5,"ringan",IF(AK7&lt;=10,"sedang","berat"))),"")</f>
        <v>berat</v>
      </c>
    </row>
    <row r="8" spans="1:38" ht="16.5" x14ac:dyDescent="0.3">
      <c r="A8" s="13">
        <v>7</v>
      </c>
      <c r="B8" s="14" t="s">
        <v>29</v>
      </c>
      <c r="C8" s="27" t="s">
        <v>30</v>
      </c>
      <c r="D8" s="16">
        <v>43559</v>
      </c>
      <c r="E8" s="19">
        <v>26</v>
      </c>
      <c r="F8" s="18">
        <v>5.38</v>
      </c>
      <c r="G8" s="17">
        <v>6</v>
      </c>
      <c r="H8" s="17">
        <v>29</v>
      </c>
      <c r="I8" s="18">
        <v>0.48</v>
      </c>
      <c r="J8" s="20">
        <v>1100000</v>
      </c>
      <c r="K8" s="20">
        <v>1100000</v>
      </c>
      <c r="L8" s="3">
        <v>50</v>
      </c>
      <c r="M8" s="3">
        <v>4</v>
      </c>
      <c r="N8" s="3">
        <v>3</v>
      </c>
      <c r="O8" s="3">
        <v>25</v>
      </c>
      <c r="P8" s="3">
        <v>0.2</v>
      </c>
      <c r="Q8" s="3">
        <v>1000</v>
      </c>
      <c r="R8" s="3">
        <v>5000</v>
      </c>
      <c r="S8" s="4">
        <f t="shared" si="0"/>
        <v>0.52</v>
      </c>
      <c r="T8" s="4">
        <f t="shared" si="1"/>
        <v>0.13500000000000001</v>
      </c>
      <c r="U8" s="4">
        <f t="shared" si="2"/>
        <v>2</v>
      </c>
      <c r="V8" s="4">
        <f t="shared" si="2"/>
        <v>1.1599999999999999</v>
      </c>
      <c r="W8" s="5">
        <f t="shared" si="2"/>
        <v>2.4</v>
      </c>
      <c r="X8" s="4">
        <f t="shared" si="2"/>
        <v>1100</v>
      </c>
      <c r="Y8" s="4"/>
      <c r="Z8" s="6">
        <f t="shared" si="4"/>
        <v>-0.41998328182600408</v>
      </c>
      <c r="AA8" s="6">
        <f t="shared" si="3"/>
        <v>0.13500000000000001</v>
      </c>
      <c r="AB8" s="6">
        <f t="shared" si="5"/>
        <v>2.5051499783199063</v>
      </c>
      <c r="AC8" s="6">
        <f t="shared" si="5"/>
        <v>1.3222899461345923</v>
      </c>
      <c r="AD8" s="6">
        <f t="shared" si="3"/>
        <v>2.4</v>
      </c>
      <c r="AE8" s="6">
        <f t="shared" si="3"/>
        <v>1100</v>
      </c>
      <c r="AF8" s="6">
        <f t="shared" si="3"/>
        <v>0</v>
      </c>
      <c r="AG8" s="21">
        <f t="shared" si="6"/>
        <v>157.9917795203755</v>
      </c>
      <c r="AH8" s="22">
        <f t="shared" si="7"/>
        <v>1100</v>
      </c>
      <c r="AI8" s="23">
        <f t="shared" si="8"/>
        <v>24961.402396014942</v>
      </c>
      <c r="AJ8" s="23">
        <f t="shared" si="8"/>
        <v>1210000</v>
      </c>
      <c r="AK8" s="24">
        <f t="shared" si="9"/>
        <v>785.79940264548907</v>
      </c>
      <c r="AL8" s="25" t="str">
        <f t="shared" si="10"/>
        <v>berat</v>
      </c>
    </row>
    <row r="9" spans="1:38" ht="16.5" x14ac:dyDescent="0.3">
      <c r="A9" s="13">
        <v>8</v>
      </c>
      <c r="B9" s="14" t="s">
        <v>31</v>
      </c>
      <c r="C9" s="27" t="s">
        <v>32</v>
      </c>
      <c r="D9" s="16">
        <v>43559</v>
      </c>
      <c r="E9" s="19">
        <v>21</v>
      </c>
      <c r="F9" s="28">
        <v>2.1</v>
      </c>
      <c r="G9" s="17">
        <v>24</v>
      </c>
      <c r="H9" s="17">
        <v>60</v>
      </c>
      <c r="I9" s="18">
        <v>0.93</v>
      </c>
      <c r="J9" s="20">
        <v>1100000</v>
      </c>
      <c r="K9" s="20">
        <v>1100000</v>
      </c>
      <c r="L9" s="3">
        <v>50</v>
      </c>
      <c r="M9" s="3">
        <v>4</v>
      </c>
      <c r="N9" s="3">
        <v>3</v>
      </c>
      <c r="O9" s="3">
        <v>25</v>
      </c>
      <c r="P9" s="3">
        <v>0.2</v>
      </c>
      <c r="Q9" s="3">
        <v>1000</v>
      </c>
      <c r="R9" s="3">
        <v>5000</v>
      </c>
      <c r="S9" s="4">
        <f t="shared" si="0"/>
        <v>0.42</v>
      </c>
      <c r="T9" s="4">
        <f t="shared" si="1"/>
        <v>0.40833333333333338</v>
      </c>
      <c r="U9" s="4">
        <f t="shared" si="2"/>
        <v>8</v>
      </c>
      <c r="V9" s="4">
        <f t="shared" si="2"/>
        <v>2.4</v>
      </c>
      <c r="W9" s="5">
        <f t="shared" si="2"/>
        <v>4.6500000000000004</v>
      </c>
      <c r="X9" s="4">
        <f t="shared" si="2"/>
        <v>1100</v>
      </c>
      <c r="Y9" s="4"/>
      <c r="Z9" s="6">
        <f t="shared" si="4"/>
        <v>-0.88375354801049788</v>
      </c>
      <c r="AA9" s="6">
        <f t="shared" si="3"/>
        <v>0.40833333333333338</v>
      </c>
      <c r="AB9" s="6">
        <f t="shared" si="5"/>
        <v>5.5154499349597179</v>
      </c>
      <c r="AC9" s="6">
        <f t="shared" si="5"/>
        <v>2.90105620855803</v>
      </c>
      <c r="AD9" s="6">
        <f t="shared" si="3"/>
        <v>4.6500000000000004</v>
      </c>
      <c r="AE9" s="6">
        <f t="shared" si="3"/>
        <v>1100</v>
      </c>
      <c r="AF9" s="6">
        <f t="shared" si="3"/>
        <v>0</v>
      </c>
      <c r="AG9" s="21">
        <f t="shared" si="6"/>
        <v>158.94158370412009</v>
      </c>
      <c r="AH9" s="22">
        <f t="shared" si="7"/>
        <v>1100</v>
      </c>
      <c r="AI9" s="23">
        <f t="shared" si="8"/>
        <v>25262.427030373812</v>
      </c>
      <c r="AJ9" s="23">
        <f t="shared" si="8"/>
        <v>1210000</v>
      </c>
      <c r="AK9" s="24">
        <f t="shared" si="9"/>
        <v>785.89516700078195</v>
      </c>
      <c r="AL9" s="25" t="str">
        <f t="shared" si="10"/>
        <v>berat</v>
      </c>
    </row>
    <row r="10" spans="1:38" ht="16.5" x14ac:dyDescent="0.3">
      <c r="A10" s="13">
        <v>9</v>
      </c>
      <c r="B10" s="14" t="s">
        <v>33</v>
      </c>
      <c r="C10" s="27" t="s">
        <v>34</v>
      </c>
      <c r="D10" s="16">
        <v>43560</v>
      </c>
      <c r="E10" s="19">
        <v>32</v>
      </c>
      <c r="F10" s="28">
        <v>2.27</v>
      </c>
      <c r="G10" s="17">
        <v>46</v>
      </c>
      <c r="H10" s="17">
        <v>122</v>
      </c>
      <c r="I10" s="18">
        <v>1.08</v>
      </c>
      <c r="J10" s="20">
        <v>1100000</v>
      </c>
      <c r="K10" s="20">
        <v>1100000</v>
      </c>
      <c r="L10" s="3">
        <v>50</v>
      </c>
      <c r="M10" s="3">
        <v>4</v>
      </c>
      <c r="N10" s="3">
        <v>3</v>
      </c>
      <c r="O10" s="3">
        <v>25</v>
      </c>
      <c r="P10" s="3">
        <v>0.2</v>
      </c>
      <c r="Q10" s="3">
        <v>1000</v>
      </c>
      <c r="R10" s="3">
        <v>5000</v>
      </c>
      <c r="S10" s="4">
        <f t="shared" si="0"/>
        <v>0.64</v>
      </c>
      <c r="T10" s="4">
        <f t="shared" si="1"/>
        <v>0.39416666666666672</v>
      </c>
      <c r="U10" s="4">
        <f t="shared" si="2"/>
        <v>15.333333333333334</v>
      </c>
      <c r="V10" s="4">
        <f t="shared" si="2"/>
        <v>4.88</v>
      </c>
      <c r="W10" s="5">
        <f t="shared" si="2"/>
        <v>5.4</v>
      </c>
      <c r="X10" s="4">
        <f t="shared" si="2"/>
        <v>1100</v>
      </c>
      <c r="Y10" s="4"/>
      <c r="Z10" s="6">
        <f t="shared" si="4"/>
        <v>3.0899869919435941E-2</v>
      </c>
      <c r="AA10" s="6">
        <f t="shared" si="3"/>
        <v>0.39416666666666672</v>
      </c>
      <c r="AB10" s="6">
        <f t="shared" si="5"/>
        <v>6.9281828848095586</v>
      </c>
      <c r="AC10" s="6">
        <f t="shared" si="5"/>
        <v>4.4420991100135527</v>
      </c>
      <c r="AD10" s="6">
        <f t="shared" si="3"/>
        <v>5.4</v>
      </c>
      <c r="AE10" s="6">
        <f t="shared" si="3"/>
        <v>1100</v>
      </c>
      <c r="AF10" s="6">
        <f t="shared" si="3"/>
        <v>0</v>
      </c>
      <c r="AG10" s="21">
        <f t="shared" si="6"/>
        <v>159.59933550448704</v>
      </c>
      <c r="AH10" s="22">
        <f t="shared" si="7"/>
        <v>1100</v>
      </c>
      <c r="AI10" s="23">
        <f t="shared" si="8"/>
        <v>25471.947893473818</v>
      </c>
      <c r="AJ10" s="23">
        <f t="shared" si="8"/>
        <v>1210000</v>
      </c>
      <c r="AK10" s="24">
        <f t="shared" si="9"/>
        <v>785.96181456018394</v>
      </c>
      <c r="AL10" s="25" t="str">
        <f t="shared" si="10"/>
        <v>berat</v>
      </c>
    </row>
    <row r="11" spans="1:38" ht="16.5" x14ac:dyDescent="0.3">
      <c r="A11" s="13">
        <v>10</v>
      </c>
      <c r="B11" s="14" t="s">
        <v>35</v>
      </c>
      <c r="C11" s="27" t="s">
        <v>36</v>
      </c>
      <c r="D11" s="16">
        <v>43559</v>
      </c>
      <c r="E11" s="17">
        <v>82</v>
      </c>
      <c r="F11" s="18">
        <v>4.87</v>
      </c>
      <c r="G11" s="17">
        <v>19</v>
      </c>
      <c r="H11" s="17">
        <v>39</v>
      </c>
      <c r="I11" s="18">
        <v>0.51</v>
      </c>
      <c r="J11" s="20">
        <v>1100000</v>
      </c>
      <c r="K11" s="20">
        <v>1100000</v>
      </c>
      <c r="L11" s="3">
        <v>50</v>
      </c>
      <c r="M11" s="3">
        <v>4</v>
      </c>
      <c r="N11" s="3">
        <v>3</v>
      </c>
      <c r="O11" s="3">
        <v>25</v>
      </c>
      <c r="P11" s="3">
        <v>0.2</v>
      </c>
      <c r="Q11" s="3">
        <v>1000</v>
      </c>
      <c r="R11" s="3">
        <v>5000</v>
      </c>
      <c r="S11" s="4">
        <f t="shared" si="0"/>
        <v>1.64</v>
      </c>
      <c r="T11" s="4">
        <f t="shared" si="1"/>
        <v>0.17749999999999999</v>
      </c>
      <c r="U11" s="4">
        <f t="shared" si="2"/>
        <v>6.333333333333333</v>
      </c>
      <c r="V11" s="4">
        <f t="shared" si="2"/>
        <v>1.56</v>
      </c>
      <c r="W11" s="5">
        <f t="shared" si="2"/>
        <v>2.5499999999999998</v>
      </c>
      <c r="X11" s="4">
        <f t="shared" si="2"/>
        <v>1100</v>
      </c>
      <c r="Y11" s="4"/>
      <c r="Z11" s="6">
        <f t="shared" si="4"/>
        <v>2.0742192402384894</v>
      </c>
      <c r="AA11" s="6">
        <f t="shared" si="3"/>
        <v>0.17749999999999999</v>
      </c>
      <c r="AB11" s="6">
        <f t="shared" si="5"/>
        <v>5.0081617311658322</v>
      </c>
      <c r="AC11" s="6">
        <f t="shared" si="5"/>
        <v>1.965622991772308</v>
      </c>
      <c r="AD11" s="6">
        <f t="shared" si="3"/>
        <v>2.5499999999999998</v>
      </c>
      <c r="AE11" s="6">
        <f t="shared" si="3"/>
        <v>1100</v>
      </c>
      <c r="AF11" s="6">
        <f t="shared" si="3"/>
        <v>0</v>
      </c>
      <c r="AG11" s="21">
        <f t="shared" si="6"/>
        <v>158.82507199473952</v>
      </c>
      <c r="AH11" s="22">
        <f t="shared" si="7"/>
        <v>1100</v>
      </c>
      <c r="AI11" s="23">
        <f t="shared" si="8"/>
        <v>25225.403494134192</v>
      </c>
      <c r="AJ11" s="23">
        <f t="shared" si="8"/>
        <v>1210000</v>
      </c>
      <c r="AK11" s="24">
        <f t="shared" si="9"/>
        <v>785.88338940778419</v>
      </c>
      <c r="AL11" s="25" t="str">
        <f t="shared" si="10"/>
        <v>berat</v>
      </c>
    </row>
    <row r="12" spans="1:38" ht="16.5" x14ac:dyDescent="0.3">
      <c r="A12" s="13">
        <v>11</v>
      </c>
      <c r="B12" s="14" t="s">
        <v>37</v>
      </c>
      <c r="C12" s="27" t="s">
        <v>38</v>
      </c>
      <c r="D12" s="16">
        <v>43559</v>
      </c>
      <c r="E12" s="19">
        <v>20</v>
      </c>
      <c r="F12" s="28">
        <v>2.67</v>
      </c>
      <c r="G12" s="17">
        <v>57</v>
      </c>
      <c r="H12" s="17">
        <v>104</v>
      </c>
      <c r="I12" s="18">
        <v>0.39</v>
      </c>
      <c r="J12" s="20">
        <v>1100000</v>
      </c>
      <c r="K12" s="20">
        <v>1100000</v>
      </c>
      <c r="L12" s="3">
        <v>50</v>
      </c>
      <c r="M12" s="3">
        <v>4</v>
      </c>
      <c r="N12" s="3">
        <v>3</v>
      </c>
      <c r="O12" s="3">
        <v>25</v>
      </c>
      <c r="P12" s="3">
        <v>0.2</v>
      </c>
      <c r="Q12" s="3">
        <v>1000</v>
      </c>
      <c r="R12" s="3">
        <v>5000</v>
      </c>
      <c r="S12" s="4">
        <f t="shared" si="0"/>
        <v>0.4</v>
      </c>
      <c r="T12" s="4">
        <f t="shared" si="1"/>
        <v>0.36083333333333334</v>
      </c>
      <c r="U12" s="4">
        <f t="shared" si="2"/>
        <v>19</v>
      </c>
      <c r="V12" s="4">
        <f t="shared" si="2"/>
        <v>4.16</v>
      </c>
      <c r="W12" s="5">
        <f t="shared" si="2"/>
        <v>1.95</v>
      </c>
      <c r="X12" s="4">
        <f t="shared" si="2"/>
        <v>1100</v>
      </c>
      <c r="Y12" s="4"/>
      <c r="Z12" s="6">
        <f t="shared" si="4"/>
        <v>-0.98970004336018791</v>
      </c>
      <c r="AA12" s="6">
        <f t="shared" si="3"/>
        <v>0.36083333333333334</v>
      </c>
      <c r="AB12" s="6">
        <f t="shared" si="5"/>
        <v>7.3937680047641443</v>
      </c>
      <c r="AC12" s="6">
        <f t="shared" si="5"/>
        <v>4.0954666531337143</v>
      </c>
      <c r="AD12" s="6">
        <f t="shared" si="3"/>
        <v>1.95</v>
      </c>
      <c r="AE12" s="6">
        <f t="shared" si="3"/>
        <v>1100</v>
      </c>
      <c r="AF12" s="6">
        <f t="shared" si="3"/>
        <v>0</v>
      </c>
      <c r="AG12" s="21">
        <f t="shared" si="6"/>
        <v>158.97290970683872</v>
      </c>
      <c r="AH12" s="22">
        <f t="shared" si="7"/>
        <v>1100</v>
      </c>
      <c r="AI12" s="23">
        <f t="shared" si="8"/>
        <v>25272.386020658698</v>
      </c>
      <c r="AJ12" s="23">
        <f t="shared" si="8"/>
        <v>1210000</v>
      </c>
      <c r="AK12" s="24">
        <f t="shared" si="9"/>
        <v>785.89833503471004</v>
      </c>
      <c r="AL12" s="25" t="str">
        <f t="shared" si="10"/>
        <v>berat</v>
      </c>
    </row>
    <row r="13" spans="1:38" ht="16.5" x14ac:dyDescent="0.3">
      <c r="A13" s="13">
        <v>12</v>
      </c>
      <c r="B13" s="14" t="s">
        <v>39</v>
      </c>
      <c r="C13" s="27" t="s">
        <v>40</v>
      </c>
      <c r="D13" s="16">
        <v>43557</v>
      </c>
      <c r="E13" s="19">
        <v>35</v>
      </c>
      <c r="F13" s="28">
        <v>1</v>
      </c>
      <c r="G13" s="17">
        <v>129</v>
      </c>
      <c r="H13" s="17">
        <v>228</v>
      </c>
      <c r="I13" s="18">
        <v>3.65</v>
      </c>
      <c r="J13" s="20">
        <v>1100000</v>
      </c>
      <c r="K13" s="20">
        <v>1100000</v>
      </c>
      <c r="L13" s="3">
        <v>50</v>
      </c>
      <c r="M13" s="3">
        <v>4</v>
      </c>
      <c r="N13" s="3">
        <v>3</v>
      </c>
      <c r="O13" s="3">
        <v>25</v>
      </c>
      <c r="P13" s="3">
        <v>0.2</v>
      </c>
      <c r="Q13" s="3">
        <v>1000</v>
      </c>
      <c r="R13" s="3">
        <v>5000</v>
      </c>
      <c r="S13" s="4">
        <f t="shared" si="0"/>
        <v>0.7</v>
      </c>
      <c r="T13" s="4">
        <f t="shared" si="1"/>
        <v>0.5</v>
      </c>
      <c r="U13" s="4">
        <f t="shared" si="2"/>
        <v>43</v>
      </c>
      <c r="V13" s="4">
        <f t="shared" si="2"/>
        <v>9.1199999999999992</v>
      </c>
      <c r="W13" s="5">
        <f t="shared" si="2"/>
        <v>18.25</v>
      </c>
      <c r="X13" s="4">
        <f t="shared" si="2"/>
        <v>1100</v>
      </c>
      <c r="Y13" s="4"/>
      <c r="Z13" s="6">
        <f t="shared" si="4"/>
        <v>0.22549020007128406</v>
      </c>
      <c r="AA13" s="6">
        <f t="shared" si="3"/>
        <v>0.5</v>
      </c>
      <c r="AB13" s="6">
        <f t="shared" si="5"/>
        <v>9.1673422778979319</v>
      </c>
      <c r="AC13" s="6">
        <f t="shared" si="5"/>
        <v>5.7999741916420806</v>
      </c>
      <c r="AD13" s="6">
        <f t="shared" si="3"/>
        <v>18.25</v>
      </c>
      <c r="AE13" s="6">
        <f t="shared" si="3"/>
        <v>1100</v>
      </c>
      <c r="AF13" s="6">
        <f t="shared" si="3"/>
        <v>0</v>
      </c>
      <c r="AG13" s="21">
        <f t="shared" si="6"/>
        <v>161.99182952423021</v>
      </c>
      <c r="AH13" s="22">
        <f t="shared" si="7"/>
        <v>1100</v>
      </c>
      <c r="AI13" s="23">
        <f t="shared" si="8"/>
        <v>26241.352832607263</v>
      </c>
      <c r="AJ13" s="23">
        <f t="shared" si="8"/>
        <v>1210000</v>
      </c>
      <c r="AK13" s="24">
        <f t="shared" si="9"/>
        <v>786.20651003174964</v>
      </c>
      <c r="AL13" s="25" t="str">
        <f t="shared" si="10"/>
        <v>berat</v>
      </c>
    </row>
    <row r="14" spans="1:38" ht="16.5" x14ac:dyDescent="0.3">
      <c r="A14" s="13">
        <v>13</v>
      </c>
      <c r="B14" s="14" t="s">
        <v>41</v>
      </c>
      <c r="C14" s="27" t="s">
        <v>42</v>
      </c>
      <c r="D14" s="16">
        <v>43556</v>
      </c>
      <c r="E14" s="19">
        <v>15</v>
      </c>
      <c r="F14" s="18">
        <v>5.74</v>
      </c>
      <c r="G14" s="17">
        <v>7</v>
      </c>
      <c r="H14" s="17">
        <v>26</v>
      </c>
      <c r="I14" s="18">
        <v>0.48</v>
      </c>
      <c r="J14" s="20">
        <v>460000</v>
      </c>
      <c r="K14" s="20">
        <v>460000</v>
      </c>
      <c r="L14" s="3">
        <v>50</v>
      </c>
      <c r="M14" s="3">
        <v>4</v>
      </c>
      <c r="N14" s="3">
        <v>3</v>
      </c>
      <c r="O14" s="3">
        <v>25</v>
      </c>
      <c r="P14" s="3">
        <v>0.2</v>
      </c>
      <c r="Q14" s="3">
        <v>1000</v>
      </c>
      <c r="R14" s="3">
        <v>5000</v>
      </c>
      <c r="S14" s="4">
        <f t="shared" si="0"/>
        <v>0.3</v>
      </c>
      <c r="T14" s="4">
        <f t="shared" si="1"/>
        <v>0.10499999999999998</v>
      </c>
      <c r="U14" s="4">
        <f t="shared" si="2"/>
        <v>2.3333333333333335</v>
      </c>
      <c r="V14" s="4">
        <f t="shared" si="2"/>
        <v>1.04</v>
      </c>
      <c r="W14" s="5">
        <f t="shared" si="2"/>
        <v>2.4</v>
      </c>
      <c r="X14" s="4">
        <f t="shared" si="2"/>
        <v>460</v>
      </c>
      <c r="Y14" s="4"/>
      <c r="Z14" s="6">
        <f t="shared" si="4"/>
        <v>-1.6143937264016879</v>
      </c>
      <c r="AA14" s="6">
        <f t="shared" si="3"/>
        <v>0.10499999999999998</v>
      </c>
      <c r="AB14" s="6">
        <f t="shared" si="5"/>
        <v>2.8398839264729721</v>
      </c>
      <c r="AC14" s="6">
        <f t="shared" si="5"/>
        <v>1.0851666964939017</v>
      </c>
      <c r="AD14" s="6">
        <f t="shared" si="3"/>
        <v>2.4</v>
      </c>
      <c r="AE14" s="6">
        <f t="shared" si="3"/>
        <v>460</v>
      </c>
      <c r="AF14" s="6">
        <f t="shared" si="3"/>
        <v>0</v>
      </c>
      <c r="AG14" s="21">
        <f t="shared" si="6"/>
        <v>66.402236699509317</v>
      </c>
      <c r="AH14" s="22">
        <f t="shared" si="7"/>
        <v>460</v>
      </c>
      <c r="AI14" s="23">
        <f t="shared" si="8"/>
        <v>4409.2570386976622</v>
      </c>
      <c r="AJ14" s="23">
        <f t="shared" si="8"/>
        <v>211600</v>
      </c>
      <c r="AK14" s="24">
        <f t="shared" si="9"/>
        <v>328.64057649558254</v>
      </c>
      <c r="AL14" s="25" t="str">
        <f t="shared" si="10"/>
        <v>berat</v>
      </c>
    </row>
    <row r="15" spans="1:38" ht="16.5" x14ac:dyDescent="0.3">
      <c r="A15" s="13">
        <v>14</v>
      </c>
      <c r="B15" s="14" t="s">
        <v>43</v>
      </c>
      <c r="C15" s="27" t="s">
        <v>44</v>
      </c>
      <c r="D15" s="16">
        <v>43557</v>
      </c>
      <c r="E15" s="17">
        <v>72</v>
      </c>
      <c r="F15" s="28">
        <v>3.31</v>
      </c>
      <c r="G15" s="17">
        <v>50</v>
      </c>
      <c r="H15" s="17">
        <v>84</v>
      </c>
      <c r="I15" s="18">
        <v>0.44</v>
      </c>
      <c r="J15" s="20">
        <v>240000</v>
      </c>
      <c r="K15" s="20">
        <v>240000</v>
      </c>
      <c r="L15" s="3">
        <v>50</v>
      </c>
      <c r="M15" s="3">
        <v>4</v>
      </c>
      <c r="N15" s="3">
        <v>3</v>
      </c>
      <c r="O15" s="3">
        <v>25</v>
      </c>
      <c r="P15" s="3">
        <v>0.2</v>
      </c>
      <c r="Q15" s="3">
        <v>1000</v>
      </c>
      <c r="R15" s="3">
        <v>5000</v>
      </c>
      <c r="S15" s="4">
        <f t="shared" si="0"/>
        <v>1.44</v>
      </c>
      <c r="T15" s="4">
        <f t="shared" si="1"/>
        <v>0.3075</v>
      </c>
      <c r="U15" s="4">
        <f t="shared" si="2"/>
        <v>16.666666666666668</v>
      </c>
      <c r="V15" s="4">
        <f t="shared" si="2"/>
        <v>3.36</v>
      </c>
      <c r="W15" s="5">
        <f t="shared" si="2"/>
        <v>2.1999999999999997</v>
      </c>
      <c r="X15" s="4">
        <f t="shared" si="2"/>
        <v>240</v>
      </c>
      <c r="Y15" s="4"/>
      <c r="Z15" s="6">
        <f t="shared" si="4"/>
        <v>1.7918124604762482</v>
      </c>
      <c r="AA15" s="6">
        <f t="shared" si="3"/>
        <v>0.3075</v>
      </c>
      <c r="AB15" s="6">
        <f t="shared" si="3"/>
        <v>16.666666666666668</v>
      </c>
      <c r="AC15" s="6">
        <f>1+(5*(LOG10(H15/O15)))</f>
        <v>3.63169638694922</v>
      </c>
      <c r="AD15" s="6">
        <f t="shared" si="3"/>
        <v>2.1999999999999997</v>
      </c>
      <c r="AE15" s="6">
        <f t="shared" si="3"/>
        <v>240</v>
      </c>
      <c r="AF15" s="6">
        <f t="shared" si="3"/>
        <v>0</v>
      </c>
      <c r="AG15" s="21">
        <f t="shared" si="6"/>
        <v>37.79966793058459</v>
      </c>
      <c r="AH15" s="22">
        <f t="shared" si="7"/>
        <v>240</v>
      </c>
      <c r="AI15" s="23">
        <f t="shared" si="8"/>
        <v>1428.814895662465</v>
      </c>
      <c r="AJ15" s="23">
        <f t="shared" si="8"/>
        <v>57600</v>
      </c>
      <c r="AK15" s="24">
        <f t="shared" si="9"/>
        <v>171.79757695564635</v>
      </c>
      <c r="AL15" s="25" t="str">
        <f t="shared" si="10"/>
        <v>berat</v>
      </c>
    </row>
    <row r="16" spans="1:38" ht="16.5" x14ac:dyDescent="0.3">
      <c r="A16" s="13">
        <v>15</v>
      </c>
      <c r="B16" s="14" t="s">
        <v>45</v>
      </c>
      <c r="C16" s="27" t="s">
        <v>46</v>
      </c>
      <c r="D16" s="16">
        <v>43557</v>
      </c>
      <c r="E16" s="19">
        <v>38</v>
      </c>
      <c r="F16" s="28">
        <v>3.3</v>
      </c>
      <c r="G16" s="19">
        <v>24</v>
      </c>
      <c r="H16" s="17">
        <v>50</v>
      </c>
      <c r="I16" s="18">
        <v>0.82</v>
      </c>
      <c r="J16" s="20">
        <v>460000</v>
      </c>
      <c r="K16" s="20">
        <v>460000</v>
      </c>
      <c r="L16" s="3">
        <v>50</v>
      </c>
      <c r="M16" s="3">
        <v>4</v>
      </c>
      <c r="N16" s="3">
        <v>3</v>
      </c>
      <c r="O16" s="3">
        <v>25</v>
      </c>
      <c r="P16" s="3">
        <v>0.2</v>
      </c>
      <c r="Q16" s="3">
        <v>1000</v>
      </c>
      <c r="R16" s="3">
        <v>5000</v>
      </c>
      <c r="S16" s="4">
        <f t="shared" si="0"/>
        <v>0.76</v>
      </c>
      <c r="T16" s="4">
        <f t="shared" si="1"/>
        <v>0.30833333333333335</v>
      </c>
      <c r="U16" s="4">
        <f t="shared" si="2"/>
        <v>8</v>
      </c>
      <c r="V16" s="4">
        <f t="shared" si="2"/>
        <v>2</v>
      </c>
      <c r="W16" s="5">
        <f t="shared" si="2"/>
        <v>4.0999999999999996</v>
      </c>
      <c r="X16" s="4">
        <f t="shared" si="2"/>
        <v>460</v>
      </c>
      <c r="Y16" s="4"/>
      <c r="Z16" s="6">
        <f t="shared" si="4"/>
        <v>0.40406796140395673</v>
      </c>
      <c r="AA16" s="6">
        <f t="shared" si="3"/>
        <v>0.30833333333333335</v>
      </c>
      <c r="AB16" s="6">
        <f>1+(5*(LOG10(G16/N16)))</f>
        <v>5.5154499349597179</v>
      </c>
      <c r="AC16" s="6">
        <f>1+(5*(LOG10(H16/O16)))</f>
        <v>2.5051499783199063</v>
      </c>
      <c r="AD16" s="6">
        <f t="shared" si="3"/>
        <v>4.0999999999999996</v>
      </c>
      <c r="AE16" s="6">
        <f t="shared" si="3"/>
        <v>460</v>
      </c>
      <c r="AF16" s="6">
        <f t="shared" si="3"/>
        <v>0</v>
      </c>
      <c r="AG16" s="21">
        <f t="shared" si="6"/>
        <v>67.547571601145279</v>
      </c>
      <c r="AH16" s="22">
        <f t="shared" si="7"/>
        <v>460</v>
      </c>
      <c r="AI16" s="23">
        <f t="shared" si="8"/>
        <v>4562.6744292118483</v>
      </c>
      <c r="AJ16" s="23">
        <f t="shared" si="8"/>
        <v>211600</v>
      </c>
      <c r="AK16" s="24">
        <f t="shared" si="9"/>
        <v>328.75726184315067</v>
      </c>
      <c r="AL16" s="25" t="str">
        <f>IF(ISNUMBER(AK16),IF(AK16&lt;=1,"memenuhi",IF(AK16&lt;=5,"ringan",IF(AK16&lt;=10,"sedang","berat"))),"")</f>
        <v>berat</v>
      </c>
    </row>
    <row r="17" spans="1:38" ht="16.5" x14ac:dyDescent="0.3">
      <c r="A17" s="13">
        <v>16</v>
      </c>
      <c r="B17" s="14" t="s">
        <v>17</v>
      </c>
      <c r="C17" s="27" t="s">
        <v>18</v>
      </c>
      <c r="D17" s="16">
        <v>43656</v>
      </c>
      <c r="E17" s="17">
        <v>76</v>
      </c>
      <c r="F17" s="18">
        <v>7.36</v>
      </c>
      <c r="G17" s="17">
        <v>5</v>
      </c>
      <c r="H17" s="19">
        <v>16</v>
      </c>
      <c r="I17" s="28">
        <v>0.16</v>
      </c>
      <c r="J17" s="19">
        <v>310</v>
      </c>
      <c r="K17" s="20">
        <v>341000</v>
      </c>
      <c r="L17" s="3">
        <v>50</v>
      </c>
      <c r="M17" s="3">
        <v>4</v>
      </c>
      <c r="N17" s="3">
        <v>3</v>
      </c>
      <c r="O17" s="3">
        <v>25</v>
      </c>
      <c r="P17" s="3">
        <v>0.2</v>
      </c>
      <c r="Q17" s="3">
        <v>1000</v>
      </c>
      <c r="R17" s="3">
        <v>5000</v>
      </c>
      <c r="S17" s="4">
        <f t="shared" ref="S17:S31" si="11">E17/L17</f>
        <v>1.52</v>
      </c>
      <c r="T17" s="4">
        <f t="shared" ref="T17:T31" si="12">((7-F17)/(7-M17))/M17</f>
        <v>-3.0000000000000027E-2</v>
      </c>
      <c r="U17" s="4">
        <f t="shared" ref="U17:X31" si="13">G17/N17</f>
        <v>1.6666666666666667</v>
      </c>
      <c r="V17" s="4">
        <f t="shared" si="13"/>
        <v>0.64</v>
      </c>
      <c r="W17" s="5">
        <f t="shared" si="13"/>
        <v>0.79999999999999993</v>
      </c>
      <c r="X17" s="4">
        <f t="shared" si="13"/>
        <v>0.31</v>
      </c>
      <c r="Y17" s="4"/>
      <c r="Z17" s="6">
        <f>1+(5*(LOG10(E17/L17)))</f>
        <v>1.9092179397238627</v>
      </c>
      <c r="AA17" s="6">
        <f>1+(5*(LOG10(F17/M17)))</f>
        <v>2.3240891150476823</v>
      </c>
      <c r="AB17" s="6">
        <f t="shared" ref="AB17:AF31" si="14">U17</f>
        <v>1.6666666666666667</v>
      </c>
      <c r="AC17" s="6">
        <f t="shared" si="14"/>
        <v>0.64</v>
      </c>
      <c r="AD17" s="6">
        <f t="shared" si="14"/>
        <v>0.79999999999999993</v>
      </c>
      <c r="AE17" s="6">
        <f t="shared" si="14"/>
        <v>0.31</v>
      </c>
      <c r="AF17" s="6">
        <f t="shared" si="14"/>
        <v>0</v>
      </c>
      <c r="AG17" s="21">
        <f t="shared" ref="AG17:AG31" si="15">AVERAGE(Z17:AF17)</f>
        <v>1.0928533887768874</v>
      </c>
      <c r="AH17" s="22">
        <f t="shared" ref="AH17:AH31" si="16">MAX(Z17:AG17)</f>
        <v>2.3240891150476823</v>
      </c>
      <c r="AI17" s="23">
        <f t="shared" ref="AI17:AJ31" si="17">POWER(AG17,2)</f>
        <v>1.1943285293611265</v>
      </c>
      <c r="AJ17" s="23">
        <f t="shared" si="17"/>
        <v>5.4013902146831194</v>
      </c>
      <c r="AK17" s="24">
        <f t="shared" ref="AK17:AK31" si="18">SQRT((AI17+AJ17)/2)</f>
        <v>1.8160009284199508</v>
      </c>
      <c r="AL17" s="25" t="str">
        <f t="shared" ref="AL17:AL31" si="19">IF(ISNUMBER(AK17),IF(AK17&lt;=1,"memenuhi",IF(AK17&lt;=5,"ringan",IF(AK17&lt;=10,"sedang","berat"))),"")</f>
        <v>ringan</v>
      </c>
    </row>
    <row r="18" spans="1:38" ht="16.5" x14ac:dyDescent="0.3">
      <c r="A18" s="13">
        <v>17</v>
      </c>
      <c r="B18" s="14" t="s">
        <v>19</v>
      </c>
      <c r="C18" s="27" t="s">
        <v>47</v>
      </c>
      <c r="D18" s="16">
        <v>43656</v>
      </c>
      <c r="E18" s="17">
        <v>317</v>
      </c>
      <c r="F18" s="28">
        <v>1.34</v>
      </c>
      <c r="G18" s="17">
        <v>25</v>
      </c>
      <c r="H18" s="17">
        <v>129</v>
      </c>
      <c r="I18" s="28">
        <v>0.2</v>
      </c>
      <c r="J18" s="20">
        <v>1480000</v>
      </c>
      <c r="K18" s="20">
        <v>7120000</v>
      </c>
      <c r="L18" s="3">
        <v>50</v>
      </c>
      <c r="M18" s="3">
        <v>4</v>
      </c>
      <c r="N18" s="3">
        <v>3</v>
      </c>
      <c r="O18" s="3">
        <v>25</v>
      </c>
      <c r="P18" s="3">
        <v>0.2</v>
      </c>
      <c r="Q18" s="3">
        <v>1000</v>
      </c>
      <c r="R18" s="3">
        <v>5000</v>
      </c>
      <c r="S18" s="4">
        <f t="shared" si="11"/>
        <v>6.34</v>
      </c>
      <c r="T18" s="4">
        <f t="shared" si="12"/>
        <v>0.47166666666666668</v>
      </c>
      <c r="U18" s="4">
        <f t="shared" si="13"/>
        <v>8.3333333333333339</v>
      </c>
      <c r="V18" s="4">
        <f t="shared" si="13"/>
        <v>5.16</v>
      </c>
      <c r="W18" s="5">
        <f t="shared" si="13"/>
        <v>1</v>
      </c>
      <c r="X18" s="4">
        <f t="shared" si="13"/>
        <v>1480</v>
      </c>
      <c r="Y18" s="4"/>
      <c r="Z18" s="6">
        <f t="shared" ref="Z18:Z31" si="20">1+(5*(LOG10(E18/L18)))</f>
        <v>5.0104462894086632</v>
      </c>
      <c r="AA18" s="6">
        <f t="shared" ref="AA18:AA31" si="21">T18</f>
        <v>0.47166666666666668</v>
      </c>
      <c r="AB18" s="6">
        <f t="shared" ref="AB18:AC31" si="22">1+(5*(LOG10(G18/N18)))</f>
        <v>5.6040937697618762</v>
      </c>
      <c r="AC18" s="6">
        <f t="shared" si="22"/>
        <v>4.5632485081360574</v>
      </c>
      <c r="AD18" s="6">
        <f t="shared" si="14"/>
        <v>1</v>
      </c>
      <c r="AE18" s="6">
        <f t="shared" si="14"/>
        <v>1480</v>
      </c>
      <c r="AF18" s="6">
        <f t="shared" si="14"/>
        <v>0</v>
      </c>
      <c r="AG18" s="21">
        <f t="shared" si="15"/>
        <v>213.80706503342475</v>
      </c>
      <c r="AH18" s="22">
        <f t="shared" si="16"/>
        <v>1480</v>
      </c>
      <c r="AI18" s="23">
        <f t="shared" si="17"/>
        <v>45713.461058207118</v>
      </c>
      <c r="AJ18" s="23">
        <f t="shared" si="17"/>
        <v>2190400</v>
      </c>
      <c r="AK18" s="24">
        <f t="shared" si="18"/>
        <v>1057.3820173093088</v>
      </c>
      <c r="AL18" s="25" t="str">
        <f t="shared" si="19"/>
        <v>berat</v>
      </c>
    </row>
    <row r="19" spans="1:38" ht="16.5" x14ac:dyDescent="0.3">
      <c r="A19" s="13">
        <v>18</v>
      </c>
      <c r="B19" s="14" t="s">
        <v>21</v>
      </c>
      <c r="C19" s="34" t="s">
        <v>22</v>
      </c>
      <c r="D19" s="16">
        <v>43655</v>
      </c>
      <c r="E19" s="35">
        <v>40</v>
      </c>
      <c r="F19" s="36">
        <v>1</v>
      </c>
      <c r="G19" s="37">
        <v>30</v>
      </c>
      <c r="H19" s="38">
        <v>105</v>
      </c>
      <c r="I19" s="39">
        <v>0.38</v>
      </c>
      <c r="J19" s="20">
        <v>9880000</v>
      </c>
      <c r="K19" s="20">
        <v>21430000</v>
      </c>
      <c r="L19" s="3">
        <v>50</v>
      </c>
      <c r="M19" s="3">
        <v>4</v>
      </c>
      <c r="N19" s="3">
        <v>3</v>
      </c>
      <c r="O19" s="3">
        <v>25</v>
      </c>
      <c r="P19" s="3">
        <v>0.2</v>
      </c>
      <c r="Q19" s="3">
        <v>1000</v>
      </c>
      <c r="R19" s="3">
        <v>5000</v>
      </c>
      <c r="S19" s="4">
        <f t="shared" si="11"/>
        <v>0.8</v>
      </c>
      <c r="T19" s="4">
        <f t="shared" si="12"/>
        <v>0.5</v>
      </c>
      <c r="U19" s="4">
        <f t="shared" si="13"/>
        <v>10</v>
      </c>
      <c r="V19" s="4">
        <f t="shared" si="13"/>
        <v>4.2</v>
      </c>
      <c r="W19" s="5">
        <f t="shared" si="13"/>
        <v>1.9</v>
      </c>
      <c r="X19" s="4">
        <f t="shared" si="13"/>
        <v>9880</v>
      </c>
      <c r="Y19" s="4"/>
      <c r="Z19" s="6">
        <f t="shared" si="20"/>
        <v>0.51544993495971803</v>
      </c>
      <c r="AA19" s="6">
        <f t="shared" si="21"/>
        <v>0.5</v>
      </c>
      <c r="AB19" s="6">
        <f t="shared" si="22"/>
        <v>6</v>
      </c>
      <c r="AC19" s="6">
        <f t="shared" si="22"/>
        <v>4.1162464519895021</v>
      </c>
      <c r="AD19" s="6">
        <f t="shared" si="14"/>
        <v>1.9</v>
      </c>
      <c r="AE19" s="6">
        <f t="shared" si="14"/>
        <v>9880</v>
      </c>
      <c r="AF19" s="6">
        <f t="shared" si="14"/>
        <v>0</v>
      </c>
      <c r="AG19" s="40">
        <f t="shared" si="15"/>
        <v>1413.2902423409928</v>
      </c>
      <c r="AH19" s="41">
        <f t="shared" si="16"/>
        <v>9880</v>
      </c>
      <c r="AI19" s="42">
        <f t="shared" si="17"/>
        <v>1997389.3090962621</v>
      </c>
      <c r="AJ19" s="42">
        <f t="shared" si="17"/>
        <v>97614400</v>
      </c>
      <c r="AK19" s="43">
        <f t="shared" si="18"/>
        <v>7057.3291445523591</v>
      </c>
      <c r="AL19" s="25" t="str">
        <f t="shared" si="19"/>
        <v>berat</v>
      </c>
    </row>
    <row r="20" spans="1:38" ht="16.5" x14ac:dyDescent="0.3">
      <c r="A20" s="13">
        <v>19</v>
      </c>
      <c r="B20" s="14" t="s">
        <v>23</v>
      </c>
      <c r="C20" s="34" t="s">
        <v>24</v>
      </c>
      <c r="D20" s="16">
        <v>43656</v>
      </c>
      <c r="E20" s="35">
        <v>31</v>
      </c>
      <c r="F20" s="36">
        <v>2.17</v>
      </c>
      <c r="G20" s="38">
        <v>24</v>
      </c>
      <c r="H20" s="38">
        <v>90</v>
      </c>
      <c r="I20" s="39">
        <v>0.4</v>
      </c>
      <c r="J20" s="20">
        <v>6488000</v>
      </c>
      <c r="K20" s="20">
        <v>24196000</v>
      </c>
      <c r="L20" s="3">
        <v>50</v>
      </c>
      <c r="M20" s="3">
        <v>4</v>
      </c>
      <c r="N20" s="3">
        <v>3</v>
      </c>
      <c r="O20" s="3">
        <v>25</v>
      </c>
      <c r="P20" s="3">
        <v>0.2</v>
      </c>
      <c r="Q20" s="3">
        <v>1000</v>
      </c>
      <c r="R20" s="3">
        <v>5000</v>
      </c>
      <c r="S20" s="4">
        <f t="shared" si="11"/>
        <v>0.62</v>
      </c>
      <c r="T20" s="4">
        <f t="shared" si="12"/>
        <v>0.40250000000000002</v>
      </c>
      <c r="U20" s="4">
        <f t="shared" si="13"/>
        <v>8</v>
      </c>
      <c r="V20" s="4">
        <f t="shared" si="13"/>
        <v>3.6</v>
      </c>
      <c r="W20" s="5">
        <f t="shared" si="13"/>
        <v>2</v>
      </c>
      <c r="X20" s="4">
        <f t="shared" si="13"/>
        <v>6488</v>
      </c>
      <c r="Y20" s="4"/>
      <c r="Z20" s="6">
        <f t="shared" si="20"/>
        <v>-3.8041552508730758E-2</v>
      </c>
      <c r="AA20" s="6">
        <f t="shared" si="21"/>
        <v>0.40250000000000002</v>
      </c>
      <c r="AB20" s="6">
        <f t="shared" si="22"/>
        <v>5.5154499349597179</v>
      </c>
      <c r="AC20" s="6">
        <f t="shared" si="22"/>
        <v>3.7815125038364363</v>
      </c>
      <c r="AD20" s="6">
        <f t="shared" si="14"/>
        <v>2</v>
      </c>
      <c r="AE20" s="6">
        <f t="shared" si="14"/>
        <v>6488</v>
      </c>
      <c r="AF20" s="6">
        <f t="shared" si="14"/>
        <v>0</v>
      </c>
      <c r="AG20" s="40">
        <f t="shared" si="15"/>
        <v>928.52306012661245</v>
      </c>
      <c r="AH20" s="41">
        <f t="shared" si="16"/>
        <v>6488</v>
      </c>
      <c r="AI20" s="42">
        <f t="shared" si="17"/>
        <v>862155.07318688871</v>
      </c>
      <c r="AJ20" s="42">
        <f t="shared" si="17"/>
        <v>42094144</v>
      </c>
      <c r="AK20" s="43">
        <f t="shared" si="18"/>
        <v>4634.4524527276626</v>
      </c>
      <c r="AL20" s="25" t="str">
        <f t="shared" si="19"/>
        <v>berat</v>
      </c>
    </row>
    <row r="21" spans="1:38" ht="16.5" x14ac:dyDescent="0.3">
      <c r="A21" s="13">
        <v>20</v>
      </c>
      <c r="B21" s="14" t="s">
        <v>25</v>
      </c>
      <c r="C21" s="34" t="s">
        <v>26</v>
      </c>
      <c r="D21" s="16">
        <v>43656</v>
      </c>
      <c r="E21" s="44">
        <v>84</v>
      </c>
      <c r="F21" s="36">
        <v>1</v>
      </c>
      <c r="G21" s="38">
        <v>34</v>
      </c>
      <c r="H21" s="38">
        <v>150</v>
      </c>
      <c r="I21" s="39">
        <v>0.79</v>
      </c>
      <c r="J21" s="20">
        <v>13140000</v>
      </c>
      <c r="K21" s="20">
        <v>23590000</v>
      </c>
      <c r="L21" s="3">
        <v>50</v>
      </c>
      <c r="M21" s="3">
        <v>4</v>
      </c>
      <c r="N21" s="3">
        <v>3</v>
      </c>
      <c r="O21" s="3">
        <v>25</v>
      </c>
      <c r="P21" s="3">
        <v>0.2</v>
      </c>
      <c r="Q21" s="3">
        <v>1000</v>
      </c>
      <c r="R21" s="3">
        <v>5000</v>
      </c>
      <c r="S21" s="4">
        <f t="shared" si="11"/>
        <v>1.68</v>
      </c>
      <c r="T21" s="4">
        <f t="shared" si="12"/>
        <v>0.5</v>
      </c>
      <c r="U21" s="4">
        <f t="shared" si="13"/>
        <v>11.333333333333334</v>
      </c>
      <c r="V21" s="4">
        <f t="shared" si="13"/>
        <v>6</v>
      </c>
      <c r="W21" s="5">
        <f t="shared" si="13"/>
        <v>3.95</v>
      </c>
      <c r="X21" s="4">
        <f t="shared" si="13"/>
        <v>13140</v>
      </c>
      <c r="Y21" s="4"/>
      <c r="Z21" s="6">
        <f t="shared" si="20"/>
        <v>2.1265464086293142</v>
      </c>
      <c r="AA21" s="6">
        <f t="shared" si="21"/>
        <v>0.5</v>
      </c>
      <c r="AB21" s="6">
        <f t="shared" si="22"/>
        <v>6.2717883116129638</v>
      </c>
      <c r="AC21" s="6">
        <f t="shared" si="22"/>
        <v>4.8907562519182184</v>
      </c>
      <c r="AD21" s="6">
        <f t="shared" si="14"/>
        <v>3.95</v>
      </c>
      <c r="AE21" s="6">
        <f t="shared" si="14"/>
        <v>13140</v>
      </c>
      <c r="AF21" s="6">
        <f t="shared" si="14"/>
        <v>0</v>
      </c>
      <c r="AG21" s="40">
        <f t="shared" si="15"/>
        <v>1879.6770129960228</v>
      </c>
      <c r="AH21" s="41">
        <f t="shared" si="16"/>
        <v>13140</v>
      </c>
      <c r="AI21" s="42">
        <f t="shared" si="17"/>
        <v>3533185.6731856503</v>
      </c>
      <c r="AJ21" s="42">
        <f t="shared" si="17"/>
        <v>172659600</v>
      </c>
      <c r="AK21" s="43">
        <f t="shared" si="18"/>
        <v>9385.9678689303437</v>
      </c>
      <c r="AL21" s="25" t="str">
        <f t="shared" si="19"/>
        <v>berat</v>
      </c>
    </row>
    <row r="22" spans="1:38" ht="16.5" x14ac:dyDescent="0.3">
      <c r="A22" s="13">
        <v>21</v>
      </c>
      <c r="B22" s="14" t="s">
        <v>27</v>
      </c>
      <c r="C22" s="34" t="s">
        <v>28</v>
      </c>
      <c r="D22" s="16">
        <v>43654</v>
      </c>
      <c r="E22" s="35">
        <v>29</v>
      </c>
      <c r="F22" s="36">
        <v>1</v>
      </c>
      <c r="G22" s="38">
        <v>21</v>
      </c>
      <c r="H22" s="38">
        <v>85</v>
      </c>
      <c r="I22" s="39">
        <v>1.05</v>
      </c>
      <c r="J22" s="20">
        <v>15000000</v>
      </c>
      <c r="K22" s="20">
        <v>17329000</v>
      </c>
      <c r="L22" s="3">
        <v>50</v>
      </c>
      <c r="M22" s="3">
        <v>4</v>
      </c>
      <c r="N22" s="3">
        <v>3</v>
      </c>
      <c r="O22" s="3">
        <v>25</v>
      </c>
      <c r="P22" s="3">
        <v>0.2</v>
      </c>
      <c r="Q22" s="3">
        <v>1000</v>
      </c>
      <c r="R22" s="3">
        <v>5000</v>
      </c>
      <c r="S22" s="4">
        <f t="shared" si="11"/>
        <v>0.57999999999999996</v>
      </c>
      <c r="T22" s="4">
        <f t="shared" si="12"/>
        <v>0.5</v>
      </c>
      <c r="U22" s="4">
        <f t="shared" si="13"/>
        <v>7</v>
      </c>
      <c r="V22" s="4">
        <f t="shared" si="13"/>
        <v>3.4</v>
      </c>
      <c r="W22" s="5">
        <f t="shared" si="13"/>
        <v>5.25</v>
      </c>
      <c r="X22" s="4">
        <f t="shared" si="13"/>
        <v>15000</v>
      </c>
      <c r="Y22" s="4"/>
      <c r="Z22" s="6">
        <f t="shared" si="20"/>
        <v>-0.18286003218531377</v>
      </c>
      <c r="AA22" s="6">
        <f t="shared" si="21"/>
        <v>0.5</v>
      </c>
      <c r="AB22" s="6">
        <f t="shared" si="22"/>
        <v>5.2254902000712837</v>
      </c>
      <c r="AC22" s="6">
        <f t="shared" si="22"/>
        <v>3.6573945852112759</v>
      </c>
      <c r="AD22" s="6">
        <f t="shared" si="14"/>
        <v>5.25</v>
      </c>
      <c r="AE22" s="6">
        <f t="shared" si="14"/>
        <v>15000</v>
      </c>
      <c r="AF22" s="6">
        <f t="shared" si="14"/>
        <v>0</v>
      </c>
      <c r="AG22" s="40">
        <f t="shared" si="15"/>
        <v>2144.9214321075856</v>
      </c>
      <c r="AH22" s="41">
        <f t="shared" si="16"/>
        <v>15000</v>
      </c>
      <c r="AI22" s="42">
        <f t="shared" si="17"/>
        <v>4600687.9499144563</v>
      </c>
      <c r="AJ22" s="42">
        <f t="shared" si="17"/>
        <v>225000000</v>
      </c>
      <c r="AK22" s="43">
        <f t="shared" si="18"/>
        <v>10714.492240650381</v>
      </c>
      <c r="AL22" s="25" t="str">
        <f t="shared" si="19"/>
        <v>berat</v>
      </c>
    </row>
    <row r="23" spans="1:38" ht="16.5" x14ac:dyDescent="0.3">
      <c r="A23" s="13">
        <v>22</v>
      </c>
      <c r="B23" s="14" t="s">
        <v>29</v>
      </c>
      <c r="C23" s="34" t="s">
        <v>30</v>
      </c>
      <c r="D23" s="16">
        <v>43658</v>
      </c>
      <c r="E23" s="35">
        <v>48</v>
      </c>
      <c r="F23" s="36">
        <v>3.7</v>
      </c>
      <c r="G23" s="38">
        <v>15</v>
      </c>
      <c r="H23" s="38">
        <v>77</v>
      </c>
      <c r="I23" s="36">
        <v>0.16</v>
      </c>
      <c r="J23" s="20">
        <v>528000</v>
      </c>
      <c r="K23" s="20">
        <v>1168000</v>
      </c>
      <c r="L23" s="3">
        <v>50</v>
      </c>
      <c r="M23" s="3">
        <v>4</v>
      </c>
      <c r="N23" s="3">
        <v>3</v>
      </c>
      <c r="O23" s="3">
        <v>25</v>
      </c>
      <c r="P23" s="3">
        <v>0.2</v>
      </c>
      <c r="Q23" s="3">
        <v>1000</v>
      </c>
      <c r="R23" s="3">
        <v>5000</v>
      </c>
      <c r="S23" s="4">
        <f t="shared" si="11"/>
        <v>0.96</v>
      </c>
      <c r="T23" s="4">
        <f t="shared" si="12"/>
        <v>0.27499999999999997</v>
      </c>
      <c r="U23" s="4">
        <f t="shared" si="13"/>
        <v>5</v>
      </c>
      <c r="V23" s="4">
        <f t="shared" si="13"/>
        <v>3.08</v>
      </c>
      <c r="W23" s="5">
        <f t="shared" si="13"/>
        <v>0.79999999999999993</v>
      </c>
      <c r="X23" s="4">
        <f t="shared" si="13"/>
        <v>528</v>
      </c>
      <c r="Y23" s="4"/>
      <c r="Z23" s="6">
        <f t="shared" si="20"/>
        <v>0.91135616519784202</v>
      </c>
      <c r="AA23" s="6">
        <f t="shared" si="21"/>
        <v>0.27499999999999997</v>
      </c>
      <c r="AB23" s="6">
        <f t="shared" si="22"/>
        <v>4.4948500216800937</v>
      </c>
      <c r="AC23" s="6">
        <f t="shared" si="22"/>
        <v>3.4427535825022213</v>
      </c>
      <c r="AD23" s="6">
        <f t="shared" si="14"/>
        <v>0.79999999999999993</v>
      </c>
      <c r="AE23" s="6">
        <f t="shared" si="14"/>
        <v>528</v>
      </c>
      <c r="AF23" s="6">
        <f t="shared" si="14"/>
        <v>0</v>
      </c>
      <c r="AG23" s="40">
        <f t="shared" si="15"/>
        <v>76.846279967054315</v>
      </c>
      <c r="AH23" s="41">
        <f t="shared" si="16"/>
        <v>528</v>
      </c>
      <c r="AI23" s="42">
        <f t="shared" si="17"/>
        <v>5905.3507447748934</v>
      </c>
      <c r="AJ23" s="42">
        <f t="shared" si="17"/>
        <v>278784</v>
      </c>
      <c r="AK23" s="43">
        <f t="shared" si="18"/>
        <v>377.28593317587053</v>
      </c>
      <c r="AL23" s="25" t="str">
        <f t="shared" si="19"/>
        <v>berat</v>
      </c>
    </row>
    <row r="24" spans="1:38" ht="16.5" x14ac:dyDescent="0.3">
      <c r="A24" s="13">
        <v>23</v>
      </c>
      <c r="B24" s="14" t="s">
        <v>31</v>
      </c>
      <c r="C24" s="34" t="s">
        <v>32</v>
      </c>
      <c r="D24" s="16">
        <v>43658</v>
      </c>
      <c r="E24" s="44">
        <v>346</v>
      </c>
      <c r="F24" s="36">
        <v>1.1599999999999999</v>
      </c>
      <c r="G24" s="38">
        <v>83</v>
      </c>
      <c r="H24" s="38">
        <v>112</v>
      </c>
      <c r="I24" s="39">
        <v>0.26</v>
      </c>
      <c r="J24" s="20">
        <v>7890000</v>
      </c>
      <c r="K24" s="20">
        <v>20980000</v>
      </c>
      <c r="L24" s="3">
        <v>50</v>
      </c>
      <c r="M24" s="3">
        <v>4</v>
      </c>
      <c r="N24" s="3">
        <v>3</v>
      </c>
      <c r="O24" s="3">
        <v>25</v>
      </c>
      <c r="P24" s="3">
        <v>0.2</v>
      </c>
      <c r="Q24" s="3">
        <v>1000</v>
      </c>
      <c r="R24" s="3">
        <v>5000</v>
      </c>
      <c r="S24" s="4">
        <f t="shared" si="11"/>
        <v>6.92</v>
      </c>
      <c r="T24" s="4">
        <f t="shared" si="12"/>
        <v>0.48666666666666664</v>
      </c>
      <c r="U24" s="4">
        <f t="shared" si="13"/>
        <v>27.666666666666668</v>
      </c>
      <c r="V24" s="4">
        <f t="shared" si="13"/>
        <v>4.4800000000000004</v>
      </c>
      <c r="W24" s="5">
        <f t="shared" si="13"/>
        <v>1.3</v>
      </c>
      <c r="X24" s="4">
        <f t="shared" si="13"/>
        <v>7890</v>
      </c>
      <c r="Y24" s="4"/>
      <c r="Z24" s="6">
        <f t="shared" si="20"/>
        <v>5.2005304722837886</v>
      </c>
      <c r="AA24" s="6">
        <f t="shared" si="21"/>
        <v>0.48666666666666664</v>
      </c>
      <c r="AB24" s="6">
        <f t="shared" si="22"/>
        <v>8.2097841882820575</v>
      </c>
      <c r="AC24" s="6">
        <f t="shared" si="22"/>
        <v>4.2563900699907204</v>
      </c>
      <c r="AD24" s="6">
        <f t="shared" si="14"/>
        <v>1.3</v>
      </c>
      <c r="AE24" s="6">
        <f t="shared" si="14"/>
        <v>7890</v>
      </c>
      <c r="AF24" s="6">
        <f t="shared" si="14"/>
        <v>0</v>
      </c>
      <c r="AG24" s="40">
        <f t="shared" si="15"/>
        <v>1129.9219101996034</v>
      </c>
      <c r="AH24" s="41">
        <f t="shared" si="16"/>
        <v>7890</v>
      </c>
      <c r="AI24" s="42">
        <f t="shared" si="17"/>
        <v>1276723.5231491206</v>
      </c>
      <c r="AJ24" s="42">
        <f t="shared" si="17"/>
        <v>62252100</v>
      </c>
      <c r="AK24" s="43">
        <f t="shared" si="18"/>
        <v>5635.9925267493536</v>
      </c>
      <c r="AL24" s="25" t="str">
        <f t="shared" si="19"/>
        <v>berat</v>
      </c>
    </row>
    <row r="25" spans="1:38" ht="16.5" x14ac:dyDescent="0.3">
      <c r="A25" s="13">
        <v>24</v>
      </c>
      <c r="B25" s="14" t="s">
        <v>33</v>
      </c>
      <c r="C25" s="34" t="s">
        <v>34</v>
      </c>
      <c r="D25" s="16">
        <v>43662</v>
      </c>
      <c r="E25" s="44">
        <v>74</v>
      </c>
      <c r="F25" s="36">
        <v>1.22</v>
      </c>
      <c r="G25" s="38">
        <v>78</v>
      </c>
      <c r="H25" s="38">
        <v>138</v>
      </c>
      <c r="I25" s="36">
        <v>0.16</v>
      </c>
      <c r="J25" s="20">
        <v>15531000</v>
      </c>
      <c r="K25" s="20">
        <v>77010000</v>
      </c>
      <c r="L25" s="3">
        <v>50</v>
      </c>
      <c r="M25" s="3">
        <v>4</v>
      </c>
      <c r="N25" s="3">
        <v>3</v>
      </c>
      <c r="O25" s="3">
        <v>25</v>
      </c>
      <c r="P25" s="3">
        <v>0.2</v>
      </c>
      <c r="Q25" s="3">
        <v>1000</v>
      </c>
      <c r="R25" s="3">
        <v>5000</v>
      </c>
      <c r="S25" s="4">
        <f t="shared" si="11"/>
        <v>1.48</v>
      </c>
      <c r="T25" s="4">
        <f t="shared" si="12"/>
        <v>0.48166666666666669</v>
      </c>
      <c r="U25" s="4">
        <f t="shared" si="13"/>
        <v>26</v>
      </c>
      <c r="V25" s="4">
        <f t="shared" si="13"/>
        <v>5.52</v>
      </c>
      <c r="W25" s="5">
        <f t="shared" si="13"/>
        <v>0.79999999999999993</v>
      </c>
      <c r="X25" s="4">
        <f t="shared" si="13"/>
        <v>15531</v>
      </c>
      <c r="Y25" s="4"/>
      <c r="Z25" s="6">
        <f t="shared" si="20"/>
        <v>1.851308576974787</v>
      </c>
      <c r="AA25" s="6">
        <f t="shared" si="21"/>
        <v>0.48166666666666669</v>
      </c>
      <c r="AB25" s="6">
        <f t="shared" si="22"/>
        <v>8.074866739854091</v>
      </c>
      <c r="AC25" s="6">
        <f t="shared" si="22"/>
        <v>4.7096953886459945</v>
      </c>
      <c r="AD25" s="6">
        <f t="shared" si="14"/>
        <v>0.79999999999999993</v>
      </c>
      <c r="AE25" s="6">
        <f t="shared" si="14"/>
        <v>15531</v>
      </c>
      <c r="AF25" s="6">
        <f t="shared" si="14"/>
        <v>0</v>
      </c>
      <c r="AG25" s="40">
        <f t="shared" si="15"/>
        <v>2220.9882196245917</v>
      </c>
      <c r="AH25" s="41">
        <f t="shared" si="16"/>
        <v>15531</v>
      </c>
      <c r="AI25" s="42">
        <f t="shared" si="17"/>
        <v>4932788.6717112139</v>
      </c>
      <c r="AJ25" s="42">
        <f t="shared" si="17"/>
        <v>241211961</v>
      </c>
      <c r="AK25" s="43">
        <f t="shared" si="18"/>
        <v>11093.798936155983</v>
      </c>
      <c r="AL25" s="25" t="str">
        <f t="shared" si="19"/>
        <v>berat</v>
      </c>
    </row>
    <row r="26" spans="1:38" ht="16.5" x14ac:dyDescent="0.3">
      <c r="A26" s="13">
        <v>25</v>
      </c>
      <c r="B26" s="14" t="s">
        <v>35</v>
      </c>
      <c r="C26" s="34" t="s">
        <v>36</v>
      </c>
      <c r="D26" s="16">
        <v>43662</v>
      </c>
      <c r="E26" s="44">
        <v>71</v>
      </c>
      <c r="F26" s="36">
        <v>2.63</v>
      </c>
      <c r="G26" s="38">
        <v>31</v>
      </c>
      <c r="H26" s="38">
        <v>67</v>
      </c>
      <c r="I26" s="39">
        <v>0.25</v>
      </c>
      <c r="J26" s="20">
        <v>6488000</v>
      </c>
      <c r="K26" s="20">
        <v>21430000</v>
      </c>
      <c r="L26" s="3">
        <v>50</v>
      </c>
      <c r="M26" s="3">
        <v>4</v>
      </c>
      <c r="N26" s="3">
        <v>3</v>
      </c>
      <c r="O26" s="3">
        <v>25</v>
      </c>
      <c r="P26" s="3">
        <v>0.2</v>
      </c>
      <c r="Q26" s="3">
        <v>1000</v>
      </c>
      <c r="R26" s="3">
        <v>5000</v>
      </c>
      <c r="S26" s="4">
        <f t="shared" si="11"/>
        <v>1.42</v>
      </c>
      <c r="T26" s="4">
        <f t="shared" si="12"/>
        <v>0.36416666666666669</v>
      </c>
      <c r="U26" s="4">
        <f t="shared" si="13"/>
        <v>10.333333333333334</v>
      </c>
      <c r="V26" s="4">
        <f t="shared" si="13"/>
        <v>2.68</v>
      </c>
      <c r="W26" s="5">
        <f t="shared" si="13"/>
        <v>1.25</v>
      </c>
      <c r="X26" s="4">
        <f t="shared" si="13"/>
        <v>6488</v>
      </c>
      <c r="Y26" s="4"/>
      <c r="Z26" s="6">
        <f t="shared" si="20"/>
        <v>1.7614417219152823</v>
      </c>
      <c r="AA26" s="6">
        <f t="shared" si="21"/>
        <v>0.36416666666666669</v>
      </c>
      <c r="AB26" s="6">
        <f t="shared" si="22"/>
        <v>6.0712021955730515</v>
      </c>
      <c r="AC26" s="6">
        <f t="shared" si="22"/>
        <v>3.1406739701439443</v>
      </c>
      <c r="AD26" s="6">
        <f t="shared" si="14"/>
        <v>1.25</v>
      </c>
      <c r="AE26" s="6">
        <f t="shared" si="14"/>
        <v>6488</v>
      </c>
      <c r="AF26" s="6">
        <f t="shared" si="14"/>
        <v>0</v>
      </c>
      <c r="AG26" s="40">
        <f t="shared" si="15"/>
        <v>928.65535493632831</v>
      </c>
      <c r="AH26" s="41">
        <f t="shared" si="16"/>
        <v>6488</v>
      </c>
      <c r="AI26" s="42">
        <f t="shared" si="17"/>
        <v>862400.76825191791</v>
      </c>
      <c r="AJ26" s="42">
        <f t="shared" si="17"/>
        <v>42094144</v>
      </c>
      <c r="AK26" s="43">
        <f t="shared" si="18"/>
        <v>4634.4657064354205</v>
      </c>
      <c r="AL26" s="25" t="str">
        <f t="shared" si="19"/>
        <v>berat</v>
      </c>
    </row>
    <row r="27" spans="1:38" ht="16.5" x14ac:dyDescent="0.3">
      <c r="A27" s="13">
        <v>26</v>
      </c>
      <c r="B27" s="14" t="s">
        <v>37</v>
      </c>
      <c r="C27" s="34" t="s">
        <v>38</v>
      </c>
      <c r="D27" s="16">
        <v>43661</v>
      </c>
      <c r="E27" s="35">
        <v>44</v>
      </c>
      <c r="F27" s="36">
        <v>2.84</v>
      </c>
      <c r="G27" s="38">
        <v>29</v>
      </c>
      <c r="H27" s="38">
        <v>100</v>
      </c>
      <c r="I27" s="39">
        <v>0.21</v>
      </c>
      <c r="J27" s="20">
        <v>10462000</v>
      </c>
      <c r="K27" s="20">
        <v>12997000</v>
      </c>
      <c r="L27" s="3">
        <v>50</v>
      </c>
      <c r="M27" s="3">
        <v>4</v>
      </c>
      <c r="N27" s="3">
        <v>3</v>
      </c>
      <c r="O27" s="3">
        <v>25</v>
      </c>
      <c r="P27" s="3">
        <v>0.2</v>
      </c>
      <c r="Q27" s="3">
        <v>1000</v>
      </c>
      <c r="R27" s="3">
        <v>5000</v>
      </c>
      <c r="S27" s="4">
        <f t="shared" si="11"/>
        <v>0.88</v>
      </c>
      <c r="T27" s="4">
        <f t="shared" si="12"/>
        <v>0.34666666666666668</v>
      </c>
      <c r="U27" s="4">
        <f t="shared" si="13"/>
        <v>9.6666666666666661</v>
      </c>
      <c r="V27" s="4">
        <f t="shared" si="13"/>
        <v>4</v>
      </c>
      <c r="W27" s="5">
        <f t="shared" si="13"/>
        <v>1.0499999999999998</v>
      </c>
      <c r="X27" s="4">
        <f t="shared" si="13"/>
        <v>10462</v>
      </c>
      <c r="Y27" s="4"/>
      <c r="Z27" s="6">
        <f t="shared" si="20"/>
        <v>0.72241336075084317</v>
      </c>
      <c r="AA27" s="6">
        <f t="shared" si="21"/>
        <v>0.34666666666666668</v>
      </c>
      <c r="AB27" s="6">
        <f t="shared" si="22"/>
        <v>5.9263837158964678</v>
      </c>
      <c r="AC27" s="6">
        <f t="shared" si="22"/>
        <v>4.0102999566398125</v>
      </c>
      <c r="AD27" s="6">
        <f t="shared" si="14"/>
        <v>1.0499999999999998</v>
      </c>
      <c r="AE27" s="6">
        <f t="shared" si="14"/>
        <v>10462</v>
      </c>
      <c r="AF27" s="6">
        <f t="shared" si="14"/>
        <v>0</v>
      </c>
      <c r="AG27" s="40">
        <f t="shared" si="15"/>
        <v>1496.2936805285649</v>
      </c>
      <c r="AH27" s="41">
        <f t="shared" si="16"/>
        <v>10462</v>
      </c>
      <c r="AI27" s="42">
        <f t="shared" si="17"/>
        <v>2238894.7783897188</v>
      </c>
      <c r="AJ27" s="42">
        <f t="shared" si="17"/>
        <v>109453444</v>
      </c>
      <c r="AK27" s="43">
        <f t="shared" si="18"/>
        <v>7473.029465296846</v>
      </c>
      <c r="AL27" s="25" t="str">
        <f t="shared" si="19"/>
        <v>berat</v>
      </c>
    </row>
    <row r="28" spans="1:38" ht="16.5" x14ac:dyDescent="0.3">
      <c r="A28" s="13">
        <v>27</v>
      </c>
      <c r="B28" s="14" t="s">
        <v>39</v>
      </c>
      <c r="C28" s="34" t="s">
        <v>40</v>
      </c>
      <c r="D28" s="16">
        <v>43654</v>
      </c>
      <c r="E28" s="44">
        <v>79</v>
      </c>
      <c r="F28" s="36">
        <v>1</v>
      </c>
      <c r="G28" s="38">
        <v>64</v>
      </c>
      <c r="H28" s="38">
        <v>280</v>
      </c>
      <c r="I28" s="39">
        <v>0.77</v>
      </c>
      <c r="J28" s="20">
        <v>43600000</v>
      </c>
      <c r="K28" s="20">
        <v>72700000</v>
      </c>
      <c r="L28" s="3">
        <v>50</v>
      </c>
      <c r="M28" s="3">
        <v>4</v>
      </c>
      <c r="N28" s="3">
        <v>3</v>
      </c>
      <c r="O28" s="3">
        <v>25</v>
      </c>
      <c r="P28" s="3">
        <v>0.2</v>
      </c>
      <c r="Q28" s="3">
        <v>1000</v>
      </c>
      <c r="R28" s="3">
        <v>5000</v>
      </c>
      <c r="S28" s="4">
        <f t="shared" si="11"/>
        <v>1.58</v>
      </c>
      <c r="T28" s="4">
        <f t="shared" si="12"/>
        <v>0.5</v>
      </c>
      <c r="U28" s="4">
        <f t="shared" si="13"/>
        <v>21.333333333333332</v>
      </c>
      <c r="V28" s="4">
        <f t="shared" si="13"/>
        <v>11.2</v>
      </c>
      <c r="W28" s="5">
        <f t="shared" si="13"/>
        <v>3.85</v>
      </c>
      <c r="X28" s="4">
        <f t="shared" si="13"/>
        <v>43600</v>
      </c>
      <c r="Y28" s="4"/>
      <c r="Z28" s="6">
        <f t="shared" si="20"/>
        <v>1.9932854347721132</v>
      </c>
      <c r="AA28" s="6">
        <f t="shared" si="21"/>
        <v>0.5</v>
      </c>
      <c r="AB28" s="6">
        <f t="shared" si="22"/>
        <v>7.6452935963211237</v>
      </c>
      <c r="AC28" s="6">
        <f t="shared" si="22"/>
        <v>6.2460901133509079</v>
      </c>
      <c r="AD28" s="6">
        <f t="shared" si="14"/>
        <v>3.85</v>
      </c>
      <c r="AE28" s="6">
        <f t="shared" si="14"/>
        <v>43600</v>
      </c>
      <c r="AF28" s="6">
        <f t="shared" si="14"/>
        <v>0</v>
      </c>
      <c r="AG28" s="40">
        <f t="shared" si="15"/>
        <v>6231.4620955920636</v>
      </c>
      <c r="AH28" s="41">
        <f t="shared" si="16"/>
        <v>43600</v>
      </c>
      <c r="AI28" s="42">
        <f t="shared" si="17"/>
        <v>38831119.848800637</v>
      </c>
      <c r="AJ28" s="42">
        <f t="shared" si="17"/>
        <v>1900960000</v>
      </c>
      <c r="AK28" s="43">
        <f t="shared" si="18"/>
        <v>31143.146275294672</v>
      </c>
      <c r="AL28" s="25" t="str">
        <f t="shared" si="19"/>
        <v>berat</v>
      </c>
    </row>
    <row r="29" spans="1:38" ht="16.5" x14ac:dyDescent="0.3">
      <c r="A29" s="13">
        <v>28</v>
      </c>
      <c r="B29" s="14" t="s">
        <v>41</v>
      </c>
      <c r="C29" s="34" t="s">
        <v>42</v>
      </c>
      <c r="D29" s="16">
        <v>43655</v>
      </c>
      <c r="E29" s="44">
        <v>156</v>
      </c>
      <c r="F29" s="39">
        <v>5.35</v>
      </c>
      <c r="G29" s="38">
        <v>29</v>
      </c>
      <c r="H29" s="38">
        <v>41</v>
      </c>
      <c r="I29" s="36">
        <v>0.16</v>
      </c>
      <c r="J29" s="20">
        <v>1860000</v>
      </c>
      <c r="K29" s="20">
        <v>11870000</v>
      </c>
      <c r="L29" s="3">
        <v>50</v>
      </c>
      <c r="M29" s="3">
        <v>4</v>
      </c>
      <c r="N29" s="3">
        <v>3</v>
      </c>
      <c r="O29" s="3">
        <v>25</v>
      </c>
      <c r="P29" s="3">
        <v>0.2</v>
      </c>
      <c r="Q29" s="3">
        <v>1000</v>
      </c>
      <c r="R29" s="3">
        <v>5000</v>
      </c>
      <c r="S29" s="4">
        <f t="shared" si="11"/>
        <v>3.12</v>
      </c>
      <c r="T29" s="4">
        <f t="shared" si="12"/>
        <v>0.13750000000000004</v>
      </c>
      <c r="U29" s="4">
        <f t="shared" si="13"/>
        <v>9.6666666666666661</v>
      </c>
      <c r="V29" s="4">
        <f t="shared" si="13"/>
        <v>1.64</v>
      </c>
      <c r="W29" s="5">
        <f t="shared" si="13"/>
        <v>0.79999999999999993</v>
      </c>
      <c r="X29" s="4">
        <f t="shared" si="13"/>
        <v>1860</v>
      </c>
      <c r="Y29" s="4"/>
      <c r="Z29" s="6">
        <f t="shared" si="20"/>
        <v>3.4707729700922139</v>
      </c>
      <c r="AA29" s="6">
        <f t="shared" si="21"/>
        <v>0.13750000000000004</v>
      </c>
      <c r="AB29" s="6">
        <f t="shared" si="22"/>
        <v>5.9263837158964678</v>
      </c>
      <c r="AC29" s="6">
        <f t="shared" si="22"/>
        <v>2.0742192402384894</v>
      </c>
      <c r="AD29" s="6">
        <f t="shared" si="14"/>
        <v>0.79999999999999993</v>
      </c>
      <c r="AE29" s="6">
        <f t="shared" si="14"/>
        <v>1860</v>
      </c>
      <c r="AF29" s="6">
        <f t="shared" si="14"/>
        <v>0</v>
      </c>
      <c r="AG29" s="21">
        <f t="shared" si="15"/>
        <v>267.48698227517531</v>
      </c>
      <c r="AH29" s="22">
        <f t="shared" si="16"/>
        <v>1860</v>
      </c>
      <c r="AI29" s="23">
        <f t="shared" si="17"/>
        <v>71549.285686679956</v>
      </c>
      <c r="AJ29" s="23">
        <f t="shared" si="17"/>
        <v>3459600</v>
      </c>
      <c r="AK29" s="24">
        <f t="shared" si="18"/>
        <v>1328.7492776454631</v>
      </c>
      <c r="AL29" s="25" t="str">
        <f t="shared" si="19"/>
        <v>berat</v>
      </c>
    </row>
    <row r="30" spans="1:38" ht="16.5" x14ac:dyDescent="0.3">
      <c r="A30" s="13">
        <v>29</v>
      </c>
      <c r="B30" s="14" t="s">
        <v>43</v>
      </c>
      <c r="C30" s="34" t="s">
        <v>44</v>
      </c>
      <c r="D30" s="16">
        <v>43654</v>
      </c>
      <c r="E30" s="44">
        <v>70</v>
      </c>
      <c r="F30" s="36">
        <v>3.74</v>
      </c>
      <c r="G30" s="38">
        <v>22</v>
      </c>
      <c r="H30" s="38">
        <v>83</v>
      </c>
      <c r="I30" s="36">
        <v>0.16</v>
      </c>
      <c r="J30" s="20">
        <v>2282000</v>
      </c>
      <c r="K30" s="20">
        <v>7701000</v>
      </c>
      <c r="L30" s="3">
        <v>50</v>
      </c>
      <c r="M30" s="3">
        <v>4</v>
      </c>
      <c r="N30" s="3">
        <v>3</v>
      </c>
      <c r="O30" s="3">
        <v>25</v>
      </c>
      <c r="P30" s="3">
        <v>0.2</v>
      </c>
      <c r="Q30" s="3">
        <v>1000</v>
      </c>
      <c r="R30" s="3">
        <v>5000</v>
      </c>
      <c r="S30" s="4">
        <f t="shared" si="11"/>
        <v>1.4</v>
      </c>
      <c r="T30" s="4">
        <f t="shared" si="12"/>
        <v>0.27166666666666667</v>
      </c>
      <c r="U30" s="4">
        <f t="shared" si="13"/>
        <v>7.333333333333333</v>
      </c>
      <c r="V30" s="4">
        <f t="shared" si="13"/>
        <v>3.32</v>
      </c>
      <c r="W30" s="5">
        <f t="shared" si="13"/>
        <v>0.79999999999999993</v>
      </c>
      <c r="X30" s="4">
        <f t="shared" si="13"/>
        <v>2282</v>
      </c>
      <c r="Y30" s="4"/>
      <c r="Z30" s="6">
        <f t="shared" si="20"/>
        <v>1.73064017839119</v>
      </c>
      <c r="AA30" s="6">
        <f t="shared" si="21"/>
        <v>0.27166666666666667</v>
      </c>
      <c r="AB30" s="6">
        <f t="shared" si="22"/>
        <v>5.3265071305127192</v>
      </c>
      <c r="AC30" s="6">
        <f t="shared" si="22"/>
        <v>3.6056904185201812</v>
      </c>
      <c r="AD30" s="6">
        <f t="shared" si="14"/>
        <v>0.79999999999999993</v>
      </c>
      <c r="AE30" s="6">
        <f t="shared" si="14"/>
        <v>2282</v>
      </c>
      <c r="AF30" s="6">
        <f t="shared" si="14"/>
        <v>0</v>
      </c>
      <c r="AG30" s="21">
        <f t="shared" si="15"/>
        <v>327.67635777058439</v>
      </c>
      <c r="AH30" s="22">
        <f t="shared" si="16"/>
        <v>2282</v>
      </c>
      <c r="AI30" s="23">
        <f t="shared" si="17"/>
        <v>107371.79544179601</v>
      </c>
      <c r="AJ30" s="23">
        <f t="shared" si="17"/>
        <v>5207524</v>
      </c>
      <c r="AK30" s="24">
        <f t="shared" si="18"/>
        <v>1630.1680581218914</v>
      </c>
      <c r="AL30" s="25" t="str">
        <f t="shared" si="19"/>
        <v>berat</v>
      </c>
    </row>
    <row r="31" spans="1:38" ht="16.5" x14ac:dyDescent="0.3">
      <c r="A31" s="13">
        <v>30</v>
      </c>
      <c r="B31" s="14" t="s">
        <v>45</v>
      </c>
      <c r="C31" s="34" t="s">
        <v>48</v>
      </c>
      <c r="D31" s="16">
        <v>43654</v>
      </c>
      <c r="E31" s="44">
        <v>182</v>
      </c>
      <c r="F31" s="36">
        <v>2.97</v>
      </c>
      <c r="G31" s="38">
        <v>51</v>
      </c>
      <c r="H31" s="38">
        <v>178</v>
      </c>
      <c r="I31" s="39">
        <v>0.41</v>
      </c>
      <c r="J31" s="20">
        <v>840000</v>
      </c>
      <c r="K31" s="20">
        <v>24196000</v>
      </c>
      <c r="L31" s="3">
        <v>50</v>
      </c>
      <c r="M31" s="3">
        <v>4</v>
      </c>
      <c r="N31" s="3">
        <v>3</v>
      </c>
      <c r="O31" s="3">
        <v>25</v>
      </c>
      <c r="P31" s="3">
        <v>0.2</v>
      </c>
      <c r="Q31" s="3">
        <v>1000</v>
      </c>
      <c r="R31" s="3">
        <v>5000</v>
      </c>
      <c r="S31" s="4">
        <f t="shared" si="11"/>
        <v>3.64</v>
      </c>
      <c r="T31" s="4">
        <f t="shared" si="12"/>
        <v>0.33583333333333326</v>
      </c>
      <c r="U31" s="4">
        <f t="shared" si="13"/>
        <v>17</v>
      </c>
      <c r="V31" s="4">
        <f t="shared" si="13"/>
        <v>7.12</v>
      </c>
      <c r="W31" s="5">
        <f t="shared" si="13"/>
        <v>2.0499999999999998</v>
      </c>
      <c r="X31" s="4">
        <f t="shared" si="13"/>
        <v>840</v>
      </c>
      <c r="Y31" s="4"/>
      <c r="Z31" s="6">
        <f t="shared" si="20"/>
        <v>3.8055069182452801</v>
      </c>
      <c r="AA31" s="6">
        <f t="shared" si="21"/>
        <v>0.33583333333333326</v>
      </c>
      <c r="AB31" s="6">
        <f t="shared" si="22"/>
        <v>7.1522446068913696</v>
      </c>
      <c r="AC31" s="6">
        <f t="shared" si="22"/>
        <v>5.2623999681842815</v>
      </c>
      <c r="AD31" s="6">
        <f t="shared" si="14"/>
        <v>2.0499999999999998</v>
      </c>
      <c r="AE31" s="6">
        <f t="shared" si="14"/>
        <v>840</v>
      </c>
      <c r="AF31" s="6">
        <f t="shared" si="14"/>
        <v>0</v>
      </c>
      <c r="AG31" s="21">
        <f t="shared" si="15"/>
        <v>122.65799783237919</v>
      </c>
      <c r="AH31" s="22">
        <f t="shared" si="16"/>
        <v>840</v>
      </c>
      <c r="AI31" s="23">
        <f t="shared" si="17"/>
        <v>15044.984432247938</v>
      </c>
      <c r="AJ31" s="23">
        <f t="shared" si="17"/>
        <v>705600</v>
      </c>
      <c r="AK31" s="24">
        <f t="shared" si="18"/>
        <v>600.2686833544825</v>
      </c>
      <c r="AL31" s="25" t="str">
        <f t="shared" si="19"/>
        <v>berat</v>
      </c>
    </row>
    <row r="32" spans="1:38" ht="16.5" x14ac:dyDescent="0.3">
      <c r="A32" s="13">
        <v>31</v>
      </c>
      <c r="B32" s="14" t="s">
        <v>17</v>
      </c>
      <c r="C32" s="27" t="s">
        <v>18</v>
      </c>
      <c r="D32" s="16">
        <v>43776</v>
      </c>
      <c r="E32" s="28">
        <v>36</v>
      </c>
      <c r="F32" s="18">
        <v>7.69</v>
      </c>
      <c r="G32" s="18">
        <v>5</v>
      </c>
      <c r="H32" s="28">
        <v>15</v>
      </c>
      <c r="I32" s="28">
        <v>0.16</v>
      </c>
      <c r="J32" s="45">
        <v>74000</v>
      </c>
      <c r="K32" s="20">
        <v>630000</v>
      </c>
      <c r="L32" s="3">
        <v>50</v>
      </c>
      <c r="M32" s="3">
        <v>4</v>
      </c>
      <c r="N32" s="3">
        <v>3</v>
      </c>
      <c r="O32" s="3">
        <v>25</v>
      </c>
      <c r="P32" s="3">
        <v>0.2</v>
      </c>
      <c r="Q32" s="3">
        <v>1000</v>
      </c>
      <c r="R32" s="3">
        <v>5000</v>
      </c>
      <c r="S32" s="4">
        <f t="shared" ref="S32:S95" si="23">E32/L32</f>
        <v>0.72</v>
      </c>
      <c r="T32" s="4">
        <f t="shared" ref="T32:T46" si="24">((7-F32)/(7-M32))/M32</f>
        <v>-5.750000000000003E-2</v>
      </c>
      <c r="U32" s="4">
        <f t="shared" ref="U32:Y47" si="25">G32/N32</f>
        <v>1.6666666666666667</v>
      </c>
      <c r="V32" s="4">
        <f t="shared" si="25"/>
        <v>0.6</v>
      </c>
      <c r="W32" s="5">
        <f t="shared" si="25"/>
        <v>0.79999999999999993</v>
      </c>
      <c r="X32" s="4">
        <f t="shared" si="25"/>
        <v>74</v>
      </c>
      <c r="Y32" s="4"/>
      <c r="Z32" s="6">
        <f>1+(5*(LOG10(E32/L32)))</f>
        <v>0.28666248215634216</v>
      </c>
      <c r="AA32" s="6">
        <f>1+(5*(LOG10(F32/M32)))</f>
        <v>2.4193317423673433</v>
      </c>
      <c r="AB32" s="6">
        <f t="shared" si="3"/>
        <v>1.6666666666666667</v>
      </c>
      <c r="AC32" s="6">
        <f t="shared" si="3"/>
        <v>0.6</v>
      </c>
      <c r="AD32" s="6">
        <f t="shared" si="3"/>
        <v>0.79999999999999993</v>
      </c>
      <c r="AE32" s="6">
        <f t="shared" si="3"/>
        <v>74</v>
      </c>
      <c r="AF32" s="6">
        <f t="shared" si="3"/>
        <v>0</v>
      </c>
      <c r="AG32" s="21">
        <f t="shared" si="6"/>
        <v>11.396094413027194</v>
      </c>
      <c r="AH32" s="22">
        <f t="shared" si="7"/>
        <v>74</v>
      </c>
      <c r="AI32" s="23">
        <f t="shared" si="8"/>
        <v>129.87096787062964</v>
      </c>
      <c r="AJ32" s="23">
        <f t="shared" si="8"/>
        <v>5476</v>
      </c>
      <c r="AK32" s="24">
        <f t="shared" si="9"/>
        <v>52.942756671100106</v>
      </c>
      <c r="AL32" s="25" t="str">
        <f t="shared" si="10"/>
        <v>berat</v>
      </c>
    </row>
    <row r="33" spans="1:38" ht="16.5" x14ac:dyDescent="0.3">
      <c r="A33" s="13">
        <v>32</v>
      </c>
      <c r="B33" s="14" t="s">
        <v>19</v>
      </c>
      <c r="C33" s="27" t="s">
        <v>47</v>
      </c>
      <c r="D33" s="16">
        <v>43774</v>
      </c>
      <c r="E33" s="28">
        <v>35</v>
      </c>
      <c r="F33" s="18">
        <v>5</v>
      </c>
      <c r="G33" s="18">
        <v>9</v>
      </c>
      <c r="H33" s="18">
        <v>31</v>
      </c>
      <c r="I33" s="28">
        <v>0.19</v>
      </c>
      <c r="J33" s="20">
        <v>816000</v>
      </c>
      <c r="K33" s="20">
        <v>4570000</v>
      </c>
      <c r="L33" s="3">
        <v>50</v>
      </c>
      <c r="M33" s="3">
        <v>4</v>
      </c>
      <c r="N33" s="3">
        <v>3</v>
      </c>
      <c r="O33" s="3">
        <v>25</v>
      </c>
      <c r="P33" s="3">
        <v>0.2</v>
      </c>
      <c r="Q33" s="3">
        <v>1000</v>
      </c>
      <c r="R33" s="3">
        <v>5000</v>
      </c>
      <c r="S33" s="4">
        <f t="shared" si="23"/>
        <v>0.7</v>
      </c>
      <c r="T33" s="4">
        <f t="shared" si="24"/>
        <v>0.16666666666666666</v>
      </c>
      <c r="U33" s="4">
        <f t="shared" si="25"/>
        <v>3</v>
      </c>
      <c r="V33" s="4">
        <f t="shared" si="25"/>
        <v>1.24</v>
      </c>
      <c r="W33" s="5">
        <f t="shared" si="25"/>
        <v>0.95</v>
      </c>
      <c r="X33" s="4">
        <f t="shared" si="25"/>
        <v>816</v>
      </c>
      <c r="Y33" s="4"/>
      <c r="Z33" s="6">
        <f t="shared" ref="Z33:Z46" si="26">1+(5*(LOG10(E33/L33)))</f>
        <v>0.22549020007128406</v>
      </c>
      <c r="AA33" s="6">
        <f t="shared" ref="AA33:AA46" si="27">T33</f>
        <v>0.16666666666666666</v>
      </c>
      <c r="AB33" s="6">
        <f t="shared" ref="AB33:AC46" si="28">1+(5*(LOG10(G33/N33)))</f>
        <v>3.3856062735983121</v>
      </c>
      <c r="AC33" s="6">
        <f t="shared" si="28"/>
        <v>1.4671084258111753</v>
      </c>
      <c r="AD33" s="6">
        <f t="shared" ref="AD33:AF48" si="29">W33</f>
        <v>0.95</v>
      </c>
      <c r="AE33" s="6">
        <f t="shared" si="29"/>
        <v>816</v>
      </c>
      <c r="AF33" s="6">
        <f t="shared" si="29"/>
        <v>0</v>
      </c>
      <c r="AG33" s="21">
        <f t="shared" si="6"/>
        <v>117.45641022373535</v>
      </c>
      <c r="AH33" s="22">
        <f t="shared" si="7"/>
        <v>816</v>
      </c>
      <c r="AI33" s="23">
        <f t="shared" si="8"/>
        <v>13796.008302646402</v>
      </c>
      <c r="AJ33" s="23">
        <f t="shared" si="8"/>
        <v>665856</v>
      </c>
      <c r="AK33" s="24">
        <f t="shared" si="9"/>
        <v>582.94597018190564</v>
      </c>
      <c r="AL33" s="25" t="str">
        <f t="shared" si="10"/>
        <v>berat</v>
      </c>
    </row>
    <row r="34" spans="1:38" ht="16.5" x14ac:dyDescent="0.3">
      <c r="A34" s="13">
        <v>33</v>
      </c>
      <c r="B34" s="14" t="s">
        <v>21</v>
      </c>
      <c r="C34" s="34" t="s">
        <v>22</v>
      </c>
      <c r="D34" s="16">
        <v>43774</v>
      </c>
      <c r="E34" s="46">
        <v>20</v>
      </c>
      <c r="F34" s="36">
        <v>1</v>
      </c>
      <c r="G34" s="39">
        <v>37</v>
      </c>
      <c r="H34" s="39">
        <v>138</v>
      </c>
      <c r="I34" s="39">
        <v>0.3</v>
      </c>
      <c r="J34" s="20">
        <v>13140000</v>
      </c>
      <c r="K34" s="20">
        <v>29090000</v>
      </c>
      <c r="L34" s="3">
        <v>50</v>
      </c>
      <c r="M34" s="3">
        <v>4</v>
      </c>
      <c r="N34" s="3">
        <v>3</v>
      </c>
      <c r="O34" s="3">
        <v>25</v>
      </c>
      <c r="P34" s="3">
        <v>0.2</v>
      </c>
      <c r="Q34" s="3">
        <v>1000</v>
      </c>
      <c r="R34" s="3">
        <v>5000</v>
      </c>
      <c r="S34" s="4">
        <f t="shared" si="23"/>
        <v>0.4</v>
      </c>
      <c r="T34" s="4">
        <f t="shared" si="24"/>
        <v>0.5</v>
      </c>
      <c r="U34" s="4">
        <f t="shared" si="25"/>
        <v>12.333333333333334</v>
      </c>
      <c r="V34" s="4">
        <f t="shared" si="25"/>
        <v>5.52</v>
      </c>
      <c r="W34" s="5">
        <f t="shared" si="25"/>
        <v>1.4999999999999998</v>
      </c>
      <c r="X34" s="4">
        <f t="shared" si="25"/>
        <v>13140</v>
      </c>
      <c r="Y34" s="4"/>
      <c r="Z34" s="6">
        <f t="shared" si="26"/>
        <v>-0.98970004336018791</v>
      </c>
      <c r="AA34" s="6">
        <f t="shared" si="27"/>
        <v>0.5</v>
      </c>
      <c r="AB34" s="6">
        <f t="shared" si="28"/>
        <v>6.4554023467366628</v>
      </c>
      <c r="AC34" s="6">
        <f t="shared" si="28"/>
        <v>4.7096953886459945</v>
      </c>
      <c r="AD34" s="6">
        <f t="shared" si="29"/>
        <v>1.4999999999999998</v>
      </c>
      <c r="AE34" s="6">
        <f t="shared" si="29"/>
        <v>13140</v>
      </c>
      <c r="AF34" s="6">
        <f t="shared" si="29"/>
        <v>0</v>
      </c>
      <c r="AG34" s="21">
        <f t="shared" si="6"/>
        <v>1878.8821996702889</v>
      </c>
      <c r="AH34" s="22">
        <f t="shared" si="7"/>
        <v>13140</v>
      </c>
      <c r="AI34" s="23">
        <f t="shared" si="8"/>
        <v>3530198.3202378633</v>
      </c>
      <c r="AJ34" s="23">
        <f t="shared" si="8"/>
        <v>172659600</v>
      </c>
      <c r="AK34" s="24">
        <f t="shared" si="9"/>
        <v>9385.8882989368103</v>
      </c>
      <c r="AL34" s="25" t="str">
        <f t="shared" si="10"/>
        <v>berat</v>
      </c>
    </row>
    <row r="35" spans="1:38" ht="16.5" x14ac:dyDescent="0.3">
      <c r="A35" s="13">
        <v>34</v>
      </c>
      <c r="B35" s="14" t="s">
        <v>23</v>
      </c>
      <c r="C35" s="34" t="s">
        <v>24</v>
      </c>
      <c r="D35" s="16">
        <v>43776</v>
      </c>
      <c r="E35" s="46">
        <v>26</v>
      </c>
      <c r="F35" s="36">
        <v>3.46</v>
      </c>
      <c r="G35" s="39">
        <v>53</v>
      </c>
      <c r="H35" s="39">
        <v>113</v>
      </c>
      <c r="I35" s="36">
        <v>0.2</v>
      </c>
      <c r="J35" s="29">
        <v>100</v>
      </c>
      <c r="K35" s="29">
        <v>1000</v>
      </c>
      <c r="L35" s="3">
        <v>50</v>
      </c>
      <c r="M35" s="3">
        <v>4</v>
      </c>
      <c r="N35" s="3">
        <v>3</v>
      </c>
      <c r="O35" s="3">
        <v>25</v>
      </c>
      <c r="P35" s="3">
        <v>0.2</v>
      </c>
      <c r="Q35" s="3">
        <v>1000</v>
      </c>
      <c r="R35" s="3">
        <v>5000</v>
      </c>
      <c r="S35" s="4">
        <f t="shared" si="23"/>
        <v>0.52</v>
      </c>
      <c r="T35" s="4">
        <f t="shared" si="24"/>
        <v>0.29499999999999998</v>
      </c>
      <c r="U35" s="4">
        <f t="shared" si="25"/>
        <v>17.666666666666668</v>
      </c>
      <c r="V35" s="4">
        <f t="shared" si="25"/>
        <v>4.5199999999999996</v>
      </c>
      <c r="W35" s="5">
        <f t="shared" si="25"/>
        <v>1</v>
      </c>
      <c r="X35" s="4">
        <f t="shared" si="25"/>
        <v>0.1</v>
      </c>
      <c r="Y35" s="4"/>
      <c r="Z35" s="6">
        <f t="shared" si="26"/>
        <v>-0.41998328182600408</v>
      </c>
      <c r="AA35" s="6">
        <f t="shared" si="27"/>
        <v>0.29499999999999998</v>
      </c>
      <c r="AB35" s="6">
        <f t="shared" si="28"/>
        <v>7.2357730744056328</v>
      </c>
      <c r="AC35" s="6">
        <f t="shared" si="28"/>
        <v>4.2756921740569105</v>
      </c>
      <c r="AD35" s="6">
        <f t="shared" si="29"/>
        <v>1</v>
      </c>
      <c r="AE35" s="6">
        <f t="shared" si="29"/>
        <v>0.1</v>
      </c>
      <c r="AF35" s="6">
        <f t="shared" si="29"/>
        <v>0</v>
      </c>
      <c r="AG35" s="21">
        <f t="shared" si="6"/>
        <v>1.7837831380909341</v>
      </c>
      <c r="AH35" s="22">
        <f t="shared" si="7"/>
        <v>7.2357730744056328</v>
      </c>
      <c r="AI35" s="23">
        <f t="shared" si="8"/>
        <v>3.1818822837375405</v>
      </c>
      <c r="AJ35" s="23">
        <f t="shared" si="8"/>
        <v>52.356411984293544</v>
      </c>
      <c r="AK35" s="24">
        <f t="shared" si="9"/>
        <v>5.2696439285795718</v>
      </c>
      <c r="AL35" s="25" t="str">
        <f t="shared" si="10"/>
        <v>sedang</v>
      </c>
    </row>
    <row r="36" spans="1:38" ht="16.5" x14ac:dyDescent="0.3">
      <c r="A36" s="13">
        <v>35</v>
      </c>
      <c r="B36" s="14" t="s">
        <v>25</v>
      </c>
      <c r="C36" s="34" t="s">
        <v>26</v>
      </c>
      <c r="D36" s="16">
        <v>43774</v>
      </c>
      <c r="E36" s="46">
        <v>35</v>
      </c>
      <c r="F36" s="36">
        <v>1</v>
      </c>
      <c r="G36" s="39">
        <v>98</v>
      </c>
      <c r="H36" s="39">
        <v>204</v>
      </c>
      <c r="I36" s="39">
        <v>0.6</v>
      </c>
      <c r="J36" s="20">
        <v>30760000</v>
      </c>
      <c r="K36" s="20">
        <v>64880000</v>
      </c>
      <c r="L36" s="3">
        <v>50</v>
      </c>
      <c r="M36" s="3">
        <v>4</v>
      </c>
      <c r="N36" s="3">
        <v>3</v>
      </c>
      <c r="O36" s="3">
        <v>25</v>
      </c>
      <c r="P36" s="3">
        <v>0.2</v>
      </c>
      <c r="Q36" s="3">
        <v>1000</v>
      </c>
      <c r="R36" s="3">
        <v>5000</v>
      </c>
      <c r="S36" s="4">
        <f t="shared" si="23"/>
        <v>0.7</v>
      </c>
      <c r="T36" s="4">
        <f t="shared" si="24"/>
        <v>0.5</v>
      </c>
      <c r="U36" s="4">
        <f t="shared" si="25"/>
        <v>32.666666666666664</v>
      </c>
      <c r="V36" s="4">
        <f t="shared" si="25"/>
        <v>8.16</v>
      </c>
      <c r="W36" s="5">
        <f t="shared" si="25"/>
        <v>2.9999999999999996</v>
      </c>
      <c r="X36" s="4">
        <f t="shared" si="25"/>
        <v>30760</v>
      </c>
      <c r="Y36" s="4"/>
      <c r="Z36" s="6">
        <f t="shared" si="26"/>
        <v>0.22549020007128406</v>
      </c>
      <c r="AA36" s="6">
        <f t="shared" si="27"/>
        <v>0.5</v>
      </c>
      <c r="AB36" s="6">
        <f t="shared" si="28"/>
        <v>8.5705241048641625</v>
      </c>
      <c r="AC36" s="6">
        <f t="shared" si="28"/>
        <v>5.558450793769306</v>
      </c>
      <c r="AD36" s="6">
        <f t="shared" si="29"/>
        <v>2.9999999999999996</v>
      </c>
      <c r="AE36" s="6">
        <f t="shared" si="29"/>
        <v>30760</v>
      </c>
      <c r="AF36" s="6">
        <f t="shared" si="29"/>
        <v>0</v>
      </c>
      <c r="AG36" s="21">
        <f t="shared" si="6"/>
        <v>4396.8363521569581</v>
      </c>
      <c r="AH36" s="22">
        <f t="shared" si="7"/>
        <v>30760</v>
      </c>
      <c r="AI36" s="23">
        <f t="shared" si="8"/>
        <v>19332169.907648906</v>
      </c>
      <c r="AJ36" s="23">
        <f t="shared" si="8"/>
        <v>946177600</v>
      </c>
      <c r="AK36" s="24">
        <f t="shared" si="9"/>
        <v>21971.683707759505</v>
      </c>
      <c r="AL36" s="25" t="str">
        <f t="shared" si="10"/>
        <v>berat</v>
      </c>
    </row>
    <row r="37" spans="1:38" ht="16.5" x14ac:dyDescent="0.3">
      <c r="A37" s="13">
        <v>36</v>
      </c>
      <c r="B37" s="14" t="s">
        <v>27</v>
      </c>
      <c r="C37" s="34" t="s">
        <v>28</v>
      </c>
      <c r="D37" s="16">
        <v>43774</v>
      </c>
      <c r="E37" s="46">
        <v>33</v>
      </c>
      <c r="F37" s="36">
        <v>1</v>
      </c>
      <c r="G37" s="39">
        <v>48</v>
      </c>
      <c r="H37" s="39">
        <v>118</v>
      </c>
      <c r="I37" s="39">
        <v>0.63</v>
      </c>
      <c r="J37" s="20">
        <v>780000</v>
      </c>
      <c r="K37" s="20">
        <v>61310000</v>
      </c>
      <c r="L37" s="3">
        <v>50</v>
      </c>
      <c r="M37" s="3">
        <v>4</v>
      </c>
      <c r="N37" s="3">
        <v>3</v>
      </c>
      <c r="O37" s="3">
        <v>25</v>
      </c>
      <c r="P37" s="3">
        <v>0.2</v>
      </c>
      <c r="Q37" s="3">
        <v>1000</v>
      </c>
      <c r="R37" s="3">
        <v>5000</v>
      </c>
      <c r="S37" s="4">
        <f t="shared" si="23"/>
        <v>0.66</v>
      </c>
      <c r="T37" s="4">
        <f t="shared" si="24"/>
        <v>0.5</v>
      </c>
      <c r="U37" s="4">
        <f t="shared" si="25"/>
        <v>16</v>
      </c>
      <c r="V37" s="4">
        <f t="shared" si="25"/>
        <v>4.72</v>
      </c>
      <c r="W37" s="5">
        <f t="shared" si="25"/>
        <v>3.15</v>
      </c>
      <c r="X37" s="4">
        <f t="shared" si="25"/>
        <v>780</v>
      </c>
      <c r="Y37" s="4"/>
      <c r="Z37" s="6">
        <f t="shared" si="26"/>
        <v>9.7719677709343422E-2</v>
      </c>
      <c r="AA37" s="6">
        <f t="shared" si="27"/>
        <v>0.5</v>
      </c>
      <c r="AB37" s="6">
        <f t="shared" si="28"/>
        <v>7.0205999132796242</v>
      </c>
      <c r="AC37" s="6">
        <f t="shared" si="28"/>
        <v>4.3697099931704386</v>
      </c>
      <c r="AD37" s="6">
        <f t="shared" si="29"/>
        <v>3.15</v>
      </c>
      <c r="AE37" s="6">
        <f t="shared" si="29"/>
        <v>780</v>
      </c>
      <c r="AF37" s="6">
        <f t="shared" si="29"/>
        <v>0</v>
      </c>
      <c r="AG37" s="21">
        <f t="shared" si="6"/>
        <v>113.59114708345135</v>
      </c>
      <c r="AH37" s="22">
        <f t="shared" si="7"/>
        <v>780</v>
      </c>
      <c r="AI37" s="23">
        <f t="shared" si="8"/>
        <v>12902.948695734278</v>
      </c>
      <c r="AJ37" s="23">
        <f t="shared" si="8"/>
        <v>608400</v>
      </c>
      <c r="AK37" s="24">
        <f t="shared" si="9"/>
        <v>557.36117047016035</v>
      </c>
      <c r="AL37" s="25" t="str">
        <f t="shared" si="10"/>
        <v>berat</v>
      </c>
    </row>
    <row r="38" spans="1:38" ht="16.5" x14ac:dyDescent="0.3">
      <c r="A38" s="13">
        <v>37</v>
      </c>
      <c r="B38" s="14" t="s">
        <v>29</v>
      </c>
      <c r="C38" s="34" t="s">
        <v>30</v>
      </c>
      <c r="D38" s="16">
        <v>43776</v>
      </c>
      <c r="E38" s="47">
        <v>211</v>
      </c>
      <c r="F38" s="39">
        <v>3.97</v>
      </c>
      <c r="G38" s="39">
        <v>47</v>
      </c>
      <c r="H38" s="39">
        <v>126</v>
      </c>
      <c r="I38" s="36">
        <v>0.16</v>
      </c>
      <c r="J38" s="20">
        <v>5480000</v>
      </c>
      <c r="K38" s="20">
        <v>27550000</v>
      </c>
      <c r="L38" s="3">
        <v>50</v>
      </c>
      <c r="M38" s="3">
        <v>4</v>
      </c>
      <c r="N38" s="3">
        <v>3</v>
      </c>
      <c r="O38" s="3">
        <v>25</v>
      </c>
      <c r="P38" s="3">
        <v>0.2</v>
      </c>
      <c r="Q38" s="3">
        <v>1000</v>
      </c>
      <c r="R38" s="3">
        <v>5000</v>
      </c>
      <c r="S38" s="4">
        <f t="shared" si="23"/>
        <v>4.22</v>
      </c>
      <c r="T38" s="4">
        <f t="shared" si="24"/>
        <v>0.2525</v>
      </c>
      <c r="U38" s="4">
        <f t="shared" si="25"/>
        <v>15.666666666666666</v>
      </c>
      <c r="V38" s="4">
        <f t="shared" si="25"/>
        <v>5.04</v>
      </c>
      <c r="W38" s="5">
        <f t="shared" si="25"/>
        <v>0.79999999999999993</v>
      </c>
      <c r="X38" s="4">
        <f t="shared" si="25"/>
        <v>5480</v>
      </c>
      <c r="Y38" s="4"/>
      <c r="Z38" s="6">
        <f t="shared" si="26"/>
        <v>4.1265622548083698</v>
      </c>
      <c r="AA38" s="6">
        <f t="shared" si="27"/>
        <v>0.2525</v>
      </c>
      <c r="AB38" s="6">
        <f t="shared" si="28"/>
        <v>6.9748830160802751</v>
      </c>
      <c r="AC38" s="6">
        <f t="shared" si="28"/>
        <v>4.5121526822276268</v>
      </c>
      <c r="AD38" s="6">
        <f t="shared" si="29"/>
        <v>0.79999999999999993</v>
      </c>
      <c r="AE38" s="6">
        <f t="shared" si="29"/>
        <v>5480</v>
      </c>
      <c r="AF38" s="6">
        <f t="shared" si="29"/>
        <v>0</v>
      </c>
      <c r="AG38" s="40">
        <f t="shared" si="6"/>
        <v>785.23801399330227</v>
      </c>
      <c r="AH38" s="41">
        <f t="shared" si="7"/>
        <v>5480</v>
      </c>
      <c r="AI38" s="42">
        <f t="shared" si="8"/>
        <v>616598.7386201456</v>
      </c>
      <c r="AJ38" s="42">
        <f t="shared" si="8"/>
        <v>30030400</v>
      </c>
      <c r="AK38" s="43">
        <f t="shared" si="9"/>
        <v>3914.5241561791486</v>
      </c>
      <c r="AL38" s="25" t="str">
        <f t="shared" si="10"/>
        <v>berat</v>
      </c>
    </row>
    <row r="39" spans="1:38" ht="16.5" x14ac:dyDescent="0.3">
      <c r="A39" s="13">
        <v>38</v>
      </c>
      <c r="B39" s="14" t="s">
        <v>31</v>
      </c>
      <c r="C39" s="34" t="s">
        <v>32</v>
      </c>
      <c r="D39" s="16">
        <v>43773</v>
      </c>
      <c r="E39" s="46">
        <v>35</v>
      </c>
      <c r="F39" s="36">
        <v>1.03</v>
      </c>
      <c r="G39" s="39">
        <v>59</v>
      </c>
      <c r="H39" s="39">
        <v>151</v>
      </c>
      <c r="I39" s="39">
        <v>0.48</v>
      </c>
      <c r="J39" s="20">
        <v>12033000</v>
      </c>
      <c r="K39" s="20">
        <v>92080000</v>
      </c>
      <c r="L39" s="3">
        <v>50</v>
      </c>
      <c r="M39" s="3">
        <v>4</v>
      </c>
      <c r="N39" s="3">
        <v>3</v>
      </c>
      <c r="O39" s="3">
        <v>25</v>
      </c>
      <c r="P39" s="3">
        <v>0.2</v>
      </c>
      <c r="Q39" s="3">
        <v>1000</v>
      </c>
      <c r="R39" s="3">
        <v>5000</v>
      </c>
      <c r="S39" s="4">
        <f t="shared" si="23"/>
        <v>0.7</v>
      </c>
      <c r="T39" s="4">
        <f t="shared" si="24"/>
        <v>0.4975</v>
      </c>
      <c r="U39" s="4">
        <f t="shared" si="25"/>
        <v>19.666666666666668</v>
      </c>
      <c r="V39" s="4">
        <f t="shared" si="25"/>
        <v>6.04</v>
      </c>
      <c r="W39" s="5">
        <f t="shared" si="25"/>
        <v>2.4</v>
      </c>
      <c r="X39" s="4">
        <f t="shared" si="25"/>
        <v>12033</v>
      </c>
      <c r="Y39" s="4"/>
      <c r="Z39" s="6">
        <f t="shared" si="26"/>
        <v>0.22549020007128406</v>
      </c>
      <c r="AA39" s="6">
        <f t="shared" si="27"/>
        <v>0.4975</v>
      </c>
      <c r="AB39" s="6">
        <f t="shared" si="28"/>
        <v>7.4686537846124095</v>
      </c>
      <c r="AC39" s="6">
        <f t="shared" si="28"/>
        <v>4.9051846931056593</v>
      </c>
      <c r="AD39" s="6">
        <f t="shared" si="29"/>
        <v>2.4</v>
      </c>
      <c r="AE39" s="6">
        <f t="shared" si="29"/>
        <v>12033</v>
      </c>
      <c r="AF39" s="6">
        <f t="shared" si="29"/>
        <v>0</v>
      </c>
      <c r="AG39" s="40">
        <f t="shared" si="6"/>
        <v>1721.2138326682557</v>
      </c>
      <c r="AH39" s="41">
        <f t="shared" si="7"/>
        <v>12033</v>
      </c>
      <c r="AI39" s="42">
        <f t="shared" si="8"/>
        <v>2962577.057768546</v>
      </c>
      <c r="AJ39" s="42">
        <f t="shared" si="8"/>
        <v>144793089</v>
      </c>
      <c r="AK39" s="43">
        <f t="shared" si="9"/>
        <v>8595.2215229675312</v>
      </c>
      <c r="AL39" s="25" t="str">
        <f t="shared" si="10"/>
        <v>berat</v>
      </c>
    </row>
    <row r="40" spans="1:38" ht="16.5" x14ac:dyDescent="0.3">
      <c r="A40" s="13">
        <v>39</v>
      </c>
      <c r="B40" s="14" t="s">
        <v>33</v>
      </c>
      <c r="C40" s="34" t="s">
        <v>34</v>
      </c>
      <c r="D40" s="16">
        <v>43775</v>
      </c>
      <c r="E40" s="46">
        <v>36</v>
      </c>
      <c r="F40" s="36">
        <v>1.3</v>
      </c>
      <c r="G40" s="39">
        <v>61</v>
      </c>
      <c r="H40" s="39">
        <v>200</v>
      </c>
      <c r="I40" s="39">
        <v>0.3</v>
      </c>
      <c r="J40" s="20">
        <v>21870000</v>
      </c>
      <c r="K40" s="20">
        <v>36540000</v>
      </c>
      <c r="L40" s="3">
        <v>50</v>
      </c>
      <c r="M40" s="3">
        <v>4</v>
      </c>
      <c r="N40" s="3">
        <v>3</v>
      </c>
      <c r="O40" s="3">
        <v>25</v>
      </c>
      <c r="P40" s="3">
        <v>0.2</v>
      </c>
      <c r="Q40" s="3">
        <v>1000</v>
      </c>
      <c r="R40" s="3">
        <v>5000</v>
      </c>
      <c r="S40" s="4">
        <f t="shared" si="23"/>
        <v>0.72</v>
      </c>
      <c r="T40" s="4">
        <f t="shared" si="24"/>
        <v>0.47500000000000003</v>
      </c>
      <c r="U40" s="4">
        <f t="shared" si="25"/>
        <v>20.333333333333332</v>
      </c>
      <c r="V40" s="4">
        <f t="shared" si="25"/>
        <v>8</v>
      </c>
      <c r="W40" s="5">
        <f t="shared" si="25"/>
        <v>1.4999999999999998</v>
      </c>
      <c r="X40" s="4">
        <f t="shared" si="25"/>
        <v>21870</v>
      </c>
      <c r="Y40" s="4"/>
      <c r="Z40" s="6">
        <f t="shared" si="26"/>
        <v>0.28666248215634216</v>
      </c>
      <c r="AA40" s="6">
        <f t="shared" si="27"/>
        <v>0.47500000000000003</v>
      </c>
      <c r="AB40" s="6">
        <f t="shared" si="28"/>
        <v>7.5410429014555227</v>
      </c>
      <c r="AC40" s="6">
        <f t="shared" si="28"/>
        <v>5.5154499349597179</v>
      </c>
      <c r="AD40" s="6">
        <f t="shared" si="29"/>
        <v>1.4999999999999998</v>
      </c>
      <c r="AE40" s="6">
        <f t="shared" si="29"/>
        <v>21870</v>
      </c>
      <c r="AF40" s="6">
        <f t="shared" si="29"/>
        <v>0</v>
      </c>
      <c r="AG40" s="40">
        <f t="shared" si="6"/>
        <v>3126.4740221883671</v>
      </c>
      <c r="AH40" s="41">
        <f t="shared" si="7"/>
        <v>21870</v>
      </c>
      <c r="AI40" s="42">
        <f t="shared" si="8"/>
        <v>9774839.8114187066</v>
      </c>
      <c r="AJ40" s="42">
        <f t="shared" si="8"/>
        <v>478296900</v>
      </c>
      <c r="AK40" s="43">
        <f t="shared" si="9"/>
        <v>15621.647477321634</v>
      </c>
      <c r="AL40" s="25" t="str">
        <f t="shared" si="10"/>
        <v>berat</v>
      </c>
    </row>
    <row r="41" spans="1:38" ht="16.5" x14ac:dyDescent="0.3">
      <c r="A41" s="13">
        <v>40</v>
      </c>
      <c r="B41" s="14" t="s">
        <v>35</v>
      </c>
      <c r="C41" s="34" t="s">
        <v>36</v>
      </c>
      <c r="D41" s="16">
        <v>43775</v>
      </c>
      <c r="E41" s="46">
        <v>22</v>
      </c>
      <c r="F41" s="36">
        <v>1</v>
      </c>
      <c r="G41" s="39">
        <v>26</v>
      </c>
      <c r="H41" s="39">
        <v>61</v>
      </c>
      <c r="I41" s="39">
        <v>0.4</v>
      </c>
      <c r="J41" s="20">
        <v>11199000</v>
      </c>
      <c r="K41" s="20">
        <v>27550000</v>
      </c>
      <c r="L41" s="3">
        <v>50</v>
      </c>
      <c r="M41" s="3">
        <v>4</v>
      </c>
      <c r="N41" s="3">
        <v>3</v>
      </c>
      <c r="O41" s="3">
        <v>25</v>
      </c>
      <c r="P41" s="3">
        <v>0.2</v>
      </c>
      <c r="Q41" s="3">
        <v>1000</v>
      </c>
      <c r="R41" s="3">
        <v>5000</v>
      </c>
      <c r="S41" s="4">
        <f t="shared" si="23"/>
        <v>0.44</v>
      </c>
      <c r="T41" s="4">
        <f t="shared" si="24"/>
        <v>0.5</v>
      </c>
      <c r="U41" s="4">
        <f t="shared" si="25"/>
        <v>8.6666666666666661</v>
      </c>
      <c r="V41" s="4">
        <f t="shared" si="25"/>
        <v>2.44</v>
      </c>
      <c r="W41" s="5">
        <f t="shared" si="25"/>
        <v>2</v>
      </c>
      <c r="X41" s="4">
        <f t="shared" si="25"/>
        <v>11199</v>
      </c>
      <c r="Y41" s="4"/>
      <c r="Z41" s="6">
        <f t="shared" si="26"/>
        <v>-0.78273661756906288</v>
      </c>
      <c r="AA41" s="6">
        <f t="shared" si="27"/>
        <v>0.5</v>
      </c>
      <c r="AB41" s="6">
        <f t="shared" si="28"/>
        <v>5.6892604662557771</v>
      </c>
      <c r="AC41" s="6">
        <f t="shared" si="28"/>
        <v>2.9369491316936474</v>
      </c>
      <c r="AD41" s="6">
        <f t="shared" si="29"/>
        <v>2</v>
      </c>
      <c r="AE41" s="6">
        <f t="shared" si="29"/>
        <v>11199</v>
      </c>
      <c r="AF41" s="6">
        <f t="shared" si="29"/>
        <v>0</v>
      </c>
      <c r="AG41" s="40">
        <f t="shared" si="6"/>
        <v>1601.3347818543402</v>
      </c>
      <c r="AH41" s="41">
        <f t="shared" si="7"/>
        <v>11199</v>
      </c>
      <c r="AI41" s="42">
        <f t="shared" si="8"/>
        <v>2564273.0835764874</v>
      </c>
      <c r="AJ41" s="42">
        <f t="shared" si="8"/>
        <v>125417601</v>
      </c>
      <c r="AK41" s="43">
        <f t="shared" si="9"/>
        <v>7999.4335450573153</v>
      </c>
      <c r="AL41" s="25" t="str">
        <f t="shared" si="10"/>
        <v>berat</v>
      </c>
    </row>
    <row r="42" spans="1:38" ht="16.5" x14ac:dyDescent="0.3">
      <c r="A42" s="13">
        <v>41</v>
      </c>
      <c r="B42" s="14" t="s">
        <v>37</v>
      </c>
      <c r="C42" s="34" t="s">
        <v>38</v>
      </c>
      <c r="D42" s="16">
        <v>43775</v>
      </c>
      <c r="E42" s="46">
        <v>30</v>
      </c>
      <c r="F42" s="36">
        <v>1.29</v>
      </c>
      <c r="G42" s="39">
        <v>18</v>
      </c>
      <c r="H42" s="39">
        <v>100</v>
      </c>
      <c r="I42" s="39">
        <v>0.3</v>
      </c>
      <c r="J42" s="20">
        <v>4366500</v>
      </c>
      <c r="K42" s="20">
        <v>36730000</v>
      </c>
      <c r="L42" s="3">
        <v>50</v>
      </c>
      <c r="M42" s="3">
        <v>4</v>
      </c>
      <c r="N42" s="3">
        <v>3</v>
      </c>
      <c r="O42" s="3">
        <v>25</v>
      </c>
      <c r="P42" s="3">
        <v>0.2</v>
      </c>
      <c r="Q42" s="3">
        <v>1000</v>
      </c>
      <c r="R42" s="3">
        <v>5000</v>
      </c>
      <c r="S42" s="4">
        <f t="shared" si="23"/>
        <v>0.6</v>
      </c>
      <c r="T42" s="4">
        <f t="shared" si="24"/>
        <v>0.47583333333333333</v>
      </c>
      <c r="U42" s="4">
        <f t="shared" si="25"/>
        <v>6</v>
      </c>
      <c r="V42" s="4">
        <f t="shared" si="25"/>
        <v>4</v>
      </c>
      <c r="W42" s="5">
        <f t="shared" si="25"/>
        <v>1.4999999999999998</v>
      </c>
      <c r="X42" s="4">
        <f t="shared" si="25"/>
        <v>4366.5</v>
      </c>
      <c r="Y42" s="4"/>
      <c r="Z42" s="6">
        <f t="shared" si="26"/>
        <v>-0.10924374808178205</v>
      </c>
      <c r="AA42" s="6">
        <f t="shared" si="27"/>
        <v>0.47583333333333333</v>
      </c>
      <c r="AB42" s="6">
        <f t="shared" si="28"/>
        <v>4.8907562519182184</v>
      </c>
      <c r="AC42" s="6">
        <f t="shared" si="28"/>
        <v>4.0102999566398125</v>
      </c>
      <c r="AD42" s="6">
        <f t="shared" si="29"/>
        <v>1.4999999999999998</v>
      </c>
      <c r="AE42" s="6">
        <f t="shared" si="29"/>
        <v>4366.5</v>
      </c>
      <c r="AF42" s="6">
        <f t="shared" si="29"/>
        <v>0</v>
      </c>
      <c r="AG42" s="40">
        <f t="shared" si="6"/>
        <v>625.32394939911569</v>
      </c>
      <c r="AH42" s="41">
        <f t="shared" si="7"/>
        <v>4366.5</v>
      </c>
      <c r="AI42" s="42">
        <f t="shared" si="8"/>
        <v>391030.0416921078</v>
      </c>
      <c r="AJ42" s="42">
        <f t="shared" si="8"/>
        <v>19066322.25</v>
      </c>
      <c r="AK42" s="43">
        <f t="shared" si="9"/>
        <v>3119.0825807993692</v>
      </c>
      <c r="AL42" s="25" t="str">
        <f t="shared" si="10"/>
        <v>berat</v>
      </c>
    </row>
    <row r="43" spans="1:38" ht="16.5" x14ac:dyDescent="0.3">
      <c r="A43" s="13">
        <v>42</v>
      </c>
      <c r="B43" s="14" t="s">
        <v>39</v>
      </c>
      <c r="C43" s="34" t="s">
        <v>40</v>
      </c>
      <c r="D43" s="16">
        <v>43775</v>
      </c>
      <c r="E43" s="46">
        <v>26</v>
      </c>
      <c r="F43" s="36">
        <v>1</v>
      </c>
      <c r="G43" s="39">
        <v>78</v>
      </c>
      <c r="H43" s="39">
        <v>192</v>
      </c>
      <c r="I43" s="39">
        <v>1</v>
      </c>
      <c r="J43" s="20">
        <v>12010000</v>
      </c>
      <c r="K43" s="20">
        <v>111990000</v>
      </c>
      <c r="L43" s="3">
        <v>50</v>
      </c>
      <c r="M43" s="3">
        <v>4</v>
      </c>
      <c r="N43" s="3">
        <v>3</v>
      </c>
      <c r="O43" s="3">
        <v>25</v>
      </c>
      <c r="P43" s="3">
        <v>0.2</v>
      </c>
      <c r="Q43" s="3">
        <v>1000</v>
      </c>
      <c r="R43" s="3">
        <v>5000</v>
      </c>
      <c r="S43" s="4">
        <f t="shared" si="23"/>
        <v>0.52</v>
      </c>
      <c r="T43" s="4">
        <f t="shared" si="24"/>
        <v>0.5</v>
      </c>
      <c r="U43" s="4">
        <f t="shared" si="25"/>
        <v>26</v>
      </c>
      <c r="V43" s="4">
        <f t="shared" si="25"/>
        <v>7.68</v>
      </c>
      <c r="W43" s="5">
        <f t="shared" si="25"/>
        <v>5</v>
      </c>
      <c r="X43" s="4">
        <f t="shared" si="25"/>
        <v>12010</v>
      </c>
      <c r="Y43" s="4"/>
      <c r="Z43" s="6">
        <f t="shared" si="26"/>
        <v>-0.41998328182600408</v>
      </c>
      <c r="AA43" s="6">
        <f t="shared" si="27"/>
        <v>0.5</v>
      </c>
      <c r="AB43" s="6">
        <f t="shared" si="28"/>
        <v>8.074866739854091</v>
      </c>
      <c r="AC43" s="6">
        <f t="shared" si="28"/>
        <v>5.4268061001575596</v>
      </c>
      <c r="AD43" s="6">
        <f t="shared" si="29"/>
        <v>5</v>
      </c>
      <c r="AE43" s="6">
        <f t="shared" si="29"/>
        <v>12010</v>
      </c>
      <c r="AF43" s="6">
        <f t="shared" si="29"/>
        <v>0</v>
      </c>
      <c r="AG43" s="40">
        <f t="shared" si="6"/>
        <v>1718.3688127940263</v>
      </c>
      <c r="AH43" s="41">
        <f t="shared" si="7"/>
        <v>12010</v>
      </c>
      <c r="AI43" s="42">
        <f t="shared" si="8"/>
        <v>2952791.3767831516</v>
      </c>
      <c r="AJ43" s="42">
        <f t="shared" si="8"/>
        <v>144240100</v>
      </c>
      <c r="AK43" s="43">
        <f t="shared" si="9"/>
        <v>8578.8370825183283</v>
      </c>
      <c r="AL43" s="25" t="str">
        <f t="shared" si="10"/>
        <v>berat</v>
      </c>
    </row>
    <row r="44" spans="1:38" ht="16.5" x14ac:dyDescent="0.3">
      <c r="A44" s="13">
        <v>43</v>
      </c>
      <c r="B44" s="14" t="s">
        <v>41</v>
      </c>
      <c r="C44" s="34" t="s">
        <v>42</v>
      </c>
      <c r="D44" s="16">
        <v>43773</v>
      </c>
      <c r="E44" s="47">
        <v>98</v>
      </c>
      <c r="F44" s="39">
        <v>6.19</v>
      </c>
      <c r="G44" s="39">
        <v>22</v>
      </c>
      <c r="H44" s="39">
        <v>50</v>
      </c>
      <c r="I44" s="39">
        <v>0.22</v>
      </c>
      <c r="J44" s="20">
        <v>3076000</v>
      </c>
      <c r="K44" s="20">
        <v>17220000</v>
      </c>
      <c r="L44" s="3">
        <v>50</v>
      </c>
      <c r="M44" s="3">
        <v>4</v>
      </c>
      <c r="N44" s="3">
        <v>3</v>
      </c>
      <c r="O44" s="3">
        <v>25</v>
      </c>
      <c r="P44" s="3">
        <v>0.2</v>
      </c>
      <c r="Q44" s="3">
        <v>1000</v>
      </c>
      <c r="R44" s="3">
        <v>5000</v>
      </c>
      <c r="S44" s="4">
        <f t="shared" si="23"/>
        <v>1.96</v>
      </c>
      <c r="T44" s="4">
        <f t="shared" si="24"/>
        <v>6.7499999999999963E-2</v>
      </c>
      <c r="U44" s="4">
        <f t="shared" si="25"/>
        <v>7.333333333333333</v>
      </c>
      <c r="V44" s="4">
        <f t="shared" si="25"/>
        <v>2</v>
      </c>
      <c r="W44" s="5">
        <f t="shared" si="25"/>
        <v>1.0999999999999999</v>
      </c>
      <c r="X44" s="4">
        <f t="shared" si="25"/>
        <v>3076</v>
      </c>
      <c r="Y44" s="4"/>
      <c r="Z44" s="6">
        <f t="shared" si="26"/>
        <v>2.46128035678238</v>
      </c>
      <c r="AA44" s="6">
        <f t="shared" si="27"/>
        <v>6.7499999999999963E-2</v>
      </c>
      <c r="AB44" s="6">
        <f t="shared" si="28"/>
        <v>5.3265071305127192</v>
      </c>
      <c r="AC44" s="6">
        <f t="shared" si="28"/>
        <v>2.5051499783199063</v>
      </c>
      <c r="AD44" s="6">
        <f t="shared" si="29"/>
        <v>1.0999999999999999</v>
      </c>
      <c r="AE44" s="6">
        <f t="shared" si="29"/>
        <v>3076</v>
      </c>
      <c r="AF44" s="6">
        <f t="shared" si="29"/>
        <v>0</v>
      </c>
      <c r="AG44" s="21">
        <f t="shared" si="6"/>
        <v>441.06577678080214</v>
      </c>
      <c r="AH44" s="22">
        <f t="shared" si="7"/>
        <v>3076</v>
      </c>
      <c r="AI44" s="23">
        <f t="shared" si="8"/>
        <v>194539.01944725239</v>
      </c>
      <c r="AJ44" s="23">
        <f t="shared" si="8"/>
        <v>9461776</v>
      </c>
      <c r="AK44" s="24">
        <f t="shared" si="9"/>
        <v>2197.3068765476582</v>
      </c>
      <c r="AL44" s="25" t="str">
        <f t="shared" si="10"/>
        <v>berat</v>
      </c>
    </row>
    <row r="45" spans="1:38" ht="16.5" x14ac:dyDescent="0.3">
      <c r="A45" s="13">
        <v>44</v>
      </c>
      <c r="B45" s="14" t="s">
        <v>43</v>
      </c>
      <c r="C45" s="34" t="s">
        <v>44</v>
      </c>
      <c r="D45" s="16">
        <v>43773</v>
      </c>
      <c r="E45" s="47">
        <v>72</v>
      </c>
      <c r="F45" s="39">
        <v>5.53</v>
      </c>
      <c r="G45" s="39">
        <v>39</v>
      </c>
      <c r="H45" s="39">
        <v>92</v>
      </c>
      <c r="I45" s="36">
        <v>0.16</v>
      </c>
      <c r="J45" s="20">
        <v>5475000</v>
      </c>
      <c r="K45" s="20">
        <v>22470000</v>
      </c>
      <c r="L45" s="3">
        <v>50</v>
      </c>
      <c r="M45" s="3">
        <v>4</v>
      </c>
      <c r="N45" s="3">
        <v>3</v>
      </c>
      <c r="O45" s="3">
        <v>25</v>
      </c>
      <c r="P45" s="3">
        <v>0.2</v>
      </c>
      <c r="Q45" s="3">
        <v>1000</v>
      </c>
      <c r="R45" s="3">
        <v>5000</v>
      </c>
      <c r="S45" s="4">
        <f t="shared" si="23"/>
        <v>1.44</v>
      </c>
      <c r="T45" s="4">
        <f t="shared" si="24"/>
        <v>0.12249999999999998</v>
      </c>
      <c r="U45" s="4">
        <f t="shared" si="25"/>
        <v>13</v>
      </c>
      <c r="V45" s="4">
        <f t="shared" si="25"/>
        <v>3.68</v>
      </c>
      <c r="W45" s="5">
        <f t="shared" si="25"/>
        <v>0.79999999999999993</v>
      </c>
      <c r="X45" s="4">
        <f t="shared" si="25"/>
        <v>5475</v>
      </c>
      <c r="Y45" s="4"/>
      <c r="Z45" s="6">
        <f t="shared" si="26"/>
        <v>1.7918124604762482</v>
      </c>
      <c r="AA45" s="6">
        <f t="shared" si="27"/>
        <v>0.12249999999999998</v>
      </c>
      <c r="AB45" s="6">
        <f t="shared" si="28"/>
        <v>6.5697167615341838</v>
      </c>
      <c r="AC45" s="6">
        <f t="shared" si="28"/>
        <v>3.8292390933675882</v>
      </c>
      <c r="AD45" s="6">
        <f t="shared" si="29"/>
        <v>0.79999999999999993</v>
      </c>
      <c r="AE45" s="6">
        <f t="shared" si="29"/>
        <v>5475</v>
      </c>
      <c r="AF45" s="6">
        <f t="shared" si="29"/>
        <v>0</v>
      </c>
      <c r="AG45" s="21">
        <f t="shared" si="6"/>
        <v>784.01618118791123</v>
      </c>
      <c r="AH45" s="22">
        <f t="shared" si="7"/>
        <v>5475</v>
      </c>
      <c r="AI45" s="23">
        <f t="shared" si="8"/>
        <v>614681.37236447562</v>
      </c>
      <c r="AJ45" s="23">
        <f t="shared" si="8"/>
        <v>29975625</v>
      </c>
      <c r="AK45" s="24">
        <f t="shared" si="9"/>
        <v>3910.9018379629829</v>
      </c>
      <c r="AL45" s="25" t="str">
        <f t="shared" si="10"/>
        <v>berat</v>
      </c>
    </row>
    <row r="46" spans="1:38" ht="17.25" thickBot="1" x14ac:dyDescent="0.35">
      <c r="A46" s="13">
        <v>45</v>
      </c>
      <c r="B46" s="14" t="s">
        <v>45</v>
      </c>
      <c r="C46" s="34" t="s">
        <v>48</v>
      </c>
      <c r="D46" s="16">
        <v>43773</v>
      </c>
      <c r="E46" s="47">
        <v>57</v>
      </c>
      <c r="F46" s="39">
        <v>4.3099999999999996</v>
      </c>
      <c r="G46" s="39">
        <v>21</v>
      </c>
      <c r="H46" s="39">
        <v>73</v>
      </c>
      <c r="I46" s="36">
        <v>0.16</v>
      </c>
      <c r="J46" s="20">
        <v>1455000</v>
      </c>
      <c r="K46" s="20">
        <v>22470000</v>
      </c>
      <c r="L46" s="3">
        <v>50</v>
      </c>
      <c r="M46" s="3">
        <v>4</v>
      </c>
      <c r="N46" s="3">
        <v>3</v>
      </c>
      <c r="O46" s="3">
        <v>25</v>
      </c>
      <c r="P46" s="3">
        <v>0.2</v>
      </c>
      <c r="Q46" s="3">
        <v>1000</v>
      </c>
      <c r="R46" s="3">
        <v>5000</v>
      </c>
      <c r="S46" s="4">
        <f t="shared" si="23"/>
        <v>1.1399999999999999</v>
      </c>
      <c r="T46" s="4">
        <f t="shared" si="24"/>
        <v>0.22416666666666671</v>
      </c>
      <c r="U46" s="4">
        <f t="shared" si="25"/>
        <v>7</v>
      </c>
      <c r="V46" s="4">
        <f t="shared" si="25"/>
        <v>2.92</v>
      </c>
      <c r="W46" s="5">
        <f t="shared" si="25"/>
        <v>0.79999999999999993</v>
      </c>
      <c r="X46" s="4">
        <f t="shared" si="25"/>
        <v>1455</v>
      </c>
      <c r="Y46" s="4"/>
      <c r="Z46" s="6">
        <f t="shared" si="26"/>
        <v>1.2845242566823627</v>
      </c>
      <c r="AA46" s="6">
        <f t="shared" si="27"/>
        <v>0.22416666666666671</v>
      </c>
      <c r="AB46" s="6">
        <f t="shared" si="28"/>
        <v>5.2254902000712837</v>
      </c>
      <c r="AC46" s="6">
        <f t="shared" si="28"/>
        <v>3.3269142572420916</v>
      </c>
      <c r="AD46" s="6">
        <f t="shared" si="29"/>
        <v>0.79999999999999993</v>
      </c>
      <c r="AE46" s="6">
        <f t="shared" si="29"/>
        <v>1455</v>
      </c>
      <c r="AF46" s="6">
        <f t="shared" si="29"/>
        <v>0</v>
      </c>
      <c r="AG46" s="21">
        <f t="shared" si="6"/>
        <v>209.40872791152319</v>
      </c>
      <c r="AH46" s="22">
        <f t="shared" si="7"/>
        <v>1455</v>
      </c>
      <c r="AI46" s="23">
        <f t="shared" si="8"/>
        <v>43852.015325522349</v>
      </c>
      <c r="AJ46" s="23">
        <f t="shared" si="8"/>
        <v>2117025</v>
      </c>
      <c r="AK46" s="24">
        <f t="shared" si="9"/>
        <v>1039.4414402277607</v>
      </c>
      <c r="AL46" s="25" t="str">
        <f t="shared" si="10"/>
        <v>berat</v>
      </c>
    </row>
    <row r="47" spans="1:38" ht="17.25" thickBot="1" x14ac:dyDescent="0.35">
      <c r="A47" s="13">
        <v>46</v>
      </c>
      <c r="B47" s="14" t="s">
        <v>17</v>
      </c>
      <c r="C47" s="14"/>
      <c r="D47" s="49"/>
      <c r="E47" s="19"/>
      <c r="F47" s="50">
        <v>7.25</v>
      </c>
      <c r="G47" s="50">
        <v>0</v>
      </c>
      <c r="H47" s="50">
        <v>14.4</v>
      </c>
      <c r="I47" s="50"/>
      <c r="J47" s="51">
        <v>4600</v>
      </c>
      <c r="K47" s="51">
        <v>990000</v>
      </c>
      <c r="L47" s="48">
        <v>50</v>
      </c>
      <c r="M47" s="48">
        <v>4</v>
      </c>
      <c r="N47" s="48">
        <v>3</v>
      </c>
      <c r="O47" s="48">
        <v>25</v>
      </c>
      <c r="P47" s="48">
        <v>0.2</v>
      </c>
      <c r="Q47" s="48">
        <v>1000</v>
      </c>
      <c r="R47" s="48">
        <v>5000</v>
      </c>
      <c r="S47" s="4">
        <f t="shared" si="23"/>
        <v>0</v>
      </c>
      <c r="T47" s="4">
        <f>((7-F47)/(7-M47))/M47</f>
        <v>-2.0833333333333332E-2</v>
      </c>
      <c r="U47" s="4">
        <f t="shared" si="25"/>
        <v>0</v>
      </c>
      <c r="V47" s="4">
        <f t="shared" si="25"/>
        <v>0.57600000000000007</v>
      </c>
      <c r="W47" s="5">
        <f t="shared" si="25"/>
        <v>0</v>
      </c>
      <c r="X47" s="4">
        <f t="shared" si="25"/>
        <v>4.5999999999999996</v>
      </c>
      <c r="Y47" s="4">
        <f t="shared" si="25"/>
        <v>198</v>
      </c>
      <c r="Z47" s="6">
        <f>S47</f>
        <v>0</v>
      </c>
      <c r="AA47" s="6">
        <f>T47</f>
        <v>-2.0833333333333332E-2</v>
      </c>
      <c r="AB47" s="6">
        <f>U47</f>
        <v>0</v>
      </c>
      <c r="AC47" s="6">
        <f>V47</f>
        <v>0.57600000000000007</v>
      </c>
      <c r="AD47" s="6">
        <f t="shared" si="29"/>
        <v>0</v>
      </c>
      <c r="AE47" s="6">
        <f t="shared" ref="AE47:AF61" si="30">1+(5*(LOG10(J47/Q47)))</f>
        <v>4.3137891584078707</v>
      </c>
      <c r="AF47" s="6">
        <f t="shared" si="30"/>
        <v>12.483325951307656</v>
      </c>
      <c r="AG47" s="52">
        <f>AVERAGE(Z47:AF47)</f>
        <v>2.4788973966260275</v>
      </c>
      <c r="AH47" s="53">
        <f>MAX(Z47:AG47)</f>
        <v>12.483325951307656</v>
      </c>
      <c r="AI47" s="54">
        <f>POWER(AG47,2)</f>
        <v>6.1449323029992966</v>
      </c>
      <c r="AJ47" s="54">
        <f>POWER(AH47,2)</f>
        <v>155.83342680659118</v>
      </c>
      <c r="AK47" s="55">
        <f>SQRT((AI47+AJ47)/2)</f>
        <v>8.999398844078156</v>
      </c>
      <c r="AL47" s="56" t="str">
        <f>IF(ISNUMBER(AK47),IF(AK47&lt;=1,"memenuhi",IF(AK47&lt;=5,"ringan",IF(AK47&lt;=10,"sedang","berat"))),"")</f>
        <v>sedang</v>
      </c>
    </row>
    <row r="48" spans="1:38" ht="17.25" thickBot="1" x14ac:dyDescent="0.35">
      <c r="A48" s="13">
        <v>47</v>
      </c>
      <c r="B48" s="14" t="s">
        <v>49</v>
      </c>
      <c r="C48" s="14"/>
      <c r="D48" s="49">
        <v>41037</v>
      </c>
      <c r="E48" s="19">
        <v>121</v>
      </c>
      <c r="F48" s="50">
        <v>5.13</v>
      </c>
      <c r="G48" s="50">
        <v>4.95</v>
      </c>
      <c r="H48" s="50">
        <v>14.5</v>
      </c>
      <c r="I48" s="50"/>
      <c r="J48" s="51">
        <v>100000</v>
      </c>
      <c r="K48" s="51">
        <v>212000000</v>
      </c>
      <c r="L48" s="48">
        <v>50</v>
      </c>
      <c r="M48" s="48">
        <v>4</v>
      </c>
      <c r="N48" s="48">
        <v>3</v>
      </c>
      <c r="O48" s="48">
        <v>25</v>
      </c>
      <c r="P48" s="48">
        <v>0.2</v>
      </c>
      <c r="Q48" s="48">
        <v>1000</v>
      </c>
      <c r="R48" s="48">
        <v>5000</v>
      </c>
      <c r="S48" s="4">
        <f t="shared" si="23"/>
        <v>2.42</v>
      </c>
      <c r="T48" s="4">
        <f t="shared" ref="T48:T60" si="31">((7-F48)/(7-M48))/M48</f>
        <v>0.15583333333333335</v>
      </c>
      <c r="U48" s="4">
        <f t="shared" ref="U48:Y63" si="32">G48/N48</f>
        <v>1.6500000000000001</v>
      </c>
      <c r="V48" s="4">
        <f t="shared" si="32"/>
        <v>0.57999999999999996</v>
      </c>
      <c r="W48" s="5">
        <f t="shared" si="32"/>
        <v>0</v>
      </c>
      <c r="X48" s="4">
        <f t="shared" si="32"/>
        <v>100</v>
      </c>
      <c r="Y48" s="4">
        <f t="shared" si="32"/>
        <v>42400</v>
      </c>
      <c r="Z48" s="6">
        <f t="shared" ref="Z48:AC63" si="33">1+(5*(LOG10(E48/L48)))</f>
        <v>2.9190768299021563</v>
      </c>
      <c r="AA48" s="6">
        <f>T48</f>
        <v>0.15583333333333335</v>
      </c>
      <c r="AB48" s="6">
        <f t="shared" si="33"/>
        <v>2.0874197210695318</v>
      </c>
      <c r="AC48" s="6">
        <f t="shared" si="33"/>
        <v>-0.18286003218531377</v>
      </c>
      <c r="AD48" s="6">
        <f t="shared" si="29"/>
        <v>0</v>
      </c>
      <c r="AE48" s="6">
        <f t="shared" si="30"/>
        <v>11</v>
      </c>
      <c r="AF48" s="6">
        <f t="shared" si="30"/>
        <v>24.136829282963664</v>
      </c>
      <c r="AG48" s="52">
        <f t="shared" ref="AG48:AG61" si="34">AVERAGE(Z48:AF48)</f>
        <v>5.7308998764404819</v>
      </c>
      <c r="AH48" s="53">
        <f t="shared" ref="AH48:AH61" si="35">MAX(Z48:AG48)</f>
        <v>24.136829282963664</v>
      </c>
      <c r="AI48" s="54">
        <f t="shared" ref="AI48:AJ61" si="36">POWER(AG48,2)</f>
        <v>32.843213393785533</v>
      </c>
      <c r="AJ48" s="54">
        <f t="shared" si="36"/>
        <v>582.58652783493221</v>
      </c>
      <c r="AK48" s="55">
        <f t="shared" ref="AK48:AK61" si="37">SQRT((AI48+AJ48)/2)</f>
        <v>17.541803516581723</v>
      </c>
      <c r="AL48" s="57" t="str">
        <f>IF(ISNUMBER(AK48),IF(AK48&lt;=1,"memenuhi",IF(AK48&lt;=5,"ringan",IF(AK48&lt;=10,"sedang","berat"))),"")</f>
        <v>berat</v>
      </c>
    </row>
    <row r="49" spans="1:38" ht="17.25" thickBot="1" x14ac:dyDescent="0.35">
      <c r="A49" s="13">
        <v>48</v>
      </c>
      <c r="B49" s="14" t="s">
        <v>50</v>
      </c>
      <c r="C49" s="14"/>
      <c r="D49" s="49">
        <v>41036</v>
      </c>
      <c r="E49" s="19">
        <v>707</v>
      </c>
      <c r="F49" s="50">
        <v>3.02</v>
      </c>
      <c r="G49" s="50">
        <v>7.86</v>
      </c>
      <c r="H49" s="50">
        <v>34.700000000000003</v>
      </c>
      <c r="I49" s="50"/>
      <c r="J49" s="51">
        <v>2500</v>
      </c>
      <c r="K49" s="51">
        <v>296000000</v>
      </c>
      <c r="L49" s="48">
        <v>50</v>
      </c>
      <c r="M49" s="48">
        <v>4</v>
      </c>
      <c r="N49" s="48">
        <v>3</v>
      </c>
      <c r="O49" s="48">
        <v>25</v>
      </c>
      <c r="P49" s="48">
        <v>0.2</v>
      </c>
      <c r="Q49" s="48">
        <v>1000</v>
      </c>
      <c r="R49" s="48">
        <v>5000</v>
      </c>
      <c r="S49" s="4">
        <f t="shared" si="23"/>
        <v>14.14</v>
      </c>
      <c r="T49" s="4">
        <f t="shared" si="31"/>
        <v>0.33166666666666667</v>
      </c>
      <c r="U49" s="4">
        <f t="shared" si="32"/>
        <v>2.62</v>
      </c>
      <c r="V49" s="4">
        <f t="shared" si="32"/>
        <v>1.3880000000000001</v>
      </c>
      <c r="W49" s="5">
        <f t="shared" si="32"/>
        <v>0</v>
      </c>
      <c r="X49" s="4">
        <f t="shared" si="32"/>
        <v>2.5</v>
      </c>
      <c r="Y49" s="4">
        <f t="shared" si="32"/>
        <v>59200</v>
      </c>
      <c r="Z49" s="6">
        <f t="shared" si="33"/>
        <v>6.7522470473044027</v>
      </c>
      <c r="AA49" s="6">
        <f t="shared" ref="AA49:AF64" si="38">T49</f>
        <v>0.33166666666666667</v>
      </c>
      <c r="AB49" s="6">
        <f t="shared" si="33"/>
        <v>3.0915064565987276</v>
      </c>
      <c r="AC49" s="6">
        <f t="shared" si="33"/>
        <v>1.7119473305941808</v>
      </c>
      <c r="AD49" s="6">
        <f t="shared" si="38"/>
        <v>0</v>
      </c>
      <c r="AE49" s="6">
        <f t="shared" si="30"/>
        <v>2.9897000433601879</v>
      </c>
      <c r="AF49" s="6">
        <f t="shared" si="30"/>
        <v>24.8616085336146</v>
      </c>
      <c r="AG49" s="52">
        <f t="shared" si="34"/>
        <v>5.6769537254483948</v>
      </c>
      <c r="AH49" s="53">
        <f t="shared" si="35"/>
        <v>24.8616085336146</v>
      </c>
      <c r="AI49" s="54">
        <f t="shared" si="36"/>
        <v>32.22780360088241</v>
      </c>
      <c r="AJ49" s="54">
        <f t="shared" si="36"/>
        <v>618.09957887869825</v>
      </c>
      <c r="AK49" s="55">
        <f t="shared" si="37"/>
        <v>18.032295783948044</v>
      </c>
      <c r="AL49" s="57" t="str">
        <f>IF(ISNUMBER(AK49),IF(AK49&lt;=1,"memenuhi",IF(AK49&lt;=5,"ringan",IF(AK49&lt;=10,"sedang","berat"))),"")</f>
        <v>berat</v>
      </c>
    </row>
    <row r="50" spans="1:38" ht="17.25" thickBot="1" x14ac:dyDescent="0.35">
      <c r="A50" s="13">
        <v>49</v>
      </c>
      <c r="B50" s="14" t="s">
        <v>29</v>
      </c>
      <c r="C50" s="14"/>
      <c r="D50" s="49"/>
      <c r="E50" s="19">
        <v>0</v>
      </c>
      <c r="F50" s="50">
        <v>3.3</v>
      </c>
      <c r="G50" s="50">
        <v>14.7</v>
      </c>
      <c r="H50" s="50">
        <v>56.2</v>
      </c>
      <c r="I50" s="50"/>
      <c r="J50" s="51">
        <v>1460000</v>
      </c>
      <c r="K50" s="51">
        <v>2080000</v>
      </c>
      <c r="L50" s="48">
        <v>50</v>
      </c>
      <c r="M50" s="48">
        <v>4</v>
      </c>
      <c r="N50" s="48">
        <v>3</v>
      </c>
      <c r="O50" s="48">
        <v>25</v>
      </c>
      <c r="P50" s="48">
        <v>0.2</v>
      </c>
      <c r="Q50" s="48">
        <v>1000</v>
      </c>
      <c r="R50" s="48">
        <v>5000</v>
      </c>
      <c r="S50" s="4">
        <f t="shared" si="23"/>
        <v>0</v>
      </c>
      <c r="T50" s="4">
        <f t="shared" si="31"/>
        <v>0.30833333333333335</v>
      </c>
      <c r="U50" s="4">
        <f t="shared" si="32"/>
        <v>4.8999999999999995</v>
      </c>
      <c r="V50" s="4">
        <f t="shared" si="32"/>
        <v>2.2480000000000002</v>
      </c>
      <c r="W50" s="5">
        <f t="shared" si="32"/>
        <v>0</v>
      </c>
      <c r="X50" s="4">
        <f t="shared" si="32"/>
        <v>1460</v>
      </c>
      <c r="Y50" s="4">
        <f t="shared" si="32"/>
        <v>416</v>
      </c>
      <c r="Z50" s="6">
        <f>S50</f>
        <v>0</v>
      </c>
      <c r="AA50" s="6">
        <f t="shared" si="38"/>
        <v>0.30833333333333335</v>
      </c>
      <c r="AB50" s="6">
        <f t="shared" si="33"/>
        <v>4.4509804001425683</v>
      </c>
      <c r="AC50" s="6">
        <f t="shared" si="33"/>
        <v>2.7589815344851178</v>
      </c>
      <c r="AD50" s="6">
        <f t="shared" si="38"/>
        <v>0</v>
      </c>
      <c r="AE50" s="6">
        <f t="shared" si="30"/>
        <v>16.821764278922185</v>
      </c>
      <c r="AF50" s="6">
        <f t="shared" si="30"/>
        <v>14.095466653133714</v>
      </c>
      <c r="AG50" s="52">
        <f t="shared" si="34"/>
        <v>5.490789457145274</v>
      </c>
      <c r="AH50" s="53">
        <f t="shared" si="35"/>
        <v>16.821764278922185</v>
      </c>
      <c r="AI50" s="54">
        <f t="shared" si="36"/>
        <v>30.148768862697693</v>
      </c>
      <c r="AJ50" s="54">
        <f t="shared" si="36"/>
        <v>282.97175345562243</v>
      </c>
      <c r="AK50" s="55">
        <f t="shared" si="37"/>
        <v>12.512404291708291</v>
      </c>
      <c r="AL50" s="57" t="str">
        <f>IF(ISNUMBER(AK50),IF(AK50&lt;=1,"memenuhi",IF(AK50&lt;=5,"ringan",IF(AK50&lt;=10,"sedang","berat"))),"")</f>
        <v>berat</v>
      </c>
    </row>
    <row r="51" spans="1:38" ht="17.25" thickBot="1" x14ac:dyDescent="0.35">
      <c r="A51" s="13">
        <v>50</v>
      </c>
      <c r="B51" s="14" t="s">
        <v>31</v>
      </c>
      <c r="C51" s="14"/>
      <c r="D51" s="49">
        <v>41036</v>
      </c>
      <c r="E51" s="19">
        <v>829</v>
      </c>
      <c r="F51" s="50">
        <v>2.0099999999999998</v>
      </c>
      <c r="G51" s="50">
        <v>34.700000000000003</v>
      </c>
      <c r="H51" s="50">
        <v>184</v>
      </c>
      <c r="I51" s="50"/>
      <c r="J51" s="51">
        <v>120000</v>
      </c>
      <c r="K51" s="51">
        <v>217000000</v>
      </c>
      <c r="L51" s="48">
        <v>50</v>
      </c>
      <c r="M51" s="48">
        <v>4</v>
      </c>
      <c r="N51" s="48">
        <v>3</v>
      </c>
      <c r="O51" s="48">
        <v>25</v>
      </c>
      <c r="P51" s="48">
        <v>0.2</v>
      </c>
      <c r="Q51" s="48">
        <v>1000</v>
      </c>
      <c r="R51" s="48">
        <v>5000</v>
      </c>
      <c r="S51" s="4">
        <f t="shared" si="23"/>
        <v>16.579999999999998</v>
      </c>
      <c r="T51" s="4">
        <f t="shared" si="31"/>
        <v>0.41583333333333333</v>
      </c>
      <c r="U51" s="4">
        <f t="shared" si="32"/>
        <v>11.566666666666668</v>
      </c>
      <c r="V51" s="4">
        <f t="shared" si="32"/>
        <v>7.36</v>
      </c>
      <c r="W51" s="5">
        <f t="shared" si="32"/>
        <v>0</v>
      </c>
      <c r="X51" s="4">
        <f t="shared" si="32"/>
        <v>120</v>
      </c>
      <c r="Y51" s="4">
        <f t="shared" si="32"/>
        <v>43400</v>
      </c>
      <c r="Z51" s="6">
        <f t="shared" si="33"/>
        <v>7.0979226310712731</v>
      </c>
      <c r="AA51" s="6">
        <f t="shared" si="38"/>
        <v>0.41583333333333333</v>
      </c>
      <c r="AB51" s="6">
        <f t="shared" si="33"/>
        <v>6.316041100356057</v>
      </c>
      <c r="AC51" s="6">
        <f t="shared" si="33"/>
        <v>5.3343890716874949</v>
      </c>
      <c r="AD51" s="6">
        <f t="shared" si="38"/>
        <v>0</v>
      </c>
      <c r="AE51" s="6">
        <f t="shared" si="30"/>
        <v>11.395906230238124</v>
      </c>
      <c r="AF51" s="6">
        <f t="shared" si="30"/>
        <v>24.187448647562551</v>
      </c>
      <c r="AG51" s="52">
        <f t="shared" si="34"/>
        <v>7.8210772877498345</v>
      </c>
      <c r="AH51" s="53">
        <f t="shared" si="35"/>
        <v>24.187448647562551</v>
      </c>
      <c r="AI51" s="54">
        <f t="shared" si="36"/>
        <v>61.169249940956306</v>
      </c>
      <c r="AJ51" s="54">
        <f t="shared" si="36"/>
        <v>585.03267207847546</v>
      </c>
      <c r="AK51" s="55">
        <f t="shared" si="37"/>
        <v>17.975009346582155</v>
      </c>
      <c r="AL51" s="57" t="str">
        <f>IF(ISNUMBER(AK51),IF(AK51&lt;=1,"memenuhi",IF(AK51&lt;=5,"ringan",IF(AK51&lt;=10,"sedang","berat"))),"")</f>
        <v>berat</v>
      </c>
    </row>
    <row r="52" spans="1:38" ht="17.25" thickBot="1" x14ac:dyDescent="0.35">
      <c r="A52" s="13">
        <v>51</v>
      </c>
      <c r="B52" s="14" t="s">
        <v>33</v>
      </c>
      <c r="C52" s="14"/>
      <c r="D52" s="49">
        <v>41037</v>
      </c>
      <c r="E52" s="19">
        <v>893</v>
      </c>
      <c r="F52" s="50">
        <v>0.77900000000000003</v>
      </c>
      <c r="G52" s="50">
        <v>65.2</v>
      </c>
      <c r="H52" s="50">
        <v>272</v>
      </c>
      <c r="I52" s="50"/>
      <c r="J52" s="51">
        <v>500000</v>
      </c>
      <c r="K52" s="51">
        <v>40000000</v>
      </c>
      <c r="L52" s="48">
        <v>50</v>
      </c>
      <c r="M52" s="48">
        <v>4</v>
      </c>
      <c r="N52" s="48">
        <v>3</v>
      </c>
      <c r="O52" s="48">
        <v>25</v>
      </c>
      <c r="P52" s="48">
        <v>0.2</v>
      </c>
      <c r="Q52" s="48">
        <v>1000</v>
      </c>
      <c r="R52" s="48">
        <v>5000</v>
      </c>
      <c r="S52" s="4">
        <f t="shared" si="23"/>
        <v>17.86</v>
      </c>
      <c r="T52" s="4">
        <f t="shared" si="31"/>
        <v>0.51841666666666664</v>
      </c>
      <c r="U52" s="4">
        <f t="shared" si="32"/>
        <v>21.733333333333334</v>
      </c>
      <c r="V52" s="4">
        <f t="shared" si="32"/>
        <v>10.88</v>
      </c>
      <c r="W52" s="5">
        <f t="shared" si="32"/>
        <v>0</v>
      </c>
      <c r="X52" s="4">
        <f t="shared" si="32"/>
        <v>500</v>
      </c>
      <c r="Y52" s="4">
        <f t="shared" si="32"/>
        <v>8000</v>
      </c>
      <c r="Z52" s="6">
        <f t="shared" si="33"/>
        <v>7.2594072727626386</v>
      </c>
      <c r="AA52" s="6">
        <f t="shared" si="38"/>
        <v>0.51841666666666664</v>
      </c>
      <c r="AB52" s="6">
        <f t="shared" si="33"/>
        <v>7.6856317050612892</v>
      </c>
      <c r="AC52" s="6">
        <f t="shared" si="33"/>
        <v>6.1831444768108064</v>
      </c>
      <c r="AD52" s="6">
        <f t="shared" si="38"/>
        <v>0</v>
      </c>
      <c r="AE52" s="6">
        <f t="shared" si="30"/>
        <v>14.494850021680094</v>
      </c>
      <c r="AF52" s="6">
        <f t="shared" si="30"/>
        <v>20.515449934959719</v>
      </c>
      <c r="AG52" s="52">
        <f t="shared" si="34"/>
        <v>8.0938428682773171</v>
      </c>
      <c r="AH52" s="53">
        <f t="shared" si="35"/>
        <v>20.515449934959719</v>
      </c>
      <c r="AI52" s="54">
        <f t="shared" si="36"/>
        <v>65.510292376363594</v>
      </c>
      <c r="AJ52" s="54">
        <f t="shared" si="36"/>
        <v>420.88368603383873</v>
      </c>
      <c r="AK52" s="55">
        <f t="shared" si="37"/>
        <v>15.594774419820927</v>
      </c>
      <c r="AL52" s="57" t="str">
        <f t="shared" ref="AL52:AL61" si="39">IF(ISNUMBER(AK52),IF(AK52&lt;=1,"memenuhi",IF(AK52&lt;=5,"ringan",IF(AK52&lt;=10,"sedang","berat"))),"")</f>
        <v>berat</v>
      </c>
    </row>
    <row r="53" spans="1:38" ht="17.25" thickBot="1" x14ac:dyDescent="0.35">
      <c r="A53" s="13">
        <v>52</v>
      </c>
      <c r="B53" s="14" t="s">
        <v>41</v>
      </c>
      <c r="C53" s="14"/>
      <c r="D53" s="49">
        <v>41038</v>
      </c>
      <c r="E53" s="19">
        <v>298</v>
      </c>
      <c r="F53" s="50">
        <v>5.79</v>
      </c>
      <c r="G53" s="50">
        <v>14.9</v>
      </c>
      <c r="H53" s="50">
        <v>51.3</v>
      </c>
      <c r="I53" s="50"/>
      <c r="J53" s="51">
        <v>3000000</v>
      </c>
      <c r="K53" s="51">
        <v>115000000</v>
      </c>
      <c r="L53" s="48">
        <v>50</v>
      </c>
      <c r="M53" s="48">
        <v>4</v>
      </c>
      <c r="N53" s="48">
        <v>3</v>
      </c>
      <c r="O53" s="48">
        <v>25</v>
      </c>
      <c r="P53" s="48">
        <v>0.2</v>
      </c>
      <c r="Q53" s="48">
        <v>1000</v>
      </c>
      <c r="R53" s="48">
        <v>5000</v>
      </c>
      <c r="S53" s="4">
        <f t="shared" si="23"/>
        <v>5.96</v>
      </c>
      <c r="T53" s="4">
        <f t="shared" si="31"/>
        <v>0.10083333333333333</v>
      </c>
      <c r="U53" s="4">
        <f t="shared" si="32"/>
        <v>4.9666666666666668</v>
      </c>
      <c r="V53" s="4">
        <f t="shared" si="32"/>
        <v>2.052</v>
      </c>
      <c r="W53" s="5">
        <f t="shared" si="32"/>
        <v>0</v>
      </c>
      <c r="X53" s="4">
        <f t="shared" si="32"/>
        <v>3000</v>
      </c>
      <c r="Y53" s="4">
        <f t="shared" si="32"/>
        <v>23000</v>
      </c>
      <c r="Z53" s="6">
        <f t="shared" si="33"/>
        <v>4.8762312987011818</v>
      </c>
      <c r="AA53" s="6">
        <f t="shared" si="38"/>
        <v>0.10083333333333333</v>
      </c>
      <c r="AB53" s="6">
        <f t="shared" si="33"/>
        <v>4.480325068463058</v>
      </c>
      <c r="AC53" s="6">
        <f t="shared" si="33"/>
        <v>2.5608867821988932</v>
      </c>
      <c r="AD53" s="6">
        <f t="shared" si="38"/>
        <v>0</v>
      </c>
      <c r="AE53" s="6">
        <f t="shared" si="30"/>
        <v>18.385606273598313</v>
      </c>
      <c r="AF53" s="6">
        <f t="shared" si="30"/>
        <v>22.808639180087965</v>
      </c>
      <c r="AG53" s="52">
        <f t="shared" si="34"/>
        <v>7.6017888480546771</v>
      </c>
      <c r="AH53" s="53">
        <f t="shared" si="35"/>
        <v>22.808639180087965</v>
      </c>
      <c r="AI53" s="54">
        <f t="shared" si="36"/>
        <v>57.787193690408458</v>
      </c>
      <c r="AJ53" s="54">
        <f t="shared" si="36"/>
        <v>520.23402124744382</v>
      </c>
      <c r="AK53" s="55">
        <f t="shared" si="37"/>
        <v>17.000311981517459</v>
      </c>
      <c r="AL53" s="57" t="str">
        <f t="shared" si="39"/>
        <v>berat</v>
      </c>
    </row>
    <row r="54" spans="1:38" ht="17.25" thickBot="1" x14ac:dyDescent="0.35">
      <c r="A54" s="13">
        <v>53</v>
      </c>
      <c r="B54" s="14" t="s">
        <v>43</v>
      </c>
      <c r="C54" s="14"/>
      <c r="D54" s="49">
        <v>41038</v>
      </c>
      <c r="E54" s="19">
        <v>288</v>
      </c>
      <c r="F54" s="50">
        <v>3.18</v>
      </c>
      <c r="G54" s="50">
        <v>11.8</v>
      </c>
      <c r="H54" s="50">
        <v>71.7</v>
      </c>
      <c r="I54" s="50"/>
      <c r="J54" s="51">
        <v>3000000</v>
      </c>
      <c r="K54" s="51">
        <v>6700000</v>
      </c>
      <c r="L54" s="48">
        <v>50</v>
      </c>
      <c r="M54" s="48">
        <v>4</v>
      </c>
      <c r="N54" s="48">
        <v>3</v>
      </c>
      <c r="O54" s="48">
        <v>25</v>
      </c>
      <c r="P54" s="48">
        <v>0.2</v>
      </c>
      <c r="Q54" s="48">
        <v>1000</v>
      </c>
      <c r="R54" s="48">
        <v>5000</v>
      </c>
      <c r="S54" s="4">
        <f t="shared" si="23"/>
        <v>5.76</v>
      </c>
      <c r="T54" s="4">
        <f t="shared" si="31"/>
        <v>0.3183333333333333</v>
      </c>
      <c r="U54" s="4">
        <f t="shared" si="32"/>
        <v>3.9333333333333336</v>
      </c>
      <c r="V54" s="4">
        <f t="shared" si="32"/>
        <v>2.8680000000000003</v>
      </c>
      <c r="W54" s="5">
        <f t="shared" si="32"/>
        <v>0</v>
      </c>
      <c r="X54" s="4">
        <f t="shared" si="32"/>
        <v>3000</v>
      </c>
      <c r="Y54" s="4">
        <f t="shared" si="32"/>
        <v>1340</v>
      </c>
      <c r="Z54" s="6">
        <f t="shared" si="33"/>
        <v>4.8021124171160601</v>
      </c>
      <c r="AA54" s="6">
        <f t="shared" si="38"/>
        <v>0.3183333333333333</v>
      </c>
      <c r="AB54" s="6">
        <f>1+(5*(LOG10(G54/N54)))</f>
        <v>3.9738037629323149</v>
      </c>
      <c r="AC54" s="6">
        <f t="shared" si="33"/>
        <v>3.2878957349788127</v>
      </c>
      <c r="AD54" s="6">
        <f t="shared" si="38"/>
        <v>0</v>
      </c>
      <c r="AE54" s="6">
        <f t="shared" si="30"/>
        <v>18.385606273598313</v>
      </c>
      <c r="AF54" s="6">
        <f t="shared" si="30"/>
        <v>16.635523991824037</v>
      </c>
      <c r="AG54" s="52">
        <f t="shared" si="34"/>
        <v>6.7718965019689819</v>
      </c>
      <c r="AH54" s="53">
        <f t="shared" si="35"/>
        <v>18.385606273598313</v>
      </c>
      <c r="AI54" s="54">
        <f t="shared" si="36"/>
        <v>45.858582233379735</v>
      </c>
      <c r="AJ54" s="54">
        <f t="shared" si="36"/>
        <v>338.03051804777766</v>
      </c>
      <c r="AK54" s="55">
        <f t="shared" si="37"/>
        <v>13.85440544161238</v>
      </c>
      <c r="AL54" s="57" t="str">
        <f t="shared" si="39"/>
        <v>berat</v>
      </c>
    </row>
    <row r="55" spans="1:38" ht="17.25" thickBot="1" x14ac:dyDescent="0.35">
      <c r="A55" s="13">
        <v>54</v>
      </c>
      <c r="B55" s="14" t="s">
        <v>45</v>
      </c>
      <c r="C55" s="14"/>
      <c r="D55" s="49">
        <v>41038</v>
      </c>
      <c r="E55" s="11">
        <v>535</v>
      </c>
      <c r="F55" s="50">
        <v>0</v>
      </c>
      <c r="G55" s="50">
        <v>1255</v>
      </c>
      <c r="H55" s="50">
        <v>2867</v>
      </c>
      <c r="I55" s="50"/>
      <c r="J55" s="51">
        <v>5000000</v>
      </c>
      <c r="K55" s="51">
        <v>9000000</v>
      </c>
      <c r="L55" s="48">
        <v>50</v>
      </c>
      <c r="M55" s="48">
        <v>4</v>
      </c>
      <c r="N55" s="48">
        <v>3</v>
      </c>
      <c r="O55" s="48">
        <v>25</v>
      </c>
      <c r="P55" s="48">
        <v>0.2</v>
      </c>
      <c r="Q55" s="48">
        <v>1000</v>
      </c>
      <c r="R55" s="48">
        <v>5000</v>
      </c>
      <c r="S55" s="4">
        <f t="shared" si="23"/>
        <v>10.7</v>
      </c>
      <c r="T55" s="4">
        <f t="shared" si="31"/>
        <v>0.58333333333333337</v>
      </c>
      <c r="U55" s="4">
        <f t="shared" si="32"/>
        <v>418.33333333333331</v>
      </c>
      <c r="V55" s="4">
        <f t="shared" si="32"/>
        <v>114.68</v>
      </c>
      <c r="W55" s="5">
        <f t="shared" si="32"/>
        <v>0</v>
      </c>
      <c r="X55" s="4">
        <f t="shared" si="32"/>
        <v>5000</v>
      </c>
      <c r="Y55" s="4">
        <f t="shared" si="32"/>
        <v>1800</v>
      </c>
      <c r="Z55" s="6">
        <f t="shared" si="33"/>
        <v>6.1469188884260486</v>
      </c>
      <c r="AA55" s="6">
        <f t="shared" si="38"/>
        <v>0.58333333333333337</v>
      </c>
      <c r="AB55" s="6">
        <f t="shared" si="33"/>
        <v>14.107612355486973</v>
      </c>
      <c r="AC55" s="6">
        <f t="shared" si="33"/>
        <v>11.297438421372235</v>
      </c>
      <c r="AD55" s="6">
        <f t="shared" si="38"/>
        <v>0</v>
      </c>
      <c r="AE55" s="6">
        <f t="shared" si="30"/>
        <v>19.494850021680094</v>
      </c>
      <c r="AF55" s="6">
        <f t="shared" si="30"/>
        <v>17.276362525516529</v>
      </c>
      <c r="AG55" s="52">
        <f t="shared" si="34"/>
        <v>9.8437879351164579</v>
      </c>
      <c r="AH55" s="53">
        <f t="shared" si="35"/>
        <v>19.494850021680094</v>
      </c>
      <c r="AI55" s="54">
        <f t="shared" si="36"/>
        <v>96.900160911544333</v>
      </c>
      <c r="AJ55" s="54">
        <f t="shared" si="36"/>
        <v>380.04917736780033</v>
      </c>
      <c r="AK55" s="55">
        <f t="shared" si="37"/>
        <v>15.442625072819464</v>
      </c>
      <c r="AL55" s="57" t="str">
        <f t="shared" si="39"/>
        <v>berat</v>
      </c>
    </row>
    <row r="56" spans="1:38" ht="17.25" thickBot="1" x14ac:dyDescent="0.35">
      <c r="A56" s="13">
        <v>55</v>
      </c>
      <c r="B56" s="14" t="s">
        <v>23</v>
      </c>
      <c r="C56" s="14"/>
      <c r="D56" s="49"/>
      <c r="E56" s="19">
        <v>0</v>
      </c>
      <c r="F56" s="50">
        <v>4.84</v>
      </c>
      <c r="G56" s="50">
        <v>12.6</v>
      </c>
      <c r="H56" s="50">
        <v>46.5</v>
      </c>
      <c r="I56" s="50"/>
      <c r="J56" s="51">
        <v>2680000</v>
      </c>
      <c r="K56" s="51">
        <v>151000000</v>
      </c>
      <c r="L56" s="48">
        <v>50</v>
      </c>
      <c r="M56" s="48">
        <v>4</v>
      </c>
      <c r="N56" s="48">
        <v>3</v>
      </c>
      <c r="O56" s="48">
        <v>25</v>
      </c>
      <c r="P56" s="48">
        <v>0.2</v>
      </c>
      <c r="Q56" s="48">
        <v>1000</v>
      </c>
      <c r="R56" s="48">
        <v>5000</v>
      </c>
      <c r="S56" s="4">
        <f t="shared" si="23"/>
        <v>0</v>
      </c>
      <c r="T56" s="4">
        <f t="shared" si="31"/>
        <v>0.18000000000000002</v>
      </c>
      <c r="U56" s="4">
        <f t="shared" si="32"/>
        <v>4.2</v>
      </c>
      <c r="V56" s="4">
        <f t="shared" si="32"/>
        <v>1.86</v>
      </c>
      <c r="W56" s="5">
        <f t="shared" si="32"/>
        <v>0</v>
      </c>
      <c r="X56" s="4">
        <f t="shared" si="32"/>
        <v>2680</v>
      </c>
      <c r="Y56" s="4">
        <f t="shared" si="32"/>
        <v>30200</v>
      </c>
      <c r="Z56" s="6">
        <f>S56</f>
        <v>0</v>
      </c>
      <c r="AA56" s="6">
        <f t="shared" si="38"/>
        <v>0.18000000000000002</v>
      </c>
      <c r="AB56" s="6">
        <f t="shared" si="33"/>
        <v>4.1162464519895021</v>
      </c>
      <c r="AC56" s="6">
        <f t="shared" si="33"/>
        <v>2.3475647210895816</v>
      </c>
      <c r="AD56" s="6">
        <f t="shared" si="38"/>
        <v>0</v>
      </c>
      <c r="AE56" s="6">
        <f t="shared" si="30"/>
        <v>18.140673970143943</v>
      </c>
      <c r="AF56" s="6">
        <f t="shared" si="30"/>
        <v>23.400034714785754</v>
      </c>
      <c r="AG56" s="52">
        <f t="shared" si="34"/>
        <v>6.8835028368583977</v>
      </c>
      <c r="AH56" s="53">
        <f t="shared" si="35"/>
        <v>23.400034714785754</v>
      </c>
      <c r="AI56" s="54">
        <f t="shared" si="36"/>
        <v>47.382611305037607</v>
      </c>
      <c r="AJ56" s="54">
        <f t="shared" si="36"/>
        <v>547.56162465317846</v>
      </c>
      <c r="AK56" s="55">
        <f t="shared" si="37"/>
        <v>17.247380032315284</v>
      </c>
      <c r="AL56" s="57" t="str">
        <f t="shared" si="39"/>
        <v>berat</v>
      </c>
    </row>
    <row r="57" spans="1:38" ht="17.25" thickBot="1" x14ac:dyDescent="0.35">
      <c r="A57" s="13">
        <v>56</v>
      </c>
      <c r="B57" s="14" t="s">
        <v>25</v>
      </c>
      <c r="C57" s="14"/>
      <c r="D57" s="49">
        <v>41031</v>
      </c>
      <c r="E57" s="19">
        <v>239</v>
      </c>
      <c r="F57" s="50">
        <v>1.08</v>
      </c>
      <c r="G57" s="50">
        <v>19.600000000000001</v>
      </c>
      <c r="H57" s="50">
        <v>54.8</v>
      </c>
      <c r="I57" s="50"/>
      <c r="J57" s="51">
        <v>590000</v>
      </c>
      <c r="K57" s="51">
        <v>37000000</v>
      </c>
      <c r="L57" s="48">
        <v>50</v>
      </c>
      <c r="M57" s="48">
        <v>4</v>
      </c>
      <c r="N57" s="48">
        <v>3</v>
      </c>
      <c r="O57" s="48">
        <v>25</v>
      </c>
      <c r="P57" s="48">
        <v>0.2</v>
      </c>
      <c r="Q57" s="48">
        <v>1000</v>
      </c>
      <c r="R57" s="48">
        <v>5000</v>
      </c>
      <c r="S57" s="4">
        <f t="shared" si="23"/>
        <v>4.78</v>
      </c>
      <c r="T57" s="4">
        <f t="shared" si="31"/>
        <v>0.49333333333333335</v>
      </c>
      <c r="U57" s="4">
        <f t="shared" si="32"/>
        <v>6.5333333333333341</v>
      </c>
      <c r="V57" s="4">
        <f t="shared" si="32"/>
        <v>2.1919999999999997</v>
      </c>
      <c r="W57" s="5">
        <f t="shared" si="32"/>
        <v>0</v>
      </c>
      <c r="X57" s="4">
        <f t="shared" si="32"/>
        <v>590</v>
      </c>
      <c r="Y57" s="4">
        <f t="shared" si="32"/>
        <v>7400</v>
      </c>
      <c r="Z57" s="6">
        <f t="shared" si="33"/>
        <v>4.3971394830605943</v>
      </c>
      <c r="AA57" s="6">
        <f t="shared" si="38"/>
        <v>0.49333333333333335</v>
      </c>
      <c r="AB57" s="6">
        <f t="shared" si="33"/>
        <v>5.0756740831840679</v>
      </c>
      <c r="AC57" s="6">
        <f t="shared" si="33"/>
        <v>2.7042027490616576</v>
      </c>
      <c r="AD57" s="6">
        <f t="shared" si="38"/>
        <v>0</v>
      </c>
      <c r="AE57" s="6">
        <f t="shared" si="30"/>
        <v>14.854260058210722</v>
      </c>
      <c r="AF57" s="6">
        <f t="shared" si="30"/>
        <v>20.346158598654881</v>
      </c>
      <c r="AG57" s="52">
        <f t="shared" si="34"/>
        <v>6.8386811865007511</v>
      </c>
      <c r="AH57" s="53">
        <f t="shared" si="35"/>
        <v>20.346158598654881</v>
      </c>
      <c r="AI57" s="54">
        <f t="shared" si="36"/>
        <v>46.76756037059932</v>
      </c>
      <c r="AJ57" s="54">
        <f t="shared" si="36"/>
        <v>413.96616972161797</v>
      </c>
      <c r="AK57" s="55">
        <f t="shared" si="37"/>
        <v>15.177841251182878</v>
      </c>
      <c r="AL57" s="57" t="str">
        <f t="shared" si="39"/>
        <v>berat</v>
      </c>
    </row>
    <row r="58" spans="1:38" ht="17.25" thickBot="1" x14ac:dyDescent="0.35">
      <c r="A58" s="13">
        <v>57</v>
      </c>
      <c r="B58" s="14" t="s">
        <v>27</v>
      </c>
      <c r="C58" s="14"/>
      <c r="D58" s="49">
        <v>41036</v>
      </c>
      <c r="E58" s="19">
        <v>1170</v>
      </c>
      <c r="F58" s="50">
        <v>7.5999999999999998E-2</v>
      </c>
      <c r="G58" s="50">
        <v>26.2</v>
      </c>
      <c r="H58" s="50">
        <v>83.4</v>
      </c>
      <c r="I58" s="50"/>
      <c r="J58" s="51">
        <v>260000</v>
      </c>
      <c r="K58" s="51">
        <v>327000000</v>
      </c>
      <c r="L58" s="48">
        <v>50</v>
      </c>
      <c r="M58" s="48">
        <v>4</v>
      </c>
      <c r="N58" s="48">
        <v>3</v>
      </c>
      <c r="O58" s="48">
        <v>25</v>
      </c>
      <c r="P58" s="48">
        <v>0.2</v>
      </c>
      <c r="Q58" s="48">
        <v>1000</v>
      </c>
      <c r="R58" s="48">
        <v>5000</v>
      </c>
      <c r="S58" s="4">
        <f t="shared" si="23"/>
        <v>23.4</v>
      </c>
      <c r="T58" s="4">
        <f t="shared" si="31"/>
        <v>0.57700000000000007</v>
      </c>
      <c r="U58" s="4">
        <f t="shared" si="32"/>
        <v>8.7333333333333325</v>
      </c>
      <c r="V58" s="4">
        <f t="shared" si="32"/>
        <v>3.3360000000000003</v>
      </c>
      <c r="W58" s="5">
        <f t="shared" si="32"/>
        <v>0</v>
      </c>
      <c r="X58" s="4">
        <f t="shared" si="32"/>
        <v>260</v>
      </c>
      <c r="Y58" s="4">
        <f t="shared" si="32"/>
        <v>65400</v>
      </c>
      <c r="Z58" s="6">
        <f t="shared" si="33"/>
        <v>7.8460792870507134</v>
      </c>
      <c r="AA58" s="6">
        <f t="shared" si="38"/>
        <v>0.57700000000000007</v>
      </c>
      <c r="AB58" s="6">
        <f t="shared" si="33"/>
        <v>5.7059001830004146</v>
      </c>
      <c r="AC58" s="6">
        <f t="shared" si="33"/>
        <v>3.6161302098285057</v>
      </c>
      <c r="AD58" s="6">
        <f t="shared" si="38"/>
        <v>0</v>
      </c>
      <c r="AE58" s="6">
        <f t="shared" si="30"/>
        <v>13.074866739854089</v>
      </c>
      <c r="AF58" s="6">
        <f t="shared" si="30"/>
        <v>25.077888741621337</v>
      </c>
      <c r="AG58" s="52">
        <f t="shared" si="34"/>
        <v>7.985409308765008</v>
      </c>
      <c r="AH58" s="53">
        <f t="shared" si="35"/>
        <v>25.077888741621337</v>
      </c>
      <c r="AI58" s="54">
        <f t="shared" si="36"/>
        <v>63.766761828510845</v>
      </c>
      <c r="AJ58" s="54">
        <f t="shared" si="36"/>
        <v>628.90050373713814</v>
      </c>
      <c r="AK58" s="55">
        <f t="shared" si="37"/>
        <v>18.610041181653106</v>
      </c>
      <c r="AL58" s="57" t="str">
        <f t="shared" si="39"/>
        <v>berat</v>
      </c>
    </row>
    <row r="59" spans="1:38" ht="17.25" thickBot="1" x14ac:dyDescent="0.35">
      <c r="A59" s="13">
        <v>58</v>
      </c>
      <c r="B59" s="14" t="s">
        <v>35</v>
      </c>
      <c r="C59" s="14"/>
      <c r="D59" s="49">
        <v>41031</v>
      </c>
      <c r="E59" s="19">
        <v>244</v>
      </c>
      <c r="F59" s="50">
        <v>5.26</v>
      </c>
      <c r="G59" s="50">
        <v>9.4700000000000006</v>
      </c>
      <c r="H59" s="50">
        <v>24.4</v>
      </c>
      <c r="I59" s="50"/>
      <c r="J59" s="51">
        <v>490000</v>
      </c>
      <c r="K59" s="51">
        <v>770000</v>
      </c>
      <c r="L59" s="48">
        <v>50</v>
      </c>
      <c r="M59" s="48">
        <v>4</v>
      </c>
      <c r="N59" s="48">
        <v>3</v>
      </c>
      <c r="O59" s="48">
        <v>25</v>
      </c>
      <c r="P59" s="48">
        <v>0.2</v>
      </c>
      <c r="Q59" s="48">
        <v>1000</v>
      </c>
      <c r="R59" s="48">
        <v>5000</v>
      </c>
      <c r="S59" s="4">
        <f t="shared" si="23"/>
        <v>4.88</v>
      </c>
      <c r="T59" s="4">
        <f t="shared" si="31"/>
        <v>0.14500000000000002</v>
      </c>
      <c r="U59" s="4">
        <f t="shared" si="32"/>
        <v>3.1566666666666667</v>
      </c>
      <c r="V59" s="4">
        <f t="shared" si="32"/>
        <v>0.97599999999999998</v>
      </c>
      <c r="W59" s="5">
        <f t="shared" si="32"/>
        <v>0</v>
      </c>
      <c r="X59" s="4">
        <f t="shared" si="32"/>
        <v>490</v>
      </c>
      <c r="Y59" s="4">
        <f t="shared" si="32"/>
        <v>154</v>
      </c>
      <c r="Z59" s="6">
        <f t="shared" si="33"/>
        <v>4.4420991100135527</v>
      </c>
      <c r="AA59" s="6">
        <f t="shared" si="38"/>
        <v>0.14500000000000002</v>
      </c>
      <c r="AB59" s="6">
        <f t="shared" si="33"/>
        <v>3.4961436214180548</v>
      </c>
      <c r="AC59" s="6">
        <f t="shared" si="33"/>
        <v>0.947249088333459</v>
      </c>
      <c r="AD59" s="6">
        <f t="shared" si="38"/>
        <v>0</v>
      </c>
      <c r="AE59" s="6">
        <f t="shared" si="30"/>
        <v>14.450980400142569</v>
      </c>
      <c r="AF59" s="6">
        <f t="shared" si="30"/>
        <v>11.937603604182316</v>
      </c>
      <c r="AG59" s="52">
        <f t="shared" si="34"/>
        <v>5.0598679748699933</v>
      </c>
      <c r="AH59" s="53">
        <f t="shared" si="35"/>
        <v>14.450980400142569</v>
      </c>
      <c r="AI59" s="54">
        <f t="shared" si="36"/>
        <v>25.602263923114968</v>
      </c>
      <c r="AJ59" s="54">
        <f t="shared" si="36"/>
        <v>208.83083452530468</v>
      </c>
      <c r="AK59" s="55">
        <f t="shared" si="37"/>
        <v>10.826659190360147</v>
      </c>
      <c r="AL59" s="57" t="str">
        <f t="shared" si="39"/>
        <v>berat</v>
      </c>
    </row>
    <row r="60" spans="1:38" ht="17.25" thickBot="1" x14ac:dyDescent="0.35">
      <c r="A60" s="13">
        <v>59</v>
      </c>
      <c r="B60" s="14" t="s">
        <v>37</v>
      </c>
      <c r="C60" s="14"/>
      <c r="D60" s="49">
        <v>41031</v>
      </c>
      <c r="E60" s="19">
        <v>523</v>
      </c>
      <c r="F60" s="50">
        <v>2.11</v>
      </c>
      <c r="G60" s="50">
        <v>117</v>
      </c>
      <c r="H60" s="50">
        <v>308</v>
      </c>
      <c r="I60" s="50"/>
      <c r="J60" s="51">
        <v>220000</v>
      </c>
      <c r="K60" s="51">
        <v>2320000</v>
      </c>
      <c r="L60" s="48">
        <v>50</v>
      </c>
      <c r="M60" s="48">
        <v>4</v>
      </c>
      <c r="N60" s="48">
        <v>3</v>
      </c>
      <c r="O60" s="48">
        <v>25</v>
      </c>
      <c r="P60" s="48">
        <v>0.2</v>
      </c>
      <c r="Q60" s="48">
        <v>1000</v>
      </c>
      <c r="R60" s="48">
        <v>5000</v>
      </c>
      <c r="S60" s="4">
        <f t="shared" si="23"/>
        <v>10.46</v>
      </c>
      <c r="T60" s="4">
        <f t="shared" si="31"/>
        <v>0.40750000000000003</v>
      </c>
      <c r="U60" s="4">
        <f t="shared" si="32"/>
        <v>39</v>
      </c>
      <c r="V60" s="4">
        <f t="shared" si="32"/>
        <v>12.32</v>
      </c>
      <c r="W60" s="5">
        <f t="shared" si="32"/>
        <v>0</v>
      </c>
      <c r="X60" s="4">
        <f t="shared" si="32"/>
        <v>220</v>
      </c>
      <c r="Y60" s="4">
        <f t="shared" si="32"/>
        <v>464</v>
      </c>
      <c r="Z60" s="6">
        <f t="shared" si="33"/>
        <v>6.0976584226562771</v>
      </c>
      <c r="AA60" s="6">
        <f t="shared" si="38"/>
        <v>0.40750000000000003</v>
      </c>
      <c r="AB60" s="6">
        <f t="shared" si="33"/>
        <v>8.9553230351324959</v>
      </c>
      <c r="AC60" s="6">
        <f t="shared" si="33"/>
        <v>6.4530535391420329</v>
      </c>
      <c r="AD60" s="6">
        <f t="shared" si="38"/>
        <v>0</v>
      </c>
      <c r="AE60" s="6">
        <f t="shared" si="30"/>
        <v>12.712113404111031</v>
      </c>
      <c r="AF60" s="6">
        <f t="shared" si="30"/>
        <v>14.332589902774403</v>
      </c>
      <c r="AG60" s="52">
        <f t="shared" si="34"/>
        <v>6.99403404340232</v>
      </c>
      <c r="AH60" s="53">
        <f t="shared" si="35"/>
        <v>14.332589902774403</v>
      </c>
      <c r="AI60" s="54">
        <f t="shared" si="36"/>
        <v>48.916512200270603</v>
      </c>
      <c r="AJ60" s="54">
        <f t="shared" si="36"/>
        <v>205.42313332111078</v>
      </c>
      <c r="AK60" s="55">
        <f t="shared" si="37"/>
        <v>11.276959819059865</v>
      </c>
      <c r="AL60" s="57" t="str">
        <f t="shared" si="39"/>
        <v>berat</v>
      </c>
    </row>
    <row r="61" spans="1:38" ht="17.25" thickBot="1" x14ac:dyDescent="0.35">
      <c r="A61" s="13">
        <v>60</v>
      </c>
      <c r="B61" s="14" t="s">
        <v>51</v>
      </c>
      <c r="C61" s="14"/>
      <c r="D61" s="49">
        <v>41037</v>
      </c>
      <c r="E61" s="19">
        <v>1260</v>
      </c>
      <c r="F61" s="50">
        <v>0</v>
      </c>
      <c r="G61" s="50">
        <v>126</v>
      </c>
      <c r="H61" s="50">
        <v>380</v>
      </c>
      <c r="I61" s="50"/>
      <c r="J61" s="51">
        <v>500</v>
      </c>
      <c r="K61" s="51">
        <v>3000000</v>
      </c>
      <c r="L61" s="48">
        <v>50</v>
      </c>
      <c r="M61" s="48">
        <v>4</v>
      </c>
      <c r="N61" s="48">
        <v>3</v>
      </c>
      <c r="O61" s="48">
        <v>25</v>
      </c>
      <c r="P61" s="48">
        <v>0.2</v>
      </c>
      <c r="Q61" s="48">
        <v>1000</v>
      </c>
      <c r="R61" s="48">
        <v>5000</v>
      </c>
      <c r="S61" s="4">
        <f t="shared" si="23"/>
        <v>25.2</v>
      </c>
      <c r="T61" s="4">
        <f>((7-F61)/(7-M61))/M61</f>
        <v>0.58333333333333337</v>
      </c>
      <c r="U61" s="4">
        <f t="shared" si="32"/>
        <v>42</v>
      </c>
      <c r="V61" s="4">
        <f t="shared" si="32"/>
        <v>15.2</v>
      </c>
      <c r="W61" s="5">
        <f t="shared" si="32"/>
        <v>0</v>
      </c>
      <c r="X61" s="4">
        <f t="shared" si="32"/>
        <v>0.5</v>
      </c>
      <c r="Y61" s="4">
        <f t="shared" si="32"/>
        <v>600</v>
      </c>
      <c r="Z61" s="6">
        <f t="shared" si="33"/>
        <v>8.0070027039077214</v>
      </c>
      <c r="AA61" s="6">
        <f t="shared" si="38"/>
        <v>0.58333333333333337</v>
      </c>
      <c r="AB61" s="6">
        <f t="shared" si="33"/>
        <v>9.1162464519895021</v>
      </c>
      <c r="AC61" s="6">
        <f t="shared" si="33"/>
        <v>6.9092179397238631</v>
      </c>
      <c r="AD61" s="6">
        <f t="shared" si="38"/>
        <v>0</v>
      </c>
      <c r="AE61" s="6">
        <f>X61</f>
        <v>0.5</v>
      </c>
      <c r="AF61" s="6">
        <f t="shared" si="30"/>
        <v>14.890756251918218</v>
      </c>
      <c r="AG61" s="52">
        <f t="shared" si="34"/>
        <v>5.7152223829818052</v>
      </c>
      <c r="AH61" s="53">
        <f t="shared" si="35"/>
        <v>14.890756251918218</v>
      </c>
      <c r="AI61" s="54">
        <f t="shared" si="36"/>
        <v>32.663766886936223</v>
      </c>
      <c r="AJ61" s="54">
        <f t="shared" si="36"/>
        <v>221.73462175404148</v>
      </c>
      <c r="AK61" s="55">
        <f t="shared" si="37"/>
        <v>11.278262025706304</v>
      </c>
      <c r="AL61" s="57" t="str">
        <f t="shared" si="39"/>
        <v>berat</v>
      </c>
    </row>
    <row r="62" spans="1:38" ht="17.25" thickBot="1" x14ac:dyDescent="0.35">
      <c r="A62" s="13">
        <v>61</v>
      </c>
      <c r="B62" s="14" t="s">
        <v>17</v>
      </c>
      <c r="C62" s="14"/>
      <c r="D62" s="49">
        <v>41589</v>
      </c>
      <c r="E62" s="19">
        <v>108</v>
      </c>
      <c r="F62" s="50">
        <v>6.87</v>
      </c>
      <c r="G62" s="50">
        <v>0</v>
      </c>
      <c r="H62" s="50">
        <v>0</v>
      </c>
      <c r="I62" s="50"/>
      <c r="J62" s="50">
        <v>1100</v>
      </c>
      <c r="K62" s="50"/>
      <c r="L62" s="48">
        <v>50</v>
      </c>
      <c r="M62" s="48">
        <v>4</v>
      </c>
      <c r="N62" s="48">
        <v>3</v>
      </c>
      <c r="O62" s="48">
        <v>25</v>
      </c>
      <c r="P62" s="48">
        <v>0.2</v>
      </c>
      <c r="Q62" s="48">
        <v>1000</v>
      </c>
      <c r="R62" s="48">
        <v>5000</v>
      </c>
      <c r="S62" s="4">
        <f t="shared" si="23"/>
        <v>2.16</v>
      </c>
      <c r="T62" s="4">
        <f>((7-F62)/(7-M62))/M62</f>
        <v>1.0833333333333325E-2</v>
      </c>
      <c r="U62" s="4">
        <f t="shared" si="32"/>
        <v>0</v>
      </c>
      <c r="V62" s="4">
        <f t="shared" si="32"/>
        <v>0</v>
      </c>
      <c r="W62" s="5">
        <f t="shared" si="32"/>
        <v>0</v>
      </c>
      <c r="X62" s="4">
        <f t="shared" si="32"/>
        <v>1.1000000000000001</v>
      </c>
      <c r="Y62" s="4">
        <f t="shared" si="32"/>
        <v>0</v>
      </c>
      <c r="Z62" s="6">
        <f t="shared" si="33"/>
        <v>2.6722687557546543</v>
      </c>
      <c r="AA62" s="6">
        <f>T62</f>
        <v>1.0833333333333325E-2</v>
      </c>
      <c r="AB62" s="6">
        <f>U62</f>
        <v>0</v>
      </c>
      <c r="AC62" s="6">
        <f>V62</f>
        <v>0</v>
      </c>
      <c r="AD62" s="6">
        <f t="shared" si="38"/>
        <v>0</v>
      </c>
      <c r="AE62" s="6">
        <f t="shared" ref="AE62:AE65" si="40">1+(5*(LOG10(J62/Q62)))</f>
        <v>1.2069634257911255</v>
      </c>
      <c r="AF62" s="6">
        <f t="shared" si="38"/>
        <v>0</v>
      </c>
      <c r="AG62" s="52">
        <f>AVERAGE(Z62:AF62)</f>
        <v>0.55572364498273041</v>
      </c>
      <c r="AH62" s="53">
        <f>MAX(Z62:AG62)</f>
        <v>2.6722687557546543</v>
      </c>
      <c r="AI62" s="54">
        <f>POWER(AG62,2)</f>
        <v>0.30882876959289179</v>
      </c>
      <c r="AJ62" s="54">
        <f>POWER(AH62,2)</f>
        <v>7.1410203029825281</v>
      </c>
      <c r="AK62" s="55">
        <f>SQRT((AI62+AJ62)/2)</f>
        <v>1.9300063565407524</v>
      </c>
      <c r="AL62" s="56" t="str">
        <f>IF(ISNUMBER(AK62),IF(AK62&lt;=1,"memenuhi",IF(AK62&lt;=5,"ringan",IF(AK62&lt;=10,"sedang","berat"))),"")</f>
        <v>ringan</v>
      </c>
    </row>
    <row r="63" spans="1:38" ht="17.25" thickBot="1" x14ac:dyDescent="0.35">
      <c r="A63" s="13">
        <v>62</v>
      </c>
      <c r="B63" s="14" t="s">
        <v>49</v>
      </c>
      <c r="C63" s="14"/>
      <c r="D63" s="49">
        <v>41584</v>
      </c>
      <c r="E63" s="19">
        <v>187</v>
      </c>
      <c r="F63" s="50">
        <v>3.91</v>
      </c>
      <c r="G63" s="50">
        <v>11.1</v>
      </c>
      <c r="H63" s="50">
        <v>38</v>
      </c>
      <c r="I63" s="50"/>
      <c r="J63" s="50">
        <v>1100</v>
      </c>
      <c r="K63" s="50"/>
      <c r="L63" s="48">
        <v>50</v>
      </c>
      <c r="M63" s="48">
        <v>4</v>
      </c>
      <c r="N63" s="48">
        <v>3</v>
      </c>
      <c r="O63" s="48">
        <v>25</v>
      </c>
      <c r="P63" s="48">
        <v>0.2</v>
      </c>
      <c r="Q63" s="48">
        <v>1000</v>
      </c>
      <c r="R63" s="48">
        <v>5000</v>
      </c>
      <c r="S63" s="4">
        <f t="shared" si="23"/>
        <v>3.74</v>
      </c>
      <c r="T63" s="4">
        <f t="shared" ref="T63:T75" si="41">((7-F63)/(7-M63))/M63</f>
        <v>0.25750000000000001</v>
      </c>
      <c r="U63" s="4">
        <f t="shared" si="32"/>
        <v>3.6999999999999997</v>
      </c>
      <c r="V63" s="4">
        <f t="shared" si="32"/>
        <v>1.52</v>
      </c>
      <c r="W63" s="5">
        <f t="shared" si="32"/>
        <v>0</v>
      </c>
      <c r="X63" s="4">
        <f t="shared" si="32"/>
        <v>1.1000000000000001</v>
      </c>
      <c r="Y63" s="4">
        <f t="shared" si="32"/>
        <v>0</v>
      </c>
      <c r="Z63" s="6">
        <f t="shared" si="33"/>
        <v>3.8643580110024009</v>
      </c>
      <c r="AA63" s="6">
        <f>T63</f>
        <v>0.25750000000000001</v>
      </c>
      <c r="AB63" s="6">
        <f t="shared" si="33"/>
        <v>3.8410086203349749</v>
      </c>
      <c r="AC63" s="6">
        <f t="shared" si="33"/>
        <v>1.9092179397238627</v>
      </c>
      <c r="AD63" s="6">
        <f t="shared" si="38"/>
        <v>0</v>
      </c>
      <c r="AE63" s="6">
        <f t="shared" si="40"/>
        <v>1.2069634257911255</v>
      </c>
      <c r="AF63" s="6">
        <f t="shared" si="38"/>
        <v>0</v>
      </c>
      <c r="AG63" s="52">
        <f t="shared" ref="AG63:AG76" si="42">AVERAGE(Z63:AF63)</f>
        <v>1.5827211424074805</v>
      </c>
      <c r="AH63" s="53">
        <f t="shared" ref="AH63:AH76" si="43">MAX(Z63:AG63)</f>
        <v>3.8643580110024009</v>
      </c>
      <c r="AI63" s="54">
        <f t="shared" ref="AI63:AJ76" si="44">POWER(AG63,2)</f>
        <v>2.50500621462364</v>
      </c>
      <c r="AJ63" s="54">
        <f t="shared" si="44"/>
        <v>14.933262837198432</v>
      </c>
      <c r="AK63" s="55">
        <f t="shared" ref="AK63:AK76" si="45">SQRT((AI63+AJ63)/2)</f>
        <v>2.9528180651559004</v>
      </c>
      <c r="AL63" s="58" t="str">
        <f>IF(ISNUMBER(AK63),IF(AK63&lt;=1,"memenuhi",IF(AK63&lt;=5,"ringan",IF(AK63&lt;=10,"sedang","berat"))),"")</f>
        <v>ringan</v>
      </c>
    </row>
    <row r="64" spans="1:38" ht="17.25" thickBot="1" x14ac:dyDescent="0.35">
      <c r="A64" s="13">
        <v>63</v>
      </c>
      <c r="B64" s="14" t="s">
        <v>50</v>
      </c>
      <c r="C64" s="14"/>
      <c r="D64" s="49">
        <v>41590</v>
      </c>
      <c r="E64" s="19">
        <v>1540</v>
      </c>
      <c r="F64" s="50"/>
      <c r="G64" s="50">
        <v>47.6</v>
      </c>
      <c r="H64" s="50">
        <v>267</v>
      </c>
      <c r="I64" s="50"/>
      <c r="J64" s="50">
        <v>1100</v>
      </c>
      <c r="K64" s="50">
        <v>0</v>
      </c>
      <c r="L64" s="48">
        <v>50</v>
      </c>
      <c r="M64" s="48">
        <v>4</v>
      </c>
      <c r="N64" s="48">
        <v>3</v>
      </c>
      <c r="O64" s="48">
        <v>25</v>
      </c>
      <c r="P64" s="48">
        <v>0.2</v>
      </c>
      <c r="Q64" s="48">
        <v>1000</v>
      </c>
      <c r="R64" s="48">
        <v>5000</v>
      </c>
      <c r="S64" s="4">
        <f t="shared" si="23"/>
        <v>30.8</v>
      </c>
      <c r="T64" s="4">
        <f t="shared" si="41"/>
        <v>0.58333333333333337</v>
      </c>
      <c r="U64" s="4">
        <f t="shared" ref="U64:Y79" si="46">G64/N64</f>
        <v>15.866666666666667</v>
      </c>
      <c r="V64" s="4">
        <f t="shared" si="46"/>
        <v>10.68</v>
      </c>
      <c r="W64" s="5">
        <f t="shared" si="46"/>
        <v>0</v>
      </c>
      <c r="X64" s="4">
        <f t="shared" si="46"/>
        <v>1.1000000000000001</v>
      </c>
      <c r="Y64" s="4">
        <f t="shared" si="46"/>
        <v>0</v>
      </c>
      <c r="Z64" s="6">
        <f t="shared" ref="Z64:AC79" si="47">1+(5*(LOG10(E64/L64)))</f>
        <v>8.4427535825022222</v>
      </c>
      <c r="AA64" s="6">
        <f t="shared" si="38"/>
        <v>0.58333333333333337</v>
      </c>
      <c r="AB64" s="6">
        <f t="shared" si="47"/>
        <v>7.0024284900041538</v>
      </c>
      <c r="AC64" s="6">
        <f t="shared" si="47"/>
        <v>6.1428562634626882</v>
      </c>
      <c r="AD64" s="6">
        <f t="shared" si="38"/>
        <v>0</v>
      </c>
      <c r="AE64" s="6">
        <f t="shared" si="40"/>
        <v>1.2069634257911255</v>
      </c>
      <c r="AF64" s="6">
        <f t="shared" si="38"/>
        <v>0</v>
      </c>
      <c r="AG64" s="52">
        <f t="shared" si="42"/>
        <v>3.3397621564419318</v>
      </c>
      <c r="AH64" s="53">
        <f t="shared" si="43"/>
        <v>8.4427535825022222</v>
      </c>
      <c r="AI64" s="54">
        <f t="shared" si="44"/>
        <v>11.154011261601662</v>
      </c>
      <c r="AJ64" s="54">
        <f t="shared" si="44"/>
        <v>71.280088054854104</v>
      </c>
      <c r="AK64" s="55">
        <f t="shared" si="45"/>
        <v>6.4200505962358179</v>
      </c>
      <c r="AL64" s="59" t="str">
        <f>IF(ISNUMBER(AK64),IF(AK64&lt;=1,"memenuhi",IF(AK64&lt;=5,"ringan",IF(AK64&lt;=10,"sedang","berat"))),"")</f>
        <v>sedang</v>
      </c>
    </row>
    <row r="65" spans="1:38" ht="17.25" thickBot="1" x14ac:dyDescent="0.35">
      <c r="A65" s="13">
        <v>64</v>
      </c>
      <c r="B65" s="14" t="s">
        <v>29</v>
      </c>
      <c r="C65" s="14"/>
      <c r="D65" s="49">
        <v>41590</v>
      </c>
      <c r="E65" s="19">
        <v>284</v>
      </c>
      <c r="F65" s="50">
        <v>0.84199999999999997</v>
      </c>
      <c r="G65" s="50">
        <v>35.5</v>
      </c>
      <c r="H65" s="50">
        <v>94.3</v>
      </c>
      <c r="I65" s="50"/>
      <c r="J65" s="50">
        <v>1100</v>
      </c>
      <c r="K65" s="50"/>
      <c r="L65" s="48">
        <v>50</v>
      </c>
      <c r="M65" s="48">
        <v>4</v>
      </c>
      <c r="N65" s="48">
        <v>3</v>
      </c>
      <c r="O65" s="48">
        <v>25</v>
      </c>
      <c r="P65" s="48">
        <v>0.2</v>
      </c>
      <c r="Q65" s="48">
        <v>1000</v>
      </c>
      <c r="R65" s="48">
        <v>5000</v>
      </c>
      <c r="S65" s="4">
        <f t="shared" si="23"/>
        <v>5.68</v>
      </c>
      <c r="T65" s="4">
        <f t="shared" si="41"/>
        <v>0.51316666666666666</v>
      </c>
      <c r="U65" s="4">
        <f t="shared" si="46"/>
        <v>11.833333333333334</v>
      </c>
      <c r="V65" s="4">
        <f t="shared" si="46"/>
        <v>3.7719999999999998</v>
      </c>
      <c r="W65" s="5">
        <f t="shared" si="46"/>
        <v>0</v>
      </c>
      <c r="X65" s="4">
        <f t="shared" si="46"/>
        <v>1.1000000000000001</v>
      </c>
      <c r="Y65" s="4">
        <f t="shared" si="46"/>
        <v>0</v>
      </c>
      <c r="Z65" s="6">
        <f t="shared" si="47"/>
        <v>4.7717416785550943</v>
      </c>
      <c r="AA65" s="6">
        <f t="shared" ref="AA65:AF80" si="48">T65</f>
        <v>0.51316666666666666</v>
      </c>
      <c r="AB65" s="6">
        <f t="shared" si="47"/>
        <v>6.365535491677158</v>
      </c>
      <c r="AC65" s="6">
        <f t="shared" si="47"/>
        <v>3.8828584203264533</v>
      </c>
      <c r="AD65" s="6">
        <f t="shared" si="48"/>
        <v>0</v>
      </c>
      <c r="AE65" s="6">
        <f t="shared" si="40"/>
        <v>1.2069634257911255</v>
      </c>
      <c r="AF65" s="6">
        <f t="shared" si="48"/>
        <v>0</v>
      </c>
      <c r="AG65" s="52">
        <f t="shared" si="42"/>
        <v>2.3914665261452144</v>
      </c>
      <c r="AH65" s="53">
        <f t="shared" si="43"/>
        <v>6.365535491677158</v>
      </c>
      <c r="AI65" s="54">
        <f t="shared" si="44"/>
        <v>5.7191121456730594</v>
      </c>
      <c r="AJ65" s="54">
        <f t="shared" si="44"/>
        <v>40.520042095801557</v>
      </c>
      <c r="AK65" s="55">
        <f t="shared" si="45"/>
        <v>4.8082821382212284</v>
      </c>
      <c r="AL65" s="58" t="str">
        <f>IF(ISNUMBER(AK65),IF(AK65&lt;=1,"memenuhi",IF(AK65&lt;=5,"ringan",IF(AK65&lt;=10,"sedang","berat"))),"")</f>
        <v>ringan</v>
      </c>
    </row>
    <row r="66" spans="1:38" ht="17.25" thickBot="1" x14ac:dyDescent="0.35">
      <c r="A66" s="13">
        <v>65</v>
      </c>
      <c r="B66" s="14" t="s">
        <v>31</v>
      </c>
      <c r="C66" s="14"/>
      <c r="D66" s="49">
        <v>41590</v>
      </c>
      <c r="E66" s="19">
        <v>924</v>
      </c>
      <c r="F66" s="50">
        <v>1.74</v>
      </c>
      <c r="G66" s="50">
        <v>271</v>
      </c>
      <c r="H66" s="50">
        <v>602</v>
      </c>
      <c r="I66" s="50"/>
      <c r="J66" s="50">
        <v>150</v>
      </c>
      <c r="K66" s="50"/>
      <c r="L66" s="48">
        <v>50</v>
      </c>
      <c r="M66" s="48">
        <v>4</v>
      </c>
      <c r="N66" s="48">
        <v>3</v>
      </c>
      <c r="O66" s="48">
        <v>25</v>
      </c>
      <c r="P66" s="48">
        <v>0.2</v>
      </c>
      <c r="Q66" s="48">
        <v>1000</v>
      </c>
      <c r="R66" s="48">
        <v>5000</v>
      </c>
      <c r="S66" s="4">
        <f t="shared" si="23"/>
        <v>18.48</v>
      </c>
      <c r="T66" s="4">
        <f t="shared" si="41"/>
        <v>0.4383333333333333</v>
      </c>
      <c r="U66" s="4">
        <f t="shared" si="46"/>
        <v>90.333333333333329</v>
      </c>
      <c r="V66" s="4">
        <f t="shared" si="46"/>
        <v>24.08</v>
      </c>
      <c r="W66" s="5">
        <f t="shared" si="46"/>
        <v>0</v>
      </c>
      <c r="X66" s="4">
        <f t="shared" si="46"/>
        <v>0.15</v>
      </c>
      <c r="Y66" s="4">
        <f t="shared" si="46"/>
        <v>0</v>
      </c>
      <c r="Z66" s="6">
        <f t="shared" si="47"/>
        <v>7.3335098344204397</v>
      </c>
      <c r="AA66" s="6">
        <f t="shared" si="48"/>
        <v>0.4383333333333333</v>
      </c>
      <c r="AB66" s="6">
        <f t="shared" si="47"/>
        <v>10.779240180773716</v>
      </c>
      <c r="AC66" s="6">
        <f t="shared" si="47"/>
        <v>7.9082824129289344</v>
      </c>
      <c r="AD66" s="6">
        <f t="shared" si="48"/>
        <v>0</v>
      </c>
      <c r="AE66" s="6">
        <f t="shared" si="48"/>
        <v>0.15</v>
      </c>
      <c r="AF66" s="6">
        <f t="shared" si="48"/>
        <v>0</v>
      </c>
      <c r="AG66" s="52">
        <f t="shared" si="42"/>
        <v>3.8013379659223459</v>
      </c>
      <c r="AH66" s="53">
        <f t="shared" si="43"/>
        <v>10.779240180773716</v>
      </c>
      <c r="AI66" s="54">
        <f t="shared" si="44"/>
        <v>14.450170331162639</v>
      </c>
      <c r="AJ66" s="54">
        <f t="shared" si="44"/>
        <v>116.19201887480656</v>
      </c>
      <c r="AK66" s="55">
        <f t="shared" si="45"/>
        <v>8.0821466580967591</v>
      </c>
      <c r="AL66" s="59" t="str">
        <f>IF(ISNUMBER(AK66),IF(AK66&lt;=1,"memenuhi",IF(AK66&lt;=5,"ringan",IF(AK66&lt;=10,"sedang","berat"))),"")</f>
        <v>sedang</v>
      </c>
    </row>
    <row r="67" spans="1:38" ht="17.25" thickBot="1" x14ac:dyDescent="0.35">
      <c r="A67" s="13">
        <v>66</v>
      </c>
      <c r="B67" s="14" t="s">
        <v>33</v>
      </c>
      <c r="C67" s="14"/>
      <c r="D67" s="49">
        <v>41590</v>
      </c>
      <c r="E67" s="19">
        <v>2040</v>
      </c>
      <c r="F67" s="50"/>
      <c r="G67" s="50">
        <v>62.1</v>
      </c>
      <c r="H67" s="50">
        <v>283</v>
      </c>
      <c r="I67" s="50"/>
      <c r="J67" s="50">
        <v>210</v>
      </c>
      <c r="K67" s="50"/>
      <c r="L67" s="48">
        <v>50</v>
      </c>
      <c r="M67" s="48">
        <v>4</v>
      </c>
      <c r="N67" s="48">
        <v>3</v>
      </c>
      <c r="O67" s="48">
        <v>25</v>
      </c>
      <c r="P67" s="48">
        <v>0.2</v>
      </c>
      <c r="Q67" s="48">
        <v>1000</v>
      </c>
      <c r="R67" s="48">
        <v>5000</v>
      </c>
      <c r="S67" s="4">
        <f t="shared" si="23"/>
        <v>40.799999999999997</v>
      </c>
      <c r="T67" s="4">
        <f t="shared" si="41"/>
        <v>0.58333333333333337</v>
      </c>
      <c r="U67" s="4">
        <f t="shared" si="46"/>
        <v>20.7</v>
      </c>
      <c r="V67" s="4">
        <f t="shared" si="46"/>
        <v>11.32</v>
      </c>
      <c r="W67" s="5">
        <f t="shared" si="46"/>
        <v>0</v>
      </c>
      <c r="X67" s="4">
        <f t="shared" si="46"/>
        <v>0.21</v>
      </c>
      <c r="Y67" s="4">
        <f t="shared" si="46"/>
        <v>0</v>
      </c>
      <c r="Z67" s="6">
        <f t="shared" si="47"/>
        <v>9.0533008154494006</v>
      </c>
      <c r="AA67" s="6">
        <f t="shared" si="48"/>
        <v>0.58333333333333337</v>
      </c>
      <c r="AB67" s="6">
        <f t="shared" si="47"/>
        <v>7.5798517272845896</v>
      </c>
      <c r="AC67" s="6">
        <f t="shared" si="47"/>
        <v>6.269232134261264</v>
      </c>
      <c r="AD67" s="6">
        <f t="shared" si="48"/>
        <v>0</v>
      </c>
      <c r="AE67" s="6">
        <f t="shared" si="48"/>
        <v>0.21</v>
      </c>
      <c r="AF67" s="6">
        <f t="shared" si="48"/>
        <v>0</v>
      </c>
      <c r="AG67" s="52">
        <f t="shared" si="42"/>
        <v>3.3851025729040845</v>
      </c>
      <c r="AH67" s="53">
        <f t="shared" si="43"/>
        <v>9.0533008154494006</v>
      </c>
      <c r="AI67" s="54">
        <f t="shared" si="44"/>
        <v>11.458919429081853</v>
      </c>
      <c r="AJ67" s="54">
        <f t="shared" si="44"/>
        <v>81.962255655016776</v>
      </c>
      <c r="AK67" s="55">
        <f t="shared" si="45"/>
        <v>6.8345144335241041</v>
      </c>
      <c r="AL67" s="59" t="str">
        <f t="shared" ref="AL67:AL76" si="49">IF(ISNUMBER(AK67),IF(AK67&lt;=1,"memenuhi",IF(AK67&lt;=5,"ringan",IF(AK67&lt;=10,"sedang","berat"))),"")</f>
        <v>sedang</v>
      </c>
    </row>
    <row r="68" spans="1:38" ht="17.25" thickBot="1" x14ac:dyDescent="0.35">
      <c r="A68" s="13">
        <v>67</v>
      </c>
      <c r="B68" s="14" t="s">
        <v>41</v>
      </c>
      <c r="C68" s="14"/>
      <c r="D68" s="49">
        <v>41590</v>
      </c>
      <c r="E68" s="19">
        <v>130</v>
      </c>
      <c r="F68" s="50">
        <v>4.51</v>
      </c>
      <c r="G68" s="50">
        <v>20.7</v>
      </c>
      <c r="H68" s="50">
        <v>114</v>
      </c>
      <c r="I68" s="50"/>
      <c r="J68" s="50">
        <v>150</v>
      </c>
      <c r="K68" s="50"/>
      <c r="L68" s="48">
        <v>50</v>
      </c>
      <c r="M68" s="48">
        <v>4</v>
      </c>
      <c r="N68" s="48">
        <v>3</v>
      </c>
      <c r="O68" s="48">
        <v>25</v>
      </c>
      <c r="P68" s="48">
        <v>0.2</v>
      </c>
      <c r="Q68" s="48">
        <v>1000</v>
      </c>
      <c r="R68" s="48">
        <v>5000</v>
      </c>
      <c r="S68" s="4">
        <f t="shared" si="23"/>
        <v>2.6</v>
      </c>
      <c r="T68" s="4">
        <f t="shared" si="41"/>
        <v>0.20750000000000002</v>
      </c>
      <c r="U68" s="4">
        <f t="shared" si="46"/>
        <v>6.8999999999999995</v>
      </c>
      <c r="V68" s="4">
        <f t="shared" si="46"/>
        <v>4.5599999999999996</v>
      </c>
      <c r="W68" s="5">
        <f t="shared" si="46"/>
        <v>0</v>
      </c>
      <c r="X68" s="4">
        <f t="shared" si="46"/>
        <v>0.15</v>
      </c>
      <c r="Y68" s="4">
        <f t="shared" si="46"/>
        <v>0</v>
      </c>
      <c r="Z68" s="6">
        <f t="shared" si="47"/>
        <v>3.0748667398540901</v>
      </c>
      <c r="AA68" s="6">
        <f t="shared" si="48"/>
        <v>0.20750000000000002</v>
      </c>
      <c r="AB68" s="6">
        <f t="shared" si="47"/>
        <v>5.1942454536862765</v>
      </c>
      <c r="AC68" s="6">
        <f t="shared" si="47"/>
        <v>4.2948242133221752</v>
      </c>
      <c r="AD68" s="6">
        <f t="shared" si="48"/>
        <v>0</v>
      </c>
      <c r="AE68" s="6">
        <f t="shared" si="48"/>
        <v>0.15</v>
      </c>
      <c r="AF68" s="6">
        <f t="shared" si="48"/>
        <v>0</v>
      </c>
      <c r="AG68" s="52">
        <f t="shared" si="42"/>
        <v>1.8459194866946489</v>
      </c>
      <c r="AH68" s="53">
        <f t="shared" si="43"/>
        <v>5.1942454536862765</v>
      </c>
      <c r="AI68" s="54">
        <f t="shared" si="44"/>
        <v>3.4074187513590362</v>
      </c>
      <c r="AJ68" s="54">
        <f t="shared" si="44"/>
        <v>26.980185833140553</v>
      </c>
      <c r="AK68" s="55">
        <f t="shared" si="45"/>
        <v>3.8979228176363105</v>
      </c>
      <c r="AL68" s="58" t="str">
        <f t="shared" si="49"/>
        <v>ringan</v>
      </c>
    </row>
    <row r="69" spans="1:38" ht="17.25" thickBot="1" x14ac:dyDescent="0.35">
      <c r="A69" s="13">
        <v>68</v>
      </c>
      <c r="B69" s="14" t="s">
        <v>43</v>
      </c>
      <c r="C69" s="14"/>
      <c r="D69" s="49">
        <v>41589</v>
      </c>
      <c r="E69" s="19">
        <v>227</v>
      </c>
      <c r="F69" s="50">
        <v>1.96</v>
      </c>
      <c r="G69" s="50">
        <v>17.899999999999999</v>
      </c>
      <c r="H69" s="50">
        <v>128</v>
      </c>
      <c r="I69" s="50"/>
      <c r="J69" s="50">
        <v>1100</v>
      </c>
      <c r="K69" s="50"/>
      <c r="L69" s="48">
        <v>50</v>
      </c>
      <c r="M69" s="48">
        <v>4</v>
      </c>
      <c r="N69" s="48">
        <v>3</v>
      </c>
      <c r="O69" s="48">
        <v>25</v>
      </c>
      <c r="P69" s="48">
        <v>0.2</v>
      </c>
      <c r="Q69" s="48">
        <v>1000</v>
      </c>
      <c r="R69" s="48">
        <v>5000</v>
      </c>
      <c r="S69" s="4">
        <f t="shared" si="23"/>
        <v>4.54</v>
      </c>
      <c r="T69" s="4">
        <f t="shared" si="41"/>
        <v>0.42</v>
      </c>
      <c r="U69" s="4">
        <f t="shared" si="46"/>
        <v>5.9666666666666659</v>
      </c>
      <c r="V69" s="4">
        <f t="shared" si="46"/>
        <v>5.12</v>
      </c>
      <c r="W69" s="5">
        <f t="shared" si="46"/>
        <v>0</v>
      </c>
      <c r="X69" s="4">
        <f t="shared" si="46"/>
        <v>1.1000000000000001</v>
      </c>
      <c r="Y69" s="4">
        <f t="shared" si="46"/>
        <v>0</v>
      </c>
      <c r="Z69" s="6">
        <f t="shared" si="47"/>
        <v>4.2852792642855189</v>
      </c>
      <c r="AA69" s="6">
        <f t="shared" si="48"/>
        <v>0.42</v>
      </c>
      <c r="AB69" s="6">
        <f>1+(5*(LOG10(G69/N69)))</f>
        <v>4.8786588813011535</v>
      </c>
      <c r="AC69" s="6">
        <f t="shared" si="47"/>
        <v>4.5463498048791537</v>
      </c>
      <c r="AD69" s="6">
        <f t="shared" si="48"/>
        <v>0</v>
      </c>
      <c r="AE69" s="6">
        <f t="shared" ref="AE69" si="50">1+(5*(LOG10(J69/Q69)))</f>
        <v>1.2069634257911255</v>
      </c>
      <c r="AF69" s="6">
        <f t="shared" si="48"/>
        <v>0</v>
      </c>
      <c r="AG69" s="52">
        <f t="shared" si="42"/>
        <v>2.19103591089385</v>
      </c>
      <c r="AH69" s="53">
        <f t="shared" si="43"/>
        <v>4.8786588813011535</v>
      </c>
      <c r="AI69" s="54">
        <f t="shared" si="44"/>
        <v>4.8006383628264429</v>
      </c>
      <c r="AJ69" s="54">
        <f t="shared" si="44"/>
        <v>23.801312480098623</v>
      </c>
      <c r="AK69" s="55">
        <f t="shared" si="45"/>
        <v>3.7816630496995014</v>
      </c>
      <c r="AL69" s="58" t="str">
        <f t="shared" si="49"/>
        <v>ringan</v>
      </c>
    </row>
    <row r="70" spans="1:38" ht="17.25" thickBot="1" x14ac:dyDescent="0.35">
      <c r="A70" s="13">
        <v>69</v>
      </c>
      <c r="B70" s="14" t="s">
        <v>45</v>
      </c>
      <c r="C70" s="14"/>
      <c r="D70" s="49">
        <v>41590</v>
      </c>
      <c r="E70" s="60">
        <v>118</v>
      </c>
      <c r="F70" s="50">
        <v>3.53</v>
      </c>
      <c r="G70" s="50">
        <v>35.200000000000003</v>
      </c>
      <c r="H70" s="50">
        <v>131</v>
      </c>
      <c r="I70" s="50"/>
      <c r="J70" s="50">
        <v>28</v>
      </c>
      <c r="K70" s="50"/>
      <c r="L70" s="48">
        <v>50</v>
      </c>
      <c r="M70" s="48">
        <v>4</v>
      </c>
      <c r="N70" s="48">
        <v>3</v>
      </c>
      <c r="O70" s="48">
        <v>25</v>
      </c>
      <c r="P70" s="48">
        <v>0.2</v>
      </c>
      <c r="Q70" s="48">
        <v>1000</v>
      </c>
      <c r="R70" s="48">
        <v>5000</v>
      </c>
      <c r="S70" s="4">
        <f t="shared" si="23"/>
        <v>2.36</v>
      </c>
      <c r="T70" s="4">
        <f t="shared" si="41"/>
        <v>0.28916666666666668</v>
      </c>
      <c r="U70" s="4">
        <f t="shared" si="46"/>
        <v>11.733333333333334</v>
      </c>
      <c r="V70" s="4">
        <f t="shared" si="46"/>
        <v>5.24</v>
      </c>
      <c r="W70" s="5">
        <f t="shared" si="46"/>
        <v>0</v>
      </c>
      <c r="X70" s="4">
        <f t="shared" si="46"/>
        <v>2.8000000000000001E-2</v>
      </c>
      <c r="Y70" s="4">
        <f t="shared" si="46"/>
        <v>0</v>
      </c>
      <c r="Z70" s="6">
        <f t="shared" si="47"/>
        <v>2.8645600148505328</v>
      </c>
      <c r="AA70" s="6">
        <f t="shared" si="48"/>
        <v>0.28916666666666668</v>
      </c>
      <c r="AB70" s="6">
        <f t="shared" si="47"/>
        <v>6.3471070437923434</v>
      </c>
      <c r="AC70" s="6">
        <f t="shared" si="47"/>
        <v>4.596656434918633</v>
      </c>
      <c r="AD70" s="6">
        <f t="shared" si="48"/>
        <v>0</v>
      </c>
      <c r="AE70" s="6">
        <f t="shared" si="48"/>
        <v>2.8000000000000001E-2</v>
      </c>
      <c r="AF70" s="6">
        <f t="shared" si="48"/>
        <v>0</v>
      </c>
      <c r="AG70" s="52">
        <f t="shared" si="42"/>
        <v>2.0179271657468822</v>
      </c>
      <c r="AH70" s="53">
        <f t="shared" si="43"/>
        <v>6.3471070437923434</v>
      </c>
      <c r="AI70" s="54">
        <f t="shared" si="44"/>
        <v>4.0720300462592451</v>
      </c>
      <c r="AJ70" s="54">
        <f t="shared" si="44"/>
        <v>40.285767825358377</v>
      </c>
      <c r="AK70" s="55">
        <f t="shared" si="45"/>
        <v>4.7094478376778746</v>
      </c>
      <c r="AL70" s="58" t="str">
        <f t="shared" si="49"/>
        <v>ringan</v>
      </c>
    </row>
    <row r="71" spans="1:38" ht="17.25" thickBot="1" x14ac:dyDescent="0.35">
      <c r="A71" s="13">
        <v>70</v>
      </c>
      <c r="B71" s="14" t="s">
        <v>23</v>
      </c>
      <c r="C71" s="14"/>
      <c r="D71" s="49">
        <v>41584</v>
      </c>
      <c r="E71" s="19">
        <v>289</v>
      </c>
      <c r="F71" s="50">
        <v>0.23</v>
      </c>
      <c r="G71" s="50">
        <v>22.8</v>
      </c>
      <c r="H71" s="50">
        <v>112</v>
      </c>
      <c r="I71" s="50"/>
      <c r="J71" s="50">
        <v>28</v>
      </c>
      <c r="K71" s="50"/>
      <c r="L71" s="48">
        <v>50</v>
      </c>
      <c r="M71" s="48">
        <v>4</v>
      </c>
      <c r="N71" s="48">
        <v>3</v>
      </c>
      <c r="O71" s="48">
        <v>25</v>
      </c>
      <c r="P71" s="48">
        <v>0.2</v>
      </c>
      <c r="Q71" s="48">
        <v>1000</v>
      </c>
      <c r="R71" s="48">
        <v>5000</v>
      </c>
      <c r="S71" s="4">
        <f t="shared" si="23"/>
        <v>5.78</v>
      </c>
      <c r="T71" s="4">
        <f t="shared" si="41"/>
        <v>0.56416666666666659</v>
      </c>
      <c r="U71" s="4">
        <f t="shared" si="46"/>
        <v>7.6000000000000005</v>
      </c>
      <c r="V71" s="4">
        <f t="shared" si="46"/>
        <v>4.4800000000000004</v>
      </c>
      <c r="W71" s="5">
        <f t="shared" si="46"/>
        <v>0</v>
      </c>
      <c r="X71" s="4">
        <f t="shared" si="46"/>
        <v>2.8000000000000001E-2</v>
      </c>
      <c r="Y71" s="4">
        <f t="shared" si="46"/>
        <v>0</v>
      </c>
      <c r="Z71" s="6">
        <f t="shared" si="47"/>
        <v>4.8096391921026456</v>
      </c>
      <c r="AA71" s="6">
        <f t="shared" si="48"/>
        <v>0.56416666666666659</v>
      </c>
      <c r="AB71" s="6">
        <f t="shared" si="47"/>
        <v>5.4040679614039568</v>
      </c>
      <c r="AC71" s="6">
        <f t="shared" si="47"/>
        <v>4.2563900699907204</v>
      </c>
      <c r="AD71" s="6">
        <f t="shared" si="48"/>
        <v>0</v>
      </c>
      <c r="AE71" s="6">
        <f t="shared" si="48"/>
        <v>2.8000000000000001E-2</v>
      </c>
      <c r="AF71" s="6">
        <f t="shared" si="48"/>
        <v>0</v>
      </c>
      <c r="AG71" s="52">
        <f t="shared" si="42"/>
        <v>2.1517519843091413</v>
      </c>
      <c r="AH71" s="53">
        <f t="shared" si="43"/>
        <v>5.4040679614039568</v>
      </c>
      <c r="AI71" s="54">
        <f t="shared" si="44"/>
        <v>4.6300366019783272</v>
      </c>
      <c r="AJ71" s="54">
        <f t="shared" si="44"/>
        <v>29.203950531472717</v>
      </c>
      <c r="AK71" s="55">
        <f t="shared" si="45"/>
        <v>4.1130272995356503</v>
      </c>
      <c r="AL71" s="58" t="str">
        <f t="shared" si="49"/>
        <v>ringan</v>
      </c>
    </row>
    <row r="72" spans="1:38" ht="17.25" thickBot="1" x14ac:dyDescent="0.35">
      <c r="A72" s="13">
        <v>71</v>
      </c>
      <c r="B72" s="14" t="s">
        <v>25</v>
      </c>
      <c r="C72" s="14"/>
      <c r="D72" s="49">
        <v>41584</v>
      </c>
      <c r="E72" s="19">
        <v>345</v>
      </c>
      <c r="F72" s="50">
        <v>0.23</v>
      </c>
      <c r="G72" s="50">
        <v>68.400000000000006</v>
      </c>
      <c r="H72" s="50">
        <v>147</v>
      </c>
      <c r="I72" s="50"/>
      <c r="J72" s="50">
        <v>120</v>
      </c>
      <c r="K72" s="50"/>
      <c r="L72" s="48">
        <v>50</v>
      </c>
      <c r="M72" s="48">
        <v>4</v>
      </c>
      <c r="N72" s="48">
        <v>3</v>
      </c>
      <c r="O72" s="48">
        <v>25</v>
      </c>
      <c r="P72" s="48">
        <v>0.2</v>
      </c>
      <c r="Q72" s="48">
        <v>1000</v>
      </c>
      <c r="R72" s="48">
        <v>5000</v>
      </c>
      <c r="S72" s="4">
        <f t="shared" si="23"/>
        <v>6.9</v>
      </c>
      <c r="T72" s="4">
        <f t="shared" si="41"/>
        <v>0.56416666666666659</v>
      </c>
      <c r="U72" s="4">
        <f t="shared" si="46"/>
        <v>22.8</v>
      </c>
      <c r="V72" s="4">
        <f t="shared" si="46"/>
        <v>5.88</v>
      </c>
      <c r="W72" s="5">
        <f t="shared" si="46"/>
        <v>0</v>
      </c>
      <c r="X72" s="4">
        <f t="shared" si="46"/>
        <v>0.12</v>
      </c>
      <c r="Y72" s="4">
        <f t="shared" si="46"/>
        <v>0</v>
      </c>
      <c r="Z72" s="6">
        <f t="shared" si="47"/>
        <v>5.1942454536862765</v>
      </c>
      <c r="AA72" s="6">
        <f t="shared" si="48"/>
        <v>0.56416666666666659</v>
      </c>
      <c r="AB72" s="6">
        <f t="shared" si="47"/>
        <v>7.789674235002269</v>
      </c>
      <c r="AC72" s="6">
        <f t="shared" si="47"/>
        <v>4.846886630380693</v>
      </c>
      <c r="AD72" s="6">
        <f t="shared" si="48"/>
        <v>0</v>
      </c>
      <c r="AE72" s="6">
        <f t="shared" si="48"/>
        <v>0.12</v>
      </c>
      <c r="AF72" s="6">
        <f t="shared" si="48"/>
        <v>0</v>
      </c>
      <c r="AG72" s="52">
        <f t="shared" si="42"/>
        <v>2.6449961408194151</v>
      </c>
      <c r="AH72" s="53">
        <f t="shared" si="43"/>
        <v>7.789674235002269</v>
      </c>
      <c r="AI72" s="54">
        <f t="shared" si="44"/>
        <v>6.9960045849495991</v>
      </c>
      <c r="AJ72" s="54">
        <f t="shared" si="44"/>
        <v>60.679024687458181</v>
      </c>
      <c r="AK72" s="55">
        <f t="shared" si="45"/>
        <v>5.8170022035584523</v>
      </c>
      <c r="AL72" s="59" t="str">
        <f t="shared" si="49"/>
        <v>sedang</v>
      </c>
    </row>
    <row r="73" spans="1:38" ht="17.25" thickBot="1" x14ac:dyDescent="0.35">
      <c r="A73" s="13">
        <v>72</v>
      </c>
      <c r="B73" s="14" t="s">
        <v>27</v>
      </c>
      <c r="C73" s="14"/>
      <c r="D73" s="49">
        <v>41590</v>
      </c>
      <c r="E73" s="19">
        <v>915</v>
      </c>
      <c r="F73" s="50">
        <v>0</v>
      </c>
      <c r="G73" s="50">
        <v>135</v>
      </c>
      <c r="H73" s="50">
        <v>552</v>
      </c>
      <c r="I73" s="50"/>
      <c r="J73" s="50">
        <v>120</v>
      </c>
      <c r="K73" s="50"/>
      <c r="L73" s="48">
        <v>50</v>
      </c>
      <c r="M73" s="48">
        <v>4</v>
      </c>
      <c r="N73" s="48">
        <v>3</v>
      </c>
      <c r="O73" s="48">
        <v>25</v>
      </c>
      <c r="P73" s="48">
        <v>0.2</v>
      </c>
      <c r="Q73" s="48">
        <v>1000</v>
      </c>
      <c r="R73" s="48">
        <v>5000</v>
      </c>
      <c r="S73" s="4">
        <f t="shared" si="23"/>
        <v>18.3</v>
      </c>
      <c r="T73" s="4">
        <f t="shared" si="41"/>
        <v>0.58333333333333337</v>
      </c>
      <c r="U73" s="4">
        <f t="shared" si="46"/>
        <v>45</v>
      </c>
      <c r="V73" s="4">
        <f t="shared" si="46"/>
        <v>22.08</v>
      </c>
      <c r="W73" s="5">
        <f t="shared" si="46"/>
        <v>0</v>
      </c>
      <c r="X73" s="4">
        <f t="shared" si="46"/>
        <v>0.12</v>
      </c>
      <c r="Y73" s="4">
        <f t="shared" si="46"/>
        <v>0</v>
      </c>
      <c r="Z73" s="6">
        <f t="shared" si="47"/>
        <v>7.3122554486521478</v>
      </c>
      <c r="AA73" s="6">
        <f t="shared" si="48"/>
        <v>0.58333333333333337</v>
      </c>
      <c r="AB73" s="6">
        <f t="shared" si="47"/>
        <v>9.266062568876718</v>
      </c>
      <c r="AC73" s="6">
        <f t="shared" si="47"/>
        <v>7.7199953452858061</v>
      </c>
      <c r="AD73" s="6">
        <f t="shared" si="48"/>
        <v>0</v>
      </c>
      <c r="AE73" s="6">
        <f t="shared" si="48"/>
        <v>0.12</v>
      </c>
      <c r="AF73" s="6">
        <f t="shared" si="48"/>
        <v>0</v>
      </c>
      <c r="AG73" s="52">
        <f t="shared" si="42"/>
        <v>3.5716638137354297</v>
      </c>
      <c r="AH73" s="53">
        <f t="shared" si="43"/>
        <v>9.266062568876718</v>
      </c>
      <c r="AI73" s="54">
        <f t="shared" si="44"/>
        <v>12.756782398347115</v>
      </c>
      <c r="AJ73" s="54">
        <f t="shared" si="44"/>
        <v>85.859915530338199</v>
      </c>
      <c r="AK73" s="55">
        <f t="shared" si="45"/>
        <v>7.0219903848084737</v>
      </c>
      <c r="AL73" s="59" t="str">
        <f t="shared" si="49"/>
        <v>sedang</v>
      </c>
    </row>
    <row r="74" spans="1:38" ht="17.25" thickBot="1" x14ac:dyDescent="0.35">
      <c r="A74" s="13">
        <v>73</v>
      </c>
      <c r="B74" s="14" t="s">
        <v>35</v>
      </c>
      <c r="C74" s="14"/>
      <c r="D74" s="49">
        <v>41589</v>
      </c>
      <c r="E74" s="19">
        <v>289</v>
      </c>
      <c r="F74" s="50">
        <v>0.79500000000000004</v>
      </c>
      <c r="G74" s="50">
        <v>27</v>
      </c>
      <c r="H74" s="50">
        <v>73</v>
      </c>
      <c r="I74" s="50"/>
      <c r="J74" s="50">
        <v>1100</v>
      </c>
      <c r="K74" s="50"/>
      <c r="L74" s="48">
        <v>50</v>
      </c>
      <c r="M74" s="48">
        <v>4</v>
      </c>
      <c r="N74" s="48">
        <v>3</v>
      </c>
      <c r="O74" s="48">
        <v>25</v>
      </c>
      <c r="P74" s="48">
        <v>0.2</v>
      </c>
      <c r="Q74" s="48">
        <v>1000</v>
      </c>
      <c r="R74" s="48">
        <v>5000</v>
      </c>
      <c r="S74" s="4">
        <f t="shared" si="23"/>
        <v>5.78</v>
      </c>
      <c r="T74" s="4">
        <f t="shared" si="41"/>
        <v>0.51708333333333334</v>
      </c>
      <c r="U74" s="4">
        <f t="shared" si="46"/>
        <v>9</v>
      </c>
      <c r="V74" s="4">
        <f t="shared" si="46"/>
        <v>2.92</v>
      </c>
      <c r="W74" s="5">
        <f t="shared" si="46"/>
        <v>0</v>
      </c>
      <c r="X74" s="4">
        <f t="shared" si="46"/>
        <v>1.1000000000000001</v>
      </c>
      <c r="Y74" s="4">
        <f t="shared" si="46"/>
        <v>0</v>
      </c>
      <c r="Z74" s="6">
        <f t="shared" si="47"/>
        <v>4.8096391921026456</v>
      </c>
      <c r="AA74" s="6">
        <f t="shared" si="48"/>
        <v>0.51708333333333334</v>
      </c>
      <c r="AB74" s="6">
        <f t="shared" si="47"/>
        <v>5.7712125471966242</v>
      </c>
      <c r="AC74" s="6">
        <f t="shared" si="47"/>
        <v>3.3269142572420916</v>
      </c>
      <c r="AD74" s="6">
        <f t="shared" si="48"/>
        <v>0</v>
      </c>
      <c r="AE74" s="6">
        <f t="shared" ref="AE74" si="51">1+(5*(LOG10(J74/Q74)))</f>
        <v>1.2069634257911255</v>
      </c>
      <c r="AF74" s="6">
        <f t="shared" si="48"/>
        <v>0</v>
      </c>
      <c r="AG74" s="52">
        <f t="shared" si="42"/>
        <v>2.2331161079522599</v>
      </c>
      <c r="AH74" s="53">
        <f t="shared" si="43"/>
        <v>5.7712125471966242</v>
      </c>
      <c r="AI74" s="54">
        <f t="shared" si="44"/>
        <v>4.9868075515958497</v>
      </c>
      <c r="AJ74" s="54">
        <f t="shared" si="44"/>
        <v>33.306894264919748</v>
      </c>
      <c r="AK74" s="55">
        <f t="shared" si="45"/>
        <v>4.3757114745213492</v>
      </c>
      <c r="AL74" s="58" t="str">
        <f t="shared" si="49"/>
        <v>ringan</v>
      </c>
    </row>
    <row r="75" spans="1:38" ht="17.25" thickBot="1" x14ac:dyDescent="0.35">
      <c r="A75" s="13">
        <v>74</v>
      </c>
      <c r="B75" s="14" t="s">
        <v>37</v>
      </c>
      <c r="C75" s="14"/>
      <c r="D75" s="49">
        <v>41589</v>
      </c>
      <c r="E75" s="19">
        <v>1480</v>
      </c>
      <c r="F75" s="50">
        <v>0</v>
      </c>
      <c r="G75" s="50">
        <v>266</v>
      </c>
      <c r="H75" s="50">
        <v>493</v>
      </c>
      <c r="I75" s="50"/>
      <c r="J75" s="50">
        <v>150</v>
      </c>
      <c r="K75" s="50"/>
      <c r="L75" s="48">
        <v>50</v>
      </c>
      <c r="M75" s="48">
        <v>4</v>
      </c>
      <c r="N75" s="48">
        <v>3</v>
      </c>
      <c r="O75" s="48">
        <v>25</v>
      </c>
      <c r="P75" s="48">
        <v>0.2</v>
      </c>
      <c r="Q75" s="48">
        <v>1000</v>
      </c>
      <c r="R75" s="48">
        <v>5000</v>
      </c>
      <c r="S75" s="4">
        <f t="shared" si="23"/>
        <v>29.6</v>
      </c>
      <c r="T75" s="4">
        <f t="shared" si="41"/>
        <v>0.58333333333333337</v>
      </c>
      <c r="U75" s="4">
        <f t="shared" si="46"/>
        <v>88.666666666666671</v>
      </c>
      <c r="V75" s="4">
        <f t="shared" si="46"/>
        <v>19.72</v>
      </c>
      <c r="W75" s="5">
        <f t="shared" si="46"/>
        <v>0</v>
      </c>
      <c r="X75" s="4">
        <f t="shared" si="46"/>
        <v>0.15</v>
      </c>
      <c r="Y75" s="4">
        <f t="shared" si="46"/>
        <v>0</v>
      </c>
      <c r="Z75" s="6">
        <f t="shared" si="47"/>
        <v>8.3564585552946937</v>
      </c>
      <c r="AA75" s="6">
        <f t="shared" si="48"/>
        <v>0.58333333333333337</v>
      </c>
      <c r="AB75" s="6">
        <f t="shared" si="48"/>
        <v>88.666666666666671</v>
      </c>
      <c r="AC75" s="6">
        <f t="shared" si="47"/>
        <v>7.4745345530259621</v>
      </c>
      <c r="AD75" s="6">
        <f t="shared" si="48"/>
        <v>0</v>
      </c>
      <c r="AE75" s="6">
        <f t="shared" si="48"/>
        <v>0.15</v>
      </c>
      <c r="AF75" s="6">
        <f t="shared" si="48"/>
        <v>0</v>
      </c>
      <c r="AG75" s="52">
        <f t="shared" si="42"/>
        <v>15.032999015474379</v>
      </c>
      <c r="AH75" s="53">
        <f t="shared" si="43"/>
        <v>88.666666666666671</v>
      </c>
      <c r="AI75" s="54">
        <f t="shared" si="44"/>
        <v>225.99105939925366</v>
      </c>
      <c r="AJ75" s="54">
        <f t="shared" si="44"/>
        <v>7861.7777777777783</v>
      </c>
      <c r="AK75" s="55">
        <f t="shared" si="45"/>
        <v>63.591543609103532</v>
      </c>
      <c r="AL75" s="61" t="str">
        <f t="shared" si="49"/>
        <v>berat</v>
      </c>
    </row>
    <row r="76" spans="1:38" ht="17.25" thickBot="1" x14ac:dyDescent="0.35">
      <c r="A76" s="13">
        <v>75</v>
      </c>
      <c r="B76" s="14" t="s">
        <v>51</v>
      </c>
      <c r="C76" s="14"/>
      <c r="D76" s="49">
        <v>41589</v>
      </c>
      <c r="E76" s="19">
        <v>648</v>
      </c>
      <c r="F76" s="50">
        <v>0</v>
      </c>
      <c r="G76" s="50">
        <v>88.1</v>
      </c>
      <c r="H76" s="50">
        <v>373</v>
      </c>
      <c r="I76" s="50"/>
      <c r="J76" s="50">
        <v>1100</v>
      </c>
      <c r="K76" s="50"/>
      <c r="L76" s="48">
        <v>50</v>
      </c>
      <c r="M76" s="48">
        <v>4</v>
      </c>
      <c r="N76" s="48">
        <v>3</v>
      </c>
      <c r="O76" s="48">
        <v>25</v>
      </c>
      <c r="P76" s="48">
        <v>0.2</v>
      </c>
      <c r="Q76" s="48">
        <v>1000</v>
      </c>
      <c r="R76" s="48">
        <v>5000</v>
      </c>
      <c r="S76" s="4">
        <f t="shared" si="23"/>
        <v>12.96</v>
      </c>
      <c r="T76" s="4">
        <f>((7-F76)/(7-M76))/M76</f>
        <v>0.58333333333333337</v>
      </c>
      <c r="U76" s="4">
        <f t="shared" si="46"/>
        <v>29.366666666666664</v>
      </c>
      <c r="V76" s="4">
        <f t="shared" si="46"/>
        <v>14.92</v>
      </c>
      <c r="W76" s="5">
        <f t="shared" si="46"/>
        <v>0</v>
      </c>
      <c r="X76" s="4">
        <f t="shared" si="46"/>
        <v>1.1000000000000001</v>
      </c>
      <c r="Y76" s="4">
        <f t="shared" si="46"/>
        <v>0</v>
      </c>
      <c r="Z76" s="6">
        <f t="shared" si="47"/>
        <v>6.5630250076728727</v>
      </c>
      <c r="AA76" s="6">
        <f t="shared" si="48"/>
        <v>0.58333333333333337</v>
      </c>
      <c r="AB76" s="6">
        <f t="shared" si="47"/>
        <v>8.3392732684619268</v>
      </c>
      <c r="AC76" s="6">
        <f t="shared" si="47"/>
        <v>6.8688441156832507</v>
      </c>
      <c r="AD76" s="6">
        <f t="shared" si="48"/>
        <v>0</v>
      </c>
      <c r="AE76" s="6">
        <f t="shared" ref="AE76" si="52">1+(5*(LOG10(J76/Q76)))</f>
        <v>1.2069634257911255</v>
      </c>
      <c r="AF76" s="6">
        <f t="shared" si="48"/>
        <v>0</v>
      </c>
      <c r="AG76" s="52">
        <f t="shared" si="42"/>
        <v>3.3659198787060727</v>
      </c>
      <c r="AH76" s="53">
        <f t="shared" si="43"/>
        <v>8.3392732684619268</v>
      </c>
      <c r="AI76" s="54">
        <f t="shared" si="44"/>
        <v>11.329416629868703</v>
      </c>
      <c r="AJ76" s="54">
        <f t="shared" si="44"/>
        <v>69.54347864608367</v>
      </c>
      <c r="AK76" s="55">
        <f t="shared" si="45"/>
        <v>6.3589659252095529</v>
      </c>
      <c r="AL76" s="59" t="str">
        <f t="shared" si="49"/>
        <v>sedang</v>
      </c>
    </row>
    <row r="77" spans="1:38" ht="17.25" thickBot="1" x14ac:dyDescent="0.35">
      <c r="A77" s="13">
        <v>76</v>
      </c>
      <c r="B77" s="62" t="s">
        <v>17</v>
      </c>
      <c r="C77" s="62"/>
      <c r="D77" s="63">
        <v>41765</v>
      </c>
      <c r="E77" s="37">
        <v>61</v>
      </c>
      <c r="F77" s="10">
        <v>7.31</v>
      </c>
      <c r="G77" s="10">
        <v>2.4900000000000002</v>
      </c>
      <c r="H77" s="10">
        <v>29.9</v>
      </c>
      <c r="I77" s="10"/>
      <c r="J77" s="10">
        <v>120</v>
      </c>
      <c r="K77" s="10"/>
      <c r="L77" s="3">
        <v>50</v>
      </c>
      <c r="M77" s="3">
        <v>4</v>
      </c>
      <c r="N77" s="3">
        <v>3</v>
      </c>
      <c r="O77" s="3">
        <v>25</v>
      </c>
      <c r="P77" s="3">
        <v>0.2</v>
      </c>
      <c r="Q77" s="3">
        <v>1000</v>
      </c>
      <c r="R77" s="3">
        <v>5000</v>
      </c>
      <c r="S77" s="4">
        <f t="shared" si="23"/>
        <v>1.22</v>
      </c>
      <c r="T77" s="4">
        <f>((7-F77)/(7-M77))/M77</f>
        <v>-2.5833333333333302E-2</v>
      </c>
      <c r="U77" s="4">
        <f t="shared" si="46"/>
        <v>0.83000000000000007</v>
      </c>
      <c r="V77" s="4">
        <f t="shared" si="46"/>
        <v>1.196</v>
      </c>
      <c r="W77" s="5">
        <f t="shared" si="46"/>
        <v>0</v>
      </c>
      <c r="X77" s="4">
        <f t="shared" si="46"/>
        <v>0.12</v>
      </c>
      <c r="Y77" s="4">
        <f t="shared" si="46"/>
        <v>0</v>
      </c>
      <c r="Z77" s="6">
        <f t="shared" si="47"/>
        <v>1.4317991533737411</v>
      </c>
      <c r="AA77" s="6">
        <f t="shared" si="47"/>
        <v>2.3092869281494899</v>
      </c>
      <c r="AB77" s="6">
        <f t="shared" si="47"/>
        <v>0.5953904618803697</v>
      </c>
      <c r="AC77" s="6">
        <f>1+(5*(LOG10(H77/O77)))</f>
        <v>1.3886558982619601</v>
      </c>
      <c r="AD77" s="6">
        <f t="shared" si="48"/>
        <v>0</v>
      </c>
      <c r="AE77" s="6">
        <f>X77</f>
        <v>0.12</v>
      </c>
      <c r="AF77" s="6">
        <f t="shared" si="48"/>
        <v>0</v>
      </c>
      <c r="AG77" s="21">
        <f>AVERAGE(Z77:AF77)</f>
        <v>0.83501892023793722</v>
      </c>
      <c r="AH77" s="22">
        <f>MAX(Z77:AG77)</f>
        <v>2.3092869281494899</v>
      </c>
      <c r="AI77" s="23">
        <f>POWER(AG77,2)</f>
        <v>0.69725659715533062</v>
      </c>
      <c r="AJ77" s="23">
        <f>POWER(AH77,2)</f>
        <v>5.3328061165221072</v>
      </c>
      <c r="AK77" s="24">
        <f>SQRT((AI77+AJ77)/2)</f>
        <v>1.7363845647893554</v>
      </c>
      <c r="AL77" s="64" t="str">
        <f>IF(ISNUMBER(AK77),IF(AK77&lt;=1,"memenuhi",IF(AK77&lt;=5,"ringan",IF(AK77&lt;=10,"sedang","berat"))),"")</f>
        <v>ringan</v>
      </c>
    </row>
    <row r="78" spans="1:38" ht="17.25" thickBot="1" x14ac:dyDescent="0.35">
      <c r="A78" s="13">
        <v>77</v>
      </c>
      <c r="B78" s="62" t="s">
        <v>49</v>
      </c>
      <c r="C78" s="62"/>
      <c r="D78" s="63">
        <v>41764</v>
      </c>
      <c r="E78" s="37">
        <v>79</v>
      </c>
      <c r="F78" s="10">
        <v>6.55</v>
      </c>
      <c r="G78" s="10">
        <v>5.44</v>
      </c>
      <c r="H78" s="10">
        <v>34.799999999999997</v>
      </c>
      <c r="I78" s="10"/>
      <c r="J78" s="10">
        <v>1100</v>
      </c>
      <c r="K78" s="10"/>
      <c r="L78" s="3">
        <v>50</v>
      </c>
      <c r="M78" s="3">
        <v>4</v>
      </c>
      <c r="N78" s="3">
        <v>3</v>
      </c>
      <c r="O78" s="3">
        <v>25</v>
      </c>
      <c r="P78" s="3">
        <v>0.2</v>
      </c>
      <c r="Q78" s="3">
        <v>1000</v>
      </c>
      <c r="R78" s="3">
        <v>5000</v>
      </c>
      <c r="S78" s="4">
        <f t="shared" si="23"/>
        <v>1.58</v>
      </c>
      <c r="T78" s="4">
        <f t="shared" ref="T78:T106" si="53">((7-F78)/(7-M78))/M78</f>
        <v>3.7500000000000012E-2</v>
      </c>
      <c r="U78" s="4">
        <f t="shared" si="46"/>
        <v>1.8133333333333335</v>
      </c>
      <c r="V78" s="4">
        <f t="shared" si="46"/>
        <v>1.3919999999999999</v>
      </c>
      <c r="W78" s="5">
        <f t="shared" si="46"/>
        <v>0</v>
      </c>
      <c r="X78" s="4">
        <f t="shared" si="46"/>
        <v>1.1000000000000001</v>
      </c>
      <c r="Y78" s="4">
        <f t="shared" si="46"/>
        <v>0</v>
      </c>
      <c r="Z78" s="6">
        <f t="shared" si="47"/>
        <v>1.9932854347721132</v>
      </c>
      <c r="AA78" s="6">
        <f t="shared" si="48"/>
        <v>3.7500000000000012E-2</v>
      </c>
      <c r="AB78" s="6">
        <f t="shared" si="47"/>
        <v>2.2923882248925875</v>
      </c>
      <c r="AC78" s="6">
        <f t="shared" si="47"/>
        <v>1.7181961763727163</v>
      </c>
      <c r="AD78" s="6">
        <f t="shared" si="48"/>
        <v>0</v>
      </c>
      <c r="AE78" s="6">
        <f t="shared" si="48"/>
        <v>1.1000000000000001</v>
      </c>
      <c r="AF78" s="6">
        <f t="shared" si="48"/>
        <v>0</v>
      </c>
      <c r="AG78" s="21">
        <f t="shared" ref="AG78:AG106" si="54">AVERAGE(Z78:AF78)</f>
        <v>1.0201956908624881</v>
      </c>
      <c r="AH78" s="22">
        <f t="shared" ref="AH78:AH106" si="55">MAX(Z78:AG78)</f>
        <v>2.2923882248925875</v>
      </c>
      <c r="AI78" s="23">
        <f t="shared" ref="AI78:AJ106" si="56">POWER(AG78,2)</f>
        <v>1.0407992476543892</v>
      </c>
      <c r="AJ78" s="23">
        <f t="shared" si="56"/>
        <v>5.2550437736261886</v>
      </c>
      <c r="AK78" s="24">
        <f t="shared" ref="AK78:AK106" si="57">SQRT((AI78+AJ78)/2)</f>
        <v>1.7742382902643852</v>
      </c>
      <c r="AL78" s="64" t="str">
        <f>IF(ISNUMBER(AK78),IF(AK78&lt;=1,"memenuhi",IF(AK78&lt;=5,"ringan",IF(AK78&lt;=10,"sedang","berat"))),"")</f>
        <v>ringan</v>
      </c>
    </row>
    <row r="79" spans="1:38" ht="17.25" thickBot="1" x14ac:dyDescent="0.35">
      <c r="A79" s="13">
        <v>78</v>
      </c>
      <c r="B79" s="62" t="s">
        <v>50</v>
      </c>
      <c r="C79" s="62"/>
      <c r="D79" s="63">
        <v>41792</v>
      </c>
      <c r="E79" s="37">
        <v>278</v>
      </c>
      <c r="F79" s="10">
        <v>5.18</v>
      </c>
      <c r="G79" s="10">
        <v>4.93</v>
      </c>
      <c r="H79" s="10">
        <v>33.1</v>
      </c>
      <c r="I79" s="10"/>
      <c r="J79" s="10">
        <v>64</v>
      </c>
      <c r="K79" s="10"/>
      <c r="L79" s="3">
        <v>50</v>
      </c>
      <c r="M79" s="3">
        <v>4</v>
      </c>
      <c r="N79" s="3">
        <v>3</v>
      </c>
      <c r="O79" s="3">
        <v>25</v>
      </c>
      <c r="P79" s="3">
        <v>0.2</v>
      </c>
      <c r="Q79" s="3">
        <v>1000</v>
      </c>
      <c r="R79" s="3">
        <v>5000</v>
      </c>
      <c r="S79" s="4">
        <f t="shared" si="23"/>
        <v>5.56</v>
      </c>
      <c r="T79" s="4">
        <f t="shared" si="53"/>
        <v>0.1516666666666667</v>
      </c>
      <c r="U79" s="4">
        <f t="shared" si="46"/>
        <v>1.6433333333333333</v>
      </c>
      <c r="V79" s="4">
        <f t="shared" si="46"/>
        <v>1.3240000000000001</v>
      </c>
      <c r="W79" s="5">
        <f t="shared" si="46"/>
        <v>0</v>
      </c>
      <c r="X79" s="4">
        <f t="shared" si="46"/>
        <v>6.4000000000000001E-2</v>
      </c>
      <c r="Y79" s="4">
        <f t="shared" si="46"/>
        <v>0</v>
      </c>
      <c r="Z79" s="6">
        <f t="shared" si="47"/>
        <v>4.7253739579102874</v>
      </c>
      <c r="AA79" s="6">
        <f t="shared" si="48"/>
        <v>0.1516666666666667</v>
      </c>
      <c r="AB79" s="6">
        <f t="shared" si="47"/>
        <v>2.0786283227878379</v>
      </c>
      <c r="AC79" s="6">
        <f t="shared" si="47"/>
        <v>1.6094399255184058</v>
      </c>
      <c r="AD79" s="6">
        <f t="shared" si="48"/>
        <v>0</v>
      </c>
      <c r="AE79" s="6">
        <f t="shared" si="48"/>
        <v>6.4000000000000001E-2</v>
      </c>
      <c r="AF79" s="6">
        <f t="shared" si="48"/>
        <v>0</v>
      </c>
      <c r="AG79" s="21">
        <f t="shared" si="54"/>
        <v>1.2327298389833139</v>
      </c>
      <c r="AH79" s="22">
        <f t="shared" si="55"/>
        <v>4.7253739579102874</v>
      </c>
      <c r="AI79" s="23">
        <f t="shared" si="56"/>
        <v>1.519622855919827</v>
      </c>
      <c r="AJ79" s="23">
        <f t="shared" si="56"/>
        <v>22.329159042096734</v>
      </c>
      <c r="AK79" s="24">
        <f t="shared" si="57"/>
        <v>3.4531711438919852</v>
      </c>
      <c r="AL79" s="64" t="str">
        <f>IF(ISNUMBER(AK79),IF(AK79&lt;=1,"memenuhi",IF(AK79&lt;=5,"ringan",IF(AK79&lt;=10,"sedang","berat"))),"")</f>
        <v>ringan</v>
      </c>
    </row>
    <row r="80" spans="1:38" ht="17.25" thickBot="1" x14ac:dyDescent="0.35">
      <c r="A80" s="13">
        <v>79</v>
      </c>
      <c r="B80" s="62" t="s">
        <v>29</v>
      </c>
      <c r="C80" s="62"/>
      <c r="D80" s="63">
        <v>41766</v>
      </c>
      <c r="E80" s="37">
        <v>298</v>
      </c>
      <c r="F80" s="10">
        <v>0.76300000000000001</v>
      </c>
      <c r="G80" s="10">
        <v>33.5</v>
      </c>
      <c r="H80" s="10">
        <v>116</v>
      </c>
      <c r="I80" s="10"/>
      <c r="J80" s="10">
        <v>1100</v>
      </c>
      <c r="K80" s="10"/>
      <c r="L80" s="3">
        <v>50</v>
      </c>
      <c r="M80" s="3">
        <v>4</v>
      </c>
      <c r="N80" s="3">
        <v>3</v>
      </c>
      <c r="O80" s="3">
        <v>25</v>
      </c>
      <c r="P80" s="3">
        <v>0.2</v>
      </c>
      <c r="Q80" s="3">
        <v>1000</v>
      </c>
      <c r="R80" s="3">
        <v>5000</v>
      </c>
      <c r="S80" s="4">
        <f t="shared" si="23"/>
        <v>5.96</v>
      </c>
      <c r="T80" s="4">
        <f t="shared" si="53"/>
        <v>0.51975000000000005</v>
      </c>
      <c r="U80" s="4">
        <f t="shared" ref="U80:Y95" si="58">G80/N80</f>
        <v>11.166666666666666</v>
      </c>
      <c r="V80" s="4">
        <f t="shared" si="58"/>
        <v>4.6399999999999997</v>
      </c>
      <c r="W80" s="5">
        <f t="shared" si="58"/>
        <v>0</v>
      </c>
      <c r="X80" s="4">
        <f t="shared" si="58"/>
        <v>1.1000000000000001</v>
      </c>
      <c r="Y80" s="4">
        <f t="shared" si="58"/>
        <v>0</v>
      </c>
      <c r="Z80" s="6">
        <f t="shared" ref="Z80:AC106" si="59">1+(5*(LOG10(E80/L80)))</f>
        <v>4.8762312987011818</v>
      </c>
      <c r="AA80" s="6">
        <f t="shared" si="48"/>
        <v>0.51975000000000005</v>
      </c>
      <c r="AB80" s="6">
        <f t="shared" si="59"/>
        <v>6.2396177615859143</v>
      </c>
      <c r="AC80" s="6">
        <f t="shared" si="59"/>
        <v>4.3325899027744041</v>
      </c>
      <c r="AD80" s="6">
        <f t="shared" si="48"/>
        <v>0</v>
      </c>
      <c r="AE80" s="6">
        <f t="shared" si="48"/>
        <v>1.1000000000000001</v>
      </c>
      <c r="AF80" s="6">
        <f t="shared" si="48"/>
        <v>0</v>
      </c>
      <c r="AG80" s="21">
        <f t="shared" si="54"/>
        <v>2.4383127090087862</v>
      </c>
      <c r="AH80" s="22">
        <f t="shared" si="55"/>
        <v>6.2396177615859143</v>
      </c>
      <c r="AI80" s="23">
        <f t="shared" si="56"/>
        <v>5.9453688669137659</v>
      </c>
      <c r="AJ80" s="23">
        <f t="shared" si="56"/>
        <v>38.932829810698415</v>
      </c>
      <c r="AK80" s="24">
        <f t="shared" si="57"/>
        <v>4.7369926471133654</v>
      </c>
      <c r="AL80" s="64" t="str">
        <f>IF(ISNUMBER(AK80),IF(AK80&lt;=1,"memenuhi",IF(AK80&lt;=5,"ringan",IF(AK80&lt;=10,"sedang","berat"))),"")</f>
        <v>ringan</v>
      </c>
    </row>
    <row r="81" spans="1:38" ht="17.25" thickBot="1" x14ac:dyDescent="0.35">
      <c r="A81" s="13">
        <v>80</v>
      </c>
      <c r="B81" s="62" t="s">
        <v>31</v>
      </c>
      <c r="C81" s="62"/>
      <c r="D81" s="63">
        <v>41767</v>
      </c>
      <c r="E81" s="37">
        <v>884</v>
      </c>
      <c r="F81" s="10">
        <v>4.01</v>
      </c>
      <c r="G81" s="10">
        <v>92.6</v>
      </c>
      <c r="H81" s="10">
        <v>234</v>
      </c>
      <c r="I81" s="10"/>
      <c r="J81" s="10">
        <v>120</v>
      </c>
      <c r="K81" s="10"/>
      <c r="L81" s="3">
        <v>50</v>
      </c>
      <c r="M81" s="3">
        <v>4</v>
      </c>
      <c r="N81" s="3">
        <v>3</v>
      </c>
      <c r="O81" s="3">
        <v>25</v>
      </c>
      <c r="P81" s="3">
        <v>0.2</v>
      </c>
      <c r="Q81" s="3">
        <v>1000</v>
      </c>
      <c r="R81" s="3">
        <v>5000</v>
      </c>
      <c r="S81" s="4">
        <f t="shared" si="23"/>
        <v>17.68</v>
      </c>
      <c r="T81" s="4">
        <f t="shared" si="53"/>
        <v>0.24916666666666668</v>
      </c>
      <c r="U81" s="4">
        <f t="shared" si="58"/>
        <v>30.866666666666664</v>
      </c>
      <c r="V81" s="4">
        <f t="shared" si="58"/>
        <v>9.36</v>
      </c>
      <c r="W81" s="5">
        <f t="shared" si="58"/>
        <v>0</v>
      </c>
      <c r="X81" s="4">
        <f t="shared" si="58"/>
        <v>0.12</v>
      </c>
      <c r="Y81" s="4">
        <f t="shared" si="58"/>
        <v>0</v>
      </c>
      <c r="Z81" s="6">
        <f t="shared" si="59"/>
        <v>7.2374113033852723</v>
      </c>
      <c r="AA81" s="6">
        <f t="shared" ref="AA81:AF96" si="60">T81</f>
        <v>0.24916666666666668</v>
      </c>
      <c r="AB81" s="6">
        <f t="shared" si="59"/>
        <v>8.447448659811359</v>
      </c>
      <c r="AC81" s="6">
        <f t="shared" si="59"/>
        <v>5.856379243690526</v>
      </c>
      <c r="AD81" s="6">
        <f t="shared" si="60"/>
        <v>0</v>
      </c>
      <c r="AE81" s="6">
        <f t="shared" si="60"/>
        <v>0.12</v>
      </c>
      <c r="AF81" s="6">
        <f t="shared" si="60"/>
        <v>0</v>
      </c>
      <c r="AG81" s="21">
        <f t="shared" si="54"/>
        <v>3.1300579819362606</v>
      </c>
      <c r="AH81" s="22">
        <f t="shared" si="55"/>
        <v>8.447448659811359</v>
      </c>
      <c r="AI81" s="23">
        <f t="shared" si="56"/>
        <v>9.7972629702828957</v>
      </c>
      <c r="AJ81" s="23">
        <f t="shared" si="56"/>
        <v>71.359388860148727</v>
      </c>
      <c r="AK81" s="24">
        <f t="shared" si="57"/>
        <v>6.3701119232879897</v>
      </c>
      <c r="AL81" s="65" t="str">
        <f>IF(ISNUMBER(AK81),IF(AK81&lt;=1,"memenuhi",IF(AK81&lt;=5,"ringan",IF(AK81&lt;=10,"sedang","berat"))),"")</f>
        <v>sedang</v>
      </c>
    </row>
    <row r="82" spans="1:38" ht="17.25" thickBot="1" x14ac:dyDescent="0.35">
      <c r="A82" s="13">
        <v>81</v>
      </c>
      <c r="B82" s="62" t="s">
        <v>33</v>
      </c>
      <c r="C82" s="62"/>
      <c r="D82" s="63">
        <v>41792</v>
      </c>
      <c r="E82" s="37">
        <v>942</v>
      </c>
      <c r="F82" s="10">
        <v>0</v>
      </c>
      <c r="G82" s="10">
        <v>129</v>
      </c>
      <c r="H82" s="10">
        <v>280</v>
      </c>
      <c r="I82" s="10"/>
      <c r="J82" s="10">
        <v>460</v>
      </c>
      <c r="K82" s="10"/>
      <c r="L82" s="3">
        <v>50</v>
      </c>
      <c r="M82" s="3">
        <v>4</v>
      </c>
      <c r="N82" s="3">
        <v>3</v>
      </c>
      <c r="O82" s="3">
        <v>25</v>
      </c>
      <c r="P82" s="3">
        <v>0.2</v>
      </c>
      <c r="Q82" s="3">
        <v>1000</v>
      </c>
      <c r="R82" s="3">
        <v>5000</v>
      </c>
      <c r="S82" s="4">
        <f t="shared" si="23"/>
        <v>18.84</v>
      </c>
      <c r="T82" s="4">
        <f t="shared" si="53"/>
        <v>0.58333333333333337</v>
      </c>
      <c r="U82" s="4">
        <f t="shared" si="58"/>
        <v>43</v>
      </c>
      <c r="V82" s="4">
        <f t="shared" si="58"/>
        <v>11.2</v>
      </c>
      <c r="W82" s="5">
        <f t="shared" si="58"/>
        <v>0</v>
      </c>
      <c r="X82" s="4">
        <f t="shared" si="58"/>
        <v>0.46</v>
      </c>
      <c r="Y82" s="4">
        <f t="shared" si="58"/>
        <v>0</v>
      </c>
      <c r="Z82" s="6">
        <f t="shared" si="59"/>
        <v>7.3754044922842921</v>
      </c>
      <c r="AA82" s="6">
        <f t="shared" si="60"/>
        <v>0.58333333333333337</v>
      </c>
      <c r="AB82" s="6">
        <f t="shared" si="59"/>
        <v>9.1673422778979319</v>
      </c>
      <c r="AC82" s="6">
        <f t="shared" si="59"/>
        <v>6.2460901133509079</v>
      </c>
      <c r="AD82" s="6">
        <f t="shared" si="60"/>
        <v>0</v>
      </c>
      <c r="AE82" s="6">
        <f t="shared" si="60"/>
        <v>0.46</v>
      </c>
      <c r="AF82" s="6">
        <f t="shared" si="60"/>
        <v>0</v>
      </c>
      <c r="AG82" s="21">
        <f t="shared" si="54"/>
        <v>3.4045957452666378</v>
      </c>
      <c r="AH82" s="22">
        <f t="shared" si="55"/>
        <v>9.1673422778979319</v>
      </c>
      <c r="AI82" s="23">
        <f t="shared" si="56"/>
        <v>11.591272188687693</v>
      </c>
      <c r="AJ82" s="23">
        <f t="shared" si="56"/>
        <v>84.040164440134845</v>
      </c>
      <c r="AK82" s="24">
        <f t="shared" si="57"/>
        <v>6.9148910558599024</v>
      </c>
      <c r="AL82" s="65" t="str">
        <f t="shared" ref="AL82:AL106" si="61">IF(ISNUMBER(AK82),IF(AK82&lt;=1,"memenuhi",IF(AK82&lt;=5,"ringan",IF(AK82&lt;=10,"sedang","berat"))),"")</f>
        <v>sedang</v>
      </c>
    </row>
    <row r="83" spans="1:38" ht="17.25" thickBot="1" x14ac:dyDescent="0.35">
      <c r="A83" s="13">
        <v>82</v>
      </c>
      <c r="B83" s="62" t="s">
        <v>41</v>
      </c>
      <c r="C83" s="62"/>
      <c r="D83" s="63">
        <v>41780</v>
      </c>
      <c r="E83" s="37">
        <v>321</v>
      </c>
      <c r="F83" s="10">
        <v>3.56</v>
      </c>
      <c r="G83" s="10">
        <v>8.68</v>
      </c>
      <c r="H83" s="10">
        <v>112</v>
      </c>
      <c r="I83" s="10"/>
      <c r="J83" s="10">
        <v>14</v>
      </c>
      <c r="K83" s="10"/>
      <c r="L83" s="3">
        <v>50</v>
      </c>
      <c r="M83" s="3">
        <v>4</v>
      </c>
      <c r="N83" s="3">
        <v>3</v>
      </c>
      <c r="O83" s="3">
        <v>25</v>
      </c>
      <c r="P83" s="3">
        <v>0.2</v>
      </c>
      <c r="Q83" s="3">
        <v>1000</v>
      </c>
      <c r="R83" s="3">
        <v>5000</v>
      </c>
      <c r="S83" s="4">
        <f t="shared" si="23"/>
        <v>6.42</v>
      </c>
      <c r="T83" s="4">
        <f t="shared" si="53"/>
        <v>0.28666666666666668</v>
      </c>
      <c r="U83" s="4">
        <f t="shared" si="58"/>
        <v>2.8933333333333331</v>
      </c>
      <c r="V83" s="4">
        <f t="shared" si="58"/>
        <v>4.4800000000000004</v>
      </c>
      <c r="W83" s="5">
        <f t="shared" si="58"/>
        <v>0</v>
      </c>
      <c r="X83" s="4">
        <f t="shared" si="58"/>
        <v>1.4E-2</v>
      </c>
      <c r="Y83" s="4">
        <f t="shared" si="58"/>
        <v>0</v>
      </c>
      <c r="Z83" s="6">
        <f t="shared" si="59"/>
        <v>5.0376751403442661</v>
      </c>
      <c r="AA83" s="6">
        <f t="shared" si="60"/>
        <v>0.28666666666666668</v>
      </c>
      <c r="AB83" s="6">
        <f t="shared" si="59"/>
        <v>3.3069923522841469</v>
      </c>
      <c r="AC83" s="6">
        <f t="shared" si="59"/>
        <v>4.2563900699907204</v>
      </c>
      <c r="AD83" s="6">
        <f t="shared" si="60"/>
        <v>0</v>
      </c>
      <c r="AE83" s="6">
        <f t="shared" si="60"/>
        <v>1.4E-2</v>
      </c>
      <c r="AF83" s="6">
        <f t="shared" si="60"/>
        <v>0</v>
      </c>
      <c r="AG83" s="21">
        <f t="shared" si="54"/>
        <v>1.8431034613265427</v>
      </c>
      <c r="AH83" s="22">
        <f t="shared" si="55"/>
        <v>5.0376751403442661</v>
      </c>
      <c r="AI83" s="23">
        <f t="shared" si="56"/>
        <v>3.3970303691538826</v>
      </c>
      <c r="AJ83" s="23">
        <f t="shared" si="56"/>
        <v>25.378170819642623</v>
      </c>
      <c r="AK83" s="24">
        <f t="shared" si="57"/>
        <v>3.7930990752151796</v>
      </c>
      <c r="AL83" s="64" t="str">
        <f t="shared" si="61"/>
        <v>ringan</v>
      </c>
    </row>
    <row r="84" spans="1:38" ht="17.25" thickBot="1" x14ac:dyDescent="0.35">
      <c r="A84" s="13">
        <v>83</v>
      </c>
      <c r="B84" s="62" t="s">
        <v>43</v>
      </c>
      <c r="C84" s="62"/>
      <c r="D84" s="63">
        <v>41768</v>
      </c>
      <c r="E84" s="37">
        <v>329</v>
      </c>
      <c r="F84" s="10">
        <v>4.3899999999999997</v>
      </c>
      <c r="G84" s="10">
        <v>18.899999999999999</v>
      </c>
      <c r="H84" s="10">
        <v>118</v>
      </c>
      <c r="I84" s="10"/>
      <c r="J84" s="10">
        <v>18</v>
      </c>
      <c r="K84" s="10"/>
      <c r="L84" s="3">
        <v>50</v>
      </c>
      <c r="M84" s="3">
        <v>4</v>
      </c>
      <c r="N84" s="3">
        <v>3</v>
      </c>
      <c r="O84" s="3">
        <v>25</v>
      </c>
      <c r="P84" s="3">
        <v>0.2</v>
      </c>
      <c r="Q84" s="3">
        <v>1000</v>
      </c>
      <c r="R84" s="3">
        <v>5000</v>
      </c>
      <c r="S84" s="4">
        <f t="shared" si="23"/>
        <v>6.58</v>
      </c>
      <c r="T84" s="4">
        <f t="shared" si="53"/>
        <v>0.21750000000000003</v>
      </c>
      <c r="U84" s="4">
        <f t="shared" si="58"/>
        <v>6.3</v>
      </c>
      <c r="V84" s="4">
        <f t="shared" si="58"/>
        <v>4.72</v>
      </c>
      <c r="W84" s="5">
        <f t="shared" si="58"/>
        <v>0</v>
      </c>
      <c r="X84" s="4">
        <f t="shared" si="58"/>
        <v>1.7999999999999999E-2</v>
      </c>
      <c r="Y84" s="4">
        <f t="shared" si="58"/>
        <v>0</v>
      </c>
      <c r="Z84" s="6">
        <f t="shared" si="59"/>
        <v>5.0911294680697772</v>
      </c>
      <c r="AA84" s="6">
        <f t="shared" si="60"/>
        <v>0.21750000000000003</v>
      </c>
      <c r="AB84" s="6">
        <f>1+(5*(LOG10(G84/N84)))</f>
        <v>4.9967027472679089</v>
      </c>
      <c r="AC84" s="6">
        <f t="shared" si="59"/>
        <v>4.3697099931704386</v>
      </c>
      <c r="AD84" s="6">
        <f t="shared" si="60"/>
        <v>0</v>
      </c>
      <c r="AE84" s="6">
        <f t="shared" si="60"/>
        <v>1.7999999999999999E-2</v>
      </c>
      <c r="AF84" s="6">
        <f t="shared" si="60"/>
        <v>0</v>
      </c>
      <c r="AG84" s="21">
        <f t="shared" si="54"/>
        <v>2.0990060297868749</v>
      </c>
      <c r="AH84" s="22">
        <f t="shared" si="55"/>
        <v>5.0911294680697772</v>
      </c>
      <c r="AI84" s="23">
        <f t="shared" si="56"/>
        <v>4.4058263130816595</v>
      </c>
      <c r="AJ84" s="23">
        <f t="shared" si="56"/>
        <v>25.919599260648454</v>
      </c>
      <c r="AK84" s="24">
        <f t="shared" si="57"/>
        <v>3.8939328174565437</v>
      </c>
      <c r="AL84" s="64" t="str">
        <f t="shared" si="61"/>
        <v>ringan</v>
      </c>
    </row>
    <row r="85" spans="1:38" ht="17.25" thickBot="1" x14ac:dyDescent="0.35">
      <c r="A85" s="13">
        <v>84</v>
      </c>
      <c r="B85" s="62" t="s">
        <v>45</v>
      </c>
      <c r="C85" s="62"/>
      <c r="D85" s="63">
        <v>41792</v>
      </c>
      <c r="E85" s="11">
        <v>562</v>
      </c>
      <c r="F85" s="10">
        <v>1.34</v>
      </c>
      <c r="G85" s="10">
        <v>23.6</v>
      </c>
      <c r="H85" s="10">
        <v>91.9</v>
      </c>
      <c r="I85" s="10"/>
      <c r="J85" s="10">
        <v>20</v>
      </c>
      <c r="K85" s="10"/>
      <c r="L85" s="3">
        <v>50</v>
      </c>
      <c r="M85" s="3">
        <v>4</v>
      </c>
      <c r="N85" s="3">
        <v>3</v>
      </c>
      <c r="O85" s="3">
        <v>25</v>
      </c>
      <c r="P85" s="3">
        <v>0.2</v>
      </c>
      <c r="Q85" s="3">
        <v>1000</v>
      </c>
      <c r="R85" s="3">
        <v>5000</v>
      </c>
      <c r="S85" s="4">
        <f t="shared" si="23"/>
        <v>11.24</v>
      </c>
      <c r="T85" s="4">
        <f t="shared" si="53"/>
        <v>0.47166666666666668</v>
      </c>
      <c r="U85" s="4">
        <f t="shared" si="58"/>
        <v>7.8666666666666671</v>
      </c>
      <c r="V85" s="4">
        <f t="shared" si="58"/>
        <v>3.6760000000000002</v>
      </c>
      <c r="W85" s="5">
        <f t="shared" si="58"/>
        <v>0</v>
      </c>
      <c r="X85" s="4">
        <f t="shared" si="58"/>
        <v>0.02</v>
      </c>
      <c r="Y85" s="4">
        <f t="shared" si="58"/>
        <v>0</v>
      </c>
      <c r="Z85" s="6">
        <f t="shared" si="59"/>
        <v>6.2538315561652116</v>
      </c>
      <c r="AA85" s="6">
        <f t="shared" si="60"/>
        <v>0.47166666666666668</v>
      </c>
      <c r="AB85" s="6">
        <f t="shared" si="59"/>
        <v>5.4789537412522211</v>
      </c>
      <c r="AC85" s="6">
        <f t="shared" si="59"/>
        <v>3.8268775135703681</v>
      </c>
      <c r="AD85" s="6">
        <f t="shared" si="60"/>
        <v>0</v>
      </c>
      <c r="AE85" s="6">
        <f t="shared" si="60"/>
        <v>0.02</v>
      </c>
      <c r="AF85" s="6">
        <f t="shared" si="60"/>
        <v>0</v>
      </c>
      <c r="AG85" s="21">
        <f t="shared" si="54"/>
        <v>2.2930470682363522</v>
      </c>
      <c r="AH85" s="22">
        <f t="shared" si="55"/>
        <v>6.2538315561652116</v>
      </c>
      <c r="AI85" s="23">
        <f t="shared" si="56"/>
        <v>5.2580648571473301</v>
      </c>
      <c r="AJ85" s="23">
        <f t="shared" si="56"/>
        <v>39.110409132887789</v>
      </c>
      <c r="AK85" s="24">
        <f t="shared" si="57"/>
        <v>4.7100145429730427</v>
      </c>
      <c r="AL85" s="64" t="str">
        <f t="shared" si="61"/>
        <v>ringan</v>
      </c>
    </row>
    <row r="86" spans="1:38" ht="17.25" thickBot="1" x14ac:dyDescent="0.35">
      <c r="A86" s="13">
        <v>85</v>
      </c>
      <c r="B86" s="62" t="s">
        <v>23</v>
      </c>
      <c r="C86" s="62"/>
      <c r="D86" s="63">
        <v>41765</v>
      </c>
      <c r="E86" s="37">
        <v>134</v>
      </c>
      <c r="F86" s="10">
        <v>2.86</v>
      </c>
      <c r="G86" s="10">
        <v>11.6</v>
      </c>
      <c r="H86" s="10">
        <v>80.400000000000006</v>
      </c>
      <c r="I86" s="10"/>
      <c r="J86" s="10">
        <v>28</v>
      </c>
      <c r="K86" s="10"/>
      <c r="L86" s="3">
        <v>50</v>
      </c>
      <c r="M86" s="3">
        <v>4</v>
      </c>
      <c r="N86" s="3">
        <v>3</v>
      </c>
      <c r="O86" s="3">
        <v>25</v>
      </c>
      <c r="P86" s="3">
        <v>0.2</v>
      </c>
      <c r="Q86" s="3">
        <v>1000</v>
      </c>
      <c r="R86" s="3">
        <v>5000</v>
      </c>
      <c r="S86" s="4">
        <f t="shared" si="23"/>
        <v>2.68</v>
      </c>
      <c r="T86" s="4">
        <f t="shared" si="53"/>
        <v>0.34500000000000003</v>
      </c>
      <c r="U86" s="4">
        <f t="shared" si="58"/>
        <v>3.8666666666666667</v>
      </c>
      <c r="V86" s="4">
        <f t="shared" si="58"/>
        <v>3.2160000000000002</v>
      </c>
      <c r="W86" s="5">
        <f t="shared" si="58"/>
        <v>0</v>
      </c>
      <c r="X86" s="4">
        <f t="shared" si="58"/>
        <v>2.8000000000000001E-2</v>
      </c>
      <c r="Y86" s="4">
        <f t="shared" si="58"/>
        <v>0</v>
      </c>
      <c r="Z86" s="6">
        <f t="shared" si="59"/>
        <v>3.1406739701439443</v>
      </c>
      <c r="AA86" s="6">
        <f t="shared" si="60"/>
        <v>0.34500000000000003</v>
      </c>
      <c r="AB86" s="6">
        <f t="shared" si="59"/>
        <v>3.9366836725362804</v>
      </c>
      <c r="AC86" s="6">
        <f t="shared" si="59"/>
        <v>3.5365802003820686</v>
      </c>
      <c r="AD86" s="6">
        <f t="shared" si="60"/>
        <v>0</v>
      </c>
      <c r="AE86" s="6">
        <f t="shared" si="60"/>
        <v>2.8000000000000001E-2</v>
      </c>
      <c r="AF86" s="6">
        <f t="shared" si="60"/>
        <v>0</v>
      </c>
      <c r="AG86" s="21">
        <f t="shared" si="54"/>
        <v>1.5695625490088994</v>
      </c>
      <c r="AH86" s="22">
        <f t="shared" si="55"/>
        <v>3.9366836725362804</v>
      </c>
      <c r="AI86" s="23">
        <f t="shared" si="56"/>
        <v>2.4635265952513135</v>
      </c>
      <c r="AJ86" s="23">
        <f t="shared" si="56"/>
        <v>15.497478337613735</v>
      </c>
      <c r="AK86" s="24">
        <f t="shared" si="57"/>
        <v>2.996748649191741</v>
      </c>
      <c r="AL86" s="64" t="str">
        <f t="shared" si="61"/>
        <v>ringan</v>
      </c>
    </row>
    <row r="87" spans="1:38" ht="17.25" thickBot="1" x14ac:dyDescent="0.35">
      <c r="A87" s="13">
        <v>86</v>
      </c>
      <c r="B87" s="62" t="s">
        <v>25</v>
      </c>
      <c r="C87" s="62"/>
      <c r="D87" s="63">
        <v>41764</v>
      </c>
      <c r="E87" s="37">
        <v>260</v>
      </c>
      <c r="F87" s="10">
        <v>0.85799999999999998</v>
      </c>
      <c r="G87" s="10">
        <v>88.5</v>
      </c>
      <c r="H87" s="10">
        <v>196</v>
      </c>
      <c r="I87" s="10"/>
      <c r="J87" s="10">
        <v>120</v>
      </c>
      <c r="K87" s="10"/>
      <c r="L87" s="3">
        <v>50</v>
      </c>
      <c r="M87" s="3">
        <v>4</v>
      </c>
      <c r="N87" s="3">
        <v>3</v>
      </c>
      <c r="O87" s="3">
        <v>25</v>
      </c>
      <c r="P87" s="3">
        <v>0.2</v>
      </c>
      <c r="Q87" s="3">
        <v>1000</v>
      </c>
      <c r="R87" s="3">
        <v>5000</v>
      </c>
      <c r="S87" s="4">
        <f t="shared" si="23"/>
        <v>5.2</v>
      </c>
      <c r="T87" s="4">
        <f t="shared" si="53"/>
        <v>0.51183333333333336</v>
      </c>
      <c r="U87" s="4">
        <f t="shared" si="58"/>
        <v>29.5</v>
      </c>
      <c r="V87" s="4">
        <f t="shared" si="58"/>
        <v>7.84</v>
      </c>
      <c r="W87" s="5">
        <f t="shared" si="58"/>
        <v>0</v>
      </c>
      <c r="X87" s="4">
        <f t="shared" si="58"/>
        <v>0.12</v>
      </c>
      <c r="Y87" s="4">
        <f t="shared" si="58"/>
        <v>0</v>
      </c>
      <c r="Z87" s="6">
        <f t="shared" si="59"/>
        <v>4.5800167181739964</v>
      </c>
      <c r="AA87" s="6">
        <f t="shared" si="60"/>
        <v>0.51183333333333336</v>
      </c>
      <c r="AB87" s="6">
        <f t="shared" si="59"/>
        <v>8.3491100798908153</v>
      </c>
      <c r="AC87" s="6">
        <f t="shared" si="59"/>
        <v>5.4715803134221925</v>
      </c>
      <c r="AD87" s="6">
        <f t="shared" si="60"/>
        <v>0</v>
      </c>
      <c r="AE87" s="6">
        <f t="shared" si="60"/>
        <v>0.12</v>
      </c>
      <c r="AF87" s="6">
        <f t="shared" si="60"/>
        <v>0</v>
      </c>
      <c r="AG87" s="21">
        <f t="shared" si="54"/>
        <v>2.7189343492600484</v>
      </c>
      <c r="AH87" s="22">
        <f t="shared" si="55"/>
        <v>8.3491100798908153</v>
      </c>
      <c r="AI87" s="23">
        <f t="shared" si="56"/>
        <v>7.3926039955861631</v>
      </c>
      <c r="AJ87" s="23">
        <f t="shared" si="56"/>
        <v>69.70763912613441</v>
      </c>
      <c r="AK87" s="24">
        <f t="shared" si="57"/>
        <v>6.208874419801087</v>
      </c>
      <c r="AL87" s="65" t="str">
        <f t="shared" si="61"/>
        <v>sedang</v>
      </c>
    </row>
    <row r="88" spans="1:38" ht="17.25" thickBot="1" x14ac:dyDescent="0.35">
      <c r="A88" s="13">
        <v>87</v>
      </c>
      <c r="B88" s="62" t="s">
        <v>27</v>
      </c>
      <c r="C88" s="62"/>
      <c r="D88" s="63">
        <v>41792</v>
      </c>
      <c r="E88" s="37">
        <v>542</v>
      </c>
      <c r="F88" s="10">
        <v>0</v>
      </c>
      <c r="G88" s="10">
        <v>47.1</v>
      </c>
      <c r="H88" s="10">
        <v>190</v>
      </c>
      <c r="I88" s="10"/>
      <c r="J88" s="10">
        <v>43</v>
      </c>
      <c r="K88" s="10"/>
      <c r="L88" s="3">
        <v>50</v>
      </c>
      <c r="M88" s="3">
        <v>4</v>
      </c>
      <c r="N88" s="3">
        <v>3</v>
      </c>
      <c r="O88" s="3">
        <v>25</v>
      </c>
      <c r="P88" s="3">
        <v>0.2</v>
      </c>
      <c r="Q88" s="3">
        <v>1000</v>
      </c>
      <c r="R88" s="3">
        <v>5000</v>
      </c>
      <c r="S88" s="4">
        <f t="shared" si="23"/>
        <v>10.84</v>
      </c>
      <c r="T88" s="4">
        <f t="shared" si="53"/>
        <v>0.58333333333333337</v>
      </c>
      <c r="U88" s="4">
        <f t="shared" si="58"/>
        <v>15.700000000000001</v>
      </c>
      <c r="V88" s="4">
        <f t="shared" si="58"/>
        <v>7.6</v>
      </c>
      <c r="W88" s="5">
        <f t="shared" si="58"/>
        <v>0</v>
      </c>
      <c r="X88" s="4">
        <f t="shared" si="58"/>
        <v>4.2999999999999997E-2</v>
      </c>
      <c r="Y88" s="4">
        <f t="shared" si="58"/>
        <v>0</v>
      </c>
      <c r="Z88" s="6">
        <f t="shared" si="59"/>
        <v>6.1751464110118404</v>
      </c>
      <c r="AA88" s="6">
        <f t="shared" si="60"/>
        <v>0.58333333333333337</v>
      </c>
      <c r="AB88" s="6">
        <f t="shared" si="59"/>
        <v>6.9794982620461692</v>
      </c>
      <c r="AC88" s="6">
        <f t="shared" si="59"/>
        <v>5.4040679614039568</v>
      </c>
      <c r="AD88" s="6">
        <f t="shared" si="60"/>
        <v>0</v>
      </c>
      <c r="AE88" s="6">
        <f t="shared" si="60"/>
        <v>4.2999999999999997E-2</v>
      </c>
      <c r="AF88" s="6">
        <f t="shared" si="60"/>
        <v>0</v>
      </c>
      <c r="AG88" s="21">
        <f t="shared" si="54"/>
        <v>2.7407208525421853</v>
      </c>
      <c r="AH88" s="22">
        <f t="shared" si="55"/>
        <v>6.9794982620461692</v>
      </c>
      <c r="AI88" s="23">
        <f t="shared" si="56"/>
        <v>7.5115507915595634</v>
      </c>
      <c r="AJ88" s="23">
        <f t="shared" si="56"/>
        <v>48.713395989905493</v>
      </c>
      <c r="AK88" s="24">
        <f t="shared" si="57"/>
        <v>5.3021197073182469</v>
      </c>
      <c r="AL88" s="65" t="str">
        <f t="shared" si="61"/>
        <v>sedang</v>
      </c>
    </row>
    <row r="89" spans="1:38" ht="17.25" thickBot="1" x14ac:dyDescent="0.35">
      <c r="A89" s="13">
        <v>88</v>
      </c>
      <c r="B89" s="62" t="s">
        <v>35</v>
      </c>
      <c r="C89" s="62"/>
      <c r="D89" s="63">
        <v>41766</v>
      </c>
      <c r="E89" s="37">
        <v>327</v>
      </c>
      <c r="F89" s="10">
        <v>0</v>
      </c>
      <c r="G89" s="10">
        <v>44.8</v>
      </c>
      <c r="H89" s="10">
        <v>340</v>
      </c>
      <c r="I89" s="10"/>
      <c r="J89" s="10">
        <v>1100</v>
      </c>
      <c r="K89" s="10"/>
      <c r="L89" s="3">
        <v>50</v>
      </c>
      <c r="M89" s="3">
        <v>4</v>
      </c>
      <c r="N89" s="3">
        <v>3</v>
      </c>
      <c r="O89" s="3">
        <v>25</v>
      </c>
      <c r="P89" s="3">
        <v>0.2</v>
      </c>
      <c r="Q89" s="3">
        <v>1000</v>
      </c>
      <c r="R89" s="3">
        <v>5000</v>
      </c>
      <c r="S89" s="4">
        <f t="shared" si="23"/>
        <v>6.54</v>
      </c>
      <c r="T89" s="4">
        <f t="shared" si="53"/>
        <v>0.58333333333333337</v>
      </c>
      <c r="U89" s="4">
        <f t="shared" si="58"/>
        <v>14.933333333333332</v>
      </c>
      <c r="V89" s="4">
        <f t="shared" si="58"/>
        <v>13.6</v>
      </c>
      <c r="W89" s="5">
        <f t="shared" si="58"/>
        <v>0</v>
      </c>
      <c r="X89" s="4">
        <f t="shared" si="58"/>
        <v>1.1000000000000001</v>
      </c>
      <c r="Y89" s="4">
        <f t="shared" si="58"/>
        <v>0</v>
      </c>
      <c r="Z89" s="6">
        <f t="shared" si="59"/>
        <v>5.0778887416213365</v>
      </c>
      <c r="AA89" s="6">
        <f t="shared" si="60"/>
        <v>0.58333333333333337</v>
      </c>
      <c r="AB89" s="6">
        <f t="shared" si="59"/>
        <v>6.8707837963924083</v>
      </c>
      <c r="AC89" s="6">
        <f t="shared" si="59"/>
        <v>6.6676945418510876</v>
      </c>
      <c r="AD89" s="6">
        <f t="shared" si="60"/>
        <v>0</v>
      </c>
      <c r="AE89" s="6">
        <f t="shared" si="60"/>
        <v>1.1000000000000001</v>
      </c>
      <c r="AF89" s="6">
        <f t="shared" si="60"/>
        <v>0</v>
      </c>
      <c r="AG89" s="21">
        <f t="shared" si="54"/>
        <v>2.8999572018854525</v>
      </c>
      <c r="AH89" s="22">
        <f t="shared" si="55"/>
        <v>6.8707837963924083</v>
      </c>
      <c r="AI89" s="23">
        <f t="shared" si="56"/>
        <v>8.4097517727673026</v>
      </c>
      <c r="AJ89" s="23">
        <f t="shared" si="56"/>
        <v>47.207669976768479</v>
      </c>
      <c r="AK89" s="24">
        <f t="shared" si="57"/>
        <v>5.2733965216706293</v>
      </c>
      <c r="AL89" s="65" t="str">
        <f t="shared" si="61"/>
        <v>sedang</v>
      </c>
    </row>
    <row r="90" spans="1:38" ht="17.25" thickBot="1" x14ac:dyDescent="0.35">
      <c r="A90" s="13">
        <v>89</v>
      </c>
      <c r="B90" s="62" t="s">
        <v>37</v>
      </c>
      <c r="C90" s="62"/>
      <c r="D90" s="63">
        <v>41767</v>
      </c>
      <c r="E90" s="37">
        <v>596</v>
      </c>
      <c r="F90" s="10">
        <v>2.2200000000000002</v>
      </c>
      <c r="G90" s="10">
        <v>1.87</v>
      </c>
      <c r="H90" s="10">
        <v>395</v>
      </c>
      <c r="I90" s="10"/>
      <c r="J90" s="10">
        <v>20</v>
      </c>
      <c r="K90" s="10"/>
      <c r="L90" s="3">
        <v>50</v>
      </c>
      <c r="M90" s="3">
        <v>4</v>
      </c>
      <c r="N90" s="3">
        <v>3</v>
      </c>
      <c r="O90" s="3">
        <v>25</v>
      </c>
      <c r="P90" s="3">
        <v>0.2</v>
      </c>
      <c r="Q90" s="3">
        <v>1000</v>
      </c>
      <c r="R90" s="3">
        <v>5000</v>
      </c>
      <c r="S90" s="4">
        <f t="shared" si="23"/>
        <v>11.92</v>
      </c>
      <c r="T90" s="4">
        <f t="shared" si="53"/>
        <v>0.39833333333333326</v>
      </c>
      <c r="U90" s="4">
        <f t="shared" si="58"/>
        <v>0.62333333333333341</v>
      </c>
      <c r="V90" s="4">
        <f t="shared" si="58"/>
        <v>15.8</v>
      </c>
      <c r="W90" s="5">
        <f t="shared" si="58"/>
        <v>0</v>
      </c>
      <c r="X90" s="4">
        <f t="shared" si="58"/>
        <v>0.02</v>
      </c>
      <c r="Y90" s="4">
        <f t="shared" si="58"/>
        <v>0</v>
      </c>
      <c r="Z90" s="6">
        <f t="shared" si="59"/>
        <v>6.381381277021088</v>
      </c>
      <c r="AA90" s="6">
        <f t="shared" si="60"/>
        <v>0.39833333333333326</v>
      </c>
      <c r="AB90" s="6">
        <f t="shared" si="60"/>
        <v>0.62333333333333341</v>
      </c>
      <c r="AC90" s="6">
        <f t="shared" si="59"/>
        <v>6.9932854347721136</v>
      </c>
      <c r="AD90" s="6">
        <f t="shared" si="60"/>
        <v>0</v>
      </c>
      <c r="AE90" s="6">
        <f t="shared" si="60"/>
        <v>0.02</v>
      </c>
      <c r="AF90" s="6">
        <f t="shared" si="60"/>
        <v>0</v>
      </c>
      <c r="AG90" s="21">
        <f t="shared" si="54"/>
        <v>2.0594761969228381</v>
      </c>
      <c r="AH90" s="22">
        <f t="shared" si="55"/>
        <v>6.9932854347721136</v>
      </c>
      <c r="AI90" s="23">
        <f t="shared" si="56"/>
        <v>4.2414422056917571</v>
      </c>
      <c r="AJ90" s="23">
        <f t="shared" si="56"/>
        <v>48.906041172195792</v>
      </c>
      <c r="AK90" s="24">
        <f t="shared" si="57"/>
        <v>5.1549725206778527</v>
      </c>
      <c r="AL90" s="65" t="str">
        <f t="shared" si="61"/>
        <v>sedang</v>
      </c>
    </row>
    <row r="91" spans="1:38" ht="17.25" thickBot="1" x14ac:dyDescent="0.35">
      <c r="A91" s="13">
        <v>90</v>
      </c>
      <c r="B91" s="62" t="s">
        <v>51</v>
      </c>
      <c r="C91" s="62"/>
      <c r="D91" s="63">
        <v>41792</v>
      </c>
      <c r="E91" s="37">
        <v>1510</v>
      </c>
      <c r="F91" s="10">
        <v>1.08</v>
      </c>
      <c r="G91" s="10">
        <v>93.6</v>
      </c>
      <c r="H91" s="10">
        <v>290</v>
      </c>
      <c r="I91" s="10"/>
      <c r="J91" s="10">
        <v>210</v>
      </c>
      <c r="K91" s="10"/>
      <c r="L91" s="3">
        <v>50</v>
      </c>
      <c r="M91" s="3">
        <v>4</v>
      </c>
      <c r="N91" s="3">
        <v>3</v>
      </c>
      <c r="O91" s="3">
        <v>25</v>
      </c>
      <c r="P91" s="3">
        <v>0.2</v>
      </c>
      <c r="Q91" s="3">
        <v>1000</v>
      </c>
      <c r="R91" s="3">
        <v>5000</v>
      </c>
      <c r="S91" s="4">
        <f t="shared" si="23"/>
        <v>30.2</v>
      </c>
      <c r="T91" s="4">
        <f>((7-F91)/(7-M91))/M91</f>
        <v>0.49333333333333335</v>
      </c>
      <c r="U91" s="4">
        <f t="shared" si="58"/>
        <v>31.2</v>
      </c>
      <c r="V91" s="4">
        <f t="shared" si="58"/>
        <v>11.6</v>
      </c>
      <c r="W91" s="5">
        <f t="shared" si="58"/>
        <v>0</v>
      </c>
      <c r="X91" s="4">
        <f t="shared" si="58"/>
        <v>0.21</v>
      </c>
      <c r="Y91" s="4">
        <f t="shared" si="58"/>
        <v>0</v>
      </c>
      <c r="Z91" s="6">
        <f t="shared" si="59"/>
        <v>8.4000347147857521</v>
      </c>
      <c r="AA91" s="6">
        <f t="shared" si="60"/>
        <v>0.49333333333333335</v>
      </c>
      <c r="AB91" s="6">
        <f t="shared" si="59"/>
        <v>8.4707729700922147</v>
      </c>
      <c r="AC91" s="6">
        <f t="shared" si="59"/>
        <v>6.3222899461345916</v>
      </c>
      <c r="AD91" s="6">
        <f t="shared" si="60"/>
        <v>0</v>
      </c>
      <c r="AE91" s="6">
        <f t="shared" si="60"/>
        <v>0.21</v>
      </c>
      <c r="AF91" s="6">
        <f t="shared" si="60"/>
        <v>0</v>
      </c>
      <c r="AG91" s="21">
        <f t="shared" si="54"/>
        <v>3.413775852049413</v>
      </c>
      <c r="AH91" s="22">
        <f t="shared" si="55"/>
        <v>8.4707729700922147</v>
      </c>
      <c r="AI91" s="23">
        <f t="shared" si="56"/>
        <v>11.653865568035696</v>
      </c>
      <c r="AJ91" s="23">
        <f t="shared" si="56"/>
        <v>71.753994710844879</v>
      </c>
      <c r="AK91" s="24">
        <f t="shared" si="57"/>
        <v>6.4578580148095766</v>
      </c>
      <c r="AL91" s="65" t="str">
        <f t="shared" si="61"/>
        <v>sedang</v>
      </c>
    </row>
    <row r="92" spans="1:38" ht="17.25" thickBot="1" x14ac:dyDescent="0.35">
      <c r="A92" s="13">
        <v>91</v>
      </c>
      <c r="B92" s="62" t="s">
        <v>17</v>
      </c>
      <c r="C92" s="62"/>
      <c r="D92" s="63">
        <v>42289</v>
      </c>
      <c r="E92" s="37">
        <v>105</v>
      </c>
      <c r="F92" s="10">
        <v>7.82</v>
      </c>
      <c r="G92" s="10">
        <v>2</v>
      </c>
      <c r="H92" s="10">
        <v>18.399999999999999</v>
      </c>
      <c r="I92" s="10"/>
      <c r="J92" s="10">
        <v>18</v>
      </c>
      <c r="K92" s="10">
        <v>75</v>
      </c>
      <c r="L92" s="3">
        <v>50</v>
      </c>
      <c r="M92" s="3">
        <v>4</v>
      </c>
      <c r="N92" s="3">
        <v>3</v>
      </c>
      <c r="O92" s="3">
        <v>25</v>
      </c>
      <c r="P92" s="3">
        <v>0.2</v>
      </c>
      <c r="Q92" s="3">
        <v>1000</v>
      </c>
      <c r="R92" s="3">
        <v>5000</v>
      </c>
      <c r="S92" s="4">
        <f t="shared" si="23"/>
        <v>2.1</v>
      </c>
      <c r="T92" s="4">
        <f t="shared" si="53"/>
        <v>-6.8333333333333357E-2</v>
      </c>
      <c r="U92" s="4">
        <f t="shared" si="58"/>
        <v>0.66666666666666663</v>
      </c>
      <c r="V92" s="4">
        <f t="shared" si="58"/>
        <v>0.73599999999999999</v>
      </c>
      <c r="W92" s="5">
        <f t="shared" si="58"/>
        <v>0</v>
      </c>
      <c r="X92" s="4">
        <f t="shared" si="58"/>
        <v>1.7999999999999999E-2</v>
      </c>
      <c r="Y92" s="4">
        <f t="shared" si="58"/>
        <v>1.4999999999999999E-2</v>
      </c>
      <c r="Z92" s="6">
        <f t="shared" si="59"/>
        <v>2.6110964736695967</v>
      </c>
      <c r="AA92" s="6">
        <f t="shared" si="59"/>
        <v>2.4557338086594283</v>
      </c>
      <c r="AB92" s="6">
        <f t="shared" si="60"/>
        <v>0.66666666666666663</v>
      </c>
      <c r="AC92" s="6">
        <f t="shared" si="60"/>
        <v>0.73599999999999999</v>
      </c>
      <c r="AD92" s="6">
        <f t="shared" si="60"/>
        <v>0</v>
      </c>
      <c r="AE92" s="6">
        <f t="shared" si="60"/>
        <v>1.7999999999999999E-2</v>
      </c>
      <c r="AF92" s="6">
        <f t="shared" si="60"/>
        <v>1.4999999999999999E-2</v>
      </c>
      <c r="AG92" s="21">
        <f t="shared" si="54"/>
        <v>0.92892813557081311</v>
      </c>
      <c r="AH92" s="22">
        <f t="shared" si="55"/>
        <v>2.6110964736695967</v>
      </c>
      <c r="AI92" s="23">
        <f t="shared" si="56"/>
        <v>0.86290748105506698</v>
      </c>
      <c r="AJ92" s="23">
        <f t="shared" si="56"/>
        <v>6.8178247948098027</v>
      </c>
      <c r="AK92" s="24">
        <f t="shared" si="57"/>
        <v>1.9596852139903578</v>
      </c>
      <c r="AL92" s="64" t="str">
        <f t="shared" si="61"/>
        <v>ringan</v>
      </c>
    </row>
    <row r="93" spans="1:38" ht="17.25" thickBot="1" x14ac:dyDescent="0.35">
      <c r="A93" s="13">
        <v>92</v>
      </c>
      <c r="B93" s="62" t="s">
        <v>49</v>
      </c>
      <c r="C93" s="62"/>
      <c r="D93" s="63">
        <v>42289</v>
      </c>
      <c r="E93" s="37">
        <v>181</v>
      </c>
      <c r="F93" s="10">
        <v>2.16</v>
      </c>
      <c r="G93" s="10">
        <v>5.73</v>
      </c>
      <c r="H93" s="10">
        <v>35.6</v>
      </c>
      <c r="I93" s="10"/>
      <c r="J93" s="10">
        <v>28</v>
      </c>
      <c r="K93" s="10">
        <v>150</v>
      </c>
      <c r="L93" s="3">
        <v>50</v>
      </c>
      <c r="M93" s="3">
        <v>4</v>
      </c>
      <c r="N93" s="3">
        <v>3</v>
      </c>
      <c r="O93" s="3">
        <v>25</v>
      </c>
      <c r="P93" s="3">
        <v>0.2</v>
      </c>
      <c r="Q93" s="3">
        <v>1000</v>
      </c>
      <c r="R93" s="3">
        <v>5000</v>
      </c>
      <c r="S93" s="4">
        <f t="shared" si="23"/>
        <v>3.62</v>
      </c>
      <c r="T93" s="4">
        <f t="shared" si="53"/>
        <v>0.40333333333333332</v>
      </c>
      <c r="U93" s="4">
        <f t="shared" si="58"/>
        <v>1.9100000000000001</v>
      </c>
      <c r="V93" s="4">
        <f t="shared" si="58"/>
        <v>1.4240000000000002</v>
      </c>
      <c r="W93" s="5">
        <f t="shared" si="58"/>
        <v>0</v>
      </c>
      <c r="X93" s="4">
        <f t="shared" si="58"/>
        <v>2.8000000000000001E-2</v>
      </c>
      <c r="Y93" s="4">
        <f t="shared" si="58"/>
        <v>0.03</v>
      </c>
      <c r="Z93" s="6">
        <f t="shared" si="59"/>
        <v>3.7935428526658286</v>
      </c>
      <c r="AA93" s="6">
        <f t="shared" ref="AA93:AA106" si="62">T93</f>
        <v>0.40333333333333332</v>
      </c>
      <c r="AB93" s="6">
        <f t="shared" si="59"/>
        <v>2.4051668362386378</v>
      </c>
      <c r="AC93" s="6">
        <f t="shared" si="59"/>
        <v>1.7675499465041882</v>
      </c>
      <c r="AD93" s="6">
        <f t="shared" si="60"/>
        <v>0</v>
      </c>
      <c r="AE93" s="6">
        <f t="shared" si="60"/>
        <v>2.8000000000000001E-2</v>
      </c>
      <c r="AF93" s="6">
        <f t="shared" si="60"/>
        <v>0.03</v>
      </c>
      <c r="AG93" s="21">
        <f t="shared" si="54"/>
        <v>1.203941852677427</v>
      </c>
      <c r="AH93" s="22">
        <f t="shared" si="55"/>
        <v>3.7935428526658286</v>
      </c>
      <c r="AI93" s="23">
        <f t="shared" si="56"/>
        <v>1.4494759846283554</v>
      </c>
      <c r="AJ93" s="23">
        <f t="shared" si="56"/>
        <v>14.390967375011993</v>
      </c>
      <c r="AK93" s="24">
        <f t="shared" si="57"/>
        <v>2.8142888408655167</v>
      </c>
      <c r="AL93" s="64" t="str">
        <f t="shared" si="61"/>
        <v>ringan</v>
      </c>
    </row>
    <row r="94" spans="1:38" ht="17.25" thickBot="1" x14ac:dyDescent="0.35">
      <c r="A94" s="13">
        <v>93</v>
      </c>
      <c r="B94" s="62" t="s">
        <v>50</v>
      </c>
      <c r="C94" s="62"/>
      <c r="D94" s="63">
        <v>42296</v>
      </c>
      <c r="E94" s="37">
        <v>1776</v>
      </c>
      <c r="F94" s="10">
        <v>0</v>
      </c>
      <c r="G94" s="10">
        <v>106</v>
      </c>
      <c r="H94" s="10">
        <v>762</v>
      </c>
      <c r="I94" s="10"/>
      <c r="J94" s="10">
        <v>150</v>
      </c>
      <c r="K94" s="10">
        <v>1100</v>
      </c>
      <c r="L94" s="3">
        <v>50</v>
      </c>
      <c r="M94" s="3">
        <v>4</v>
      </c>
      <c r="N94" s="3">
        <v>3</v>
      </c>
      <c r="O94" s="3">
        <v>25</v>
      </c>
      <c r="P94" s="3">
        <v>0.2</v>
      </c>
      <c r="Q94" s="3">
        <v>1000</v>
      </c>
      <c r="R94" s="3">
        <v>5000</v>
      </c>
      <c r="S94" s="4">
        <f t="shared" si="23"/>
        <v>35.520000000000003</v>
      </c>
      <c r="T94" s="4">
        <f t="shared" si="53"/>
        <v>0.58333333333333337</v>
      </c>
      <c r="U94" s="4">
        <f t="shared" si="58"/>
        <v>35.333333333333336</v>
      </c>
      <c r="V94" s="4">
        <f t="shared" si="58"/>
        <v>30.48</v>
      </c>
      <c r="W94" s="5">
        <f t="shared" si="58"/>
        <v>0</v>
      </c>
      <c r="X94" s="4">
        <f t="shared" si="58"/>
        <v>0.15</v>
      </c>
      <c r="Y94" s="4">
        <f t="shared" si="58"/>
        <v>0.22</v>
      </c>
      <c r="Z94" s="6">
        <f t="shared" si="59"/>
        <v>8.7523647855328175</v>
      </c>
      <c r="AA94" s="6">
        <f t="shared" si="62"/>
        <v>0.58333333333333337</v>
      </c>
      <c r="AB94" s="6">
        <f t="shared" si="59"/>
        <v>8.7409230527255382</v>
      </c>
      <c r="AC94" s="6">
        <f t="shared" si="59"/>
        <v>8.4200748133378145</v>
      </c>
      <c r="AD94" s="6">
        <f t="shared" si="60"/>
        <v>0</v>
      </c>
      <c r="AE94" s="6">
        <f t="shared" si="60"/>
        <v>0.15</v>
      </c>
      <c r="AF94" s="6">
        <f t="shared" si="60"/>
        <v>0.22</v>
      </c>
      <c r="AG94" s="21">
        <f t="shared" si="54"/>
        <v>3.8380994264184998</v>
      </c>
      <c r="AH94" s="22">
        <f t="shared" si="55"/>
        <v>8.7523647855328175</v>
      </c>
      <c r="AI94" s="23">
        <f t="shared" si="56"/>
        <v>14.731007207074017</v>
      </c>
      <c r="AJ94" s="23">
        <f t="shared" si="56"/>
        <v>76.603889339034922</v>
      </c>
      <c r="AK94" s="24">
        <f t="shared" si="57"/>
        <v>6.7577694746901855</v>
      </c>
      <c r="AL94" s="65" t="str">
        <f t="shared" si="61"/>
        <v>sedang</v>
      </c>
    </row>
    <row r="95" spans="1:38" ht="17.25" thickBot="1" x14ac:dyDescent="0.35">
      <c r="A95" s="13">
        <v>94</v>
      </c>
      <c r="B95" s="62" t="s">
        <v>29</v>
      </c>
      <c r="C95" s="62"/>
      <c r="D95" s="63">
        <v>42289</v>
      </c>
      <c r="E95" s="37">
        <v>492</v>
      </c>
      <c r="F95" s="10">
        <v>0</v>
      </c>
      <c r="G95" s="10">
        <v>76.8</v>
      </c>
      <c r="H95" s="10">
        <v>202</v>
      </c>
      <c r="I95" s="10"/>
      <c r="J95" s="10">
        <v>93</v>
      </c>
      <c r="K95" s="10">
        <v>150</v>
      </c>
      <c r="L95" s="3">
        <v>50</v>
      </c>
      <c r="M95" s="3">
        <v>4</v>
      </c>
      <c r="N95" s="3">
        <v>3</v>
      </c>
      <c r="O95" s="3">
        <v>25</v>
      </c>
      <c r="P95" s="3">
        <v>0.2</v>
      </c>
      <c r="Q95" s="3">
        <v>1000</v>
      </c>
      <c r="R95" s="3">
        <v>5000</v>
      </c>
      <c r="S95" s="4">
        <f t="shared" si="23"/>
        <v>9.84</v>
      </c>
      <c r="T95" s="4">
        <f t="shared" si="53"/>
        <v>0.58333333333333337</v>
      </c>
      <c r="U95" s="4">
        <f t="shared" si="58"/>
        <v>25.599999999999998</v>
      </c>
      <c r="V95" s="4">
        <f>H95/O95</f>
        <v>8.08</v>
      </c>
      <c r="W95" s="5">
        <f t="shared" si="58"/>
        <v>0</v>
      </c>
      <c r="X95" s="4">
        <f t="shared" si="58"/>
        <v>9.2999999999999999E-2</v>
      </c>
      <c r="Y95" s="4">
        <f t="shared" si="58"/>
        <v>0.03</v>
      </c>
      <c r="Z95" s="6">
        <f t="shared" si="59"/>
        <v>5.9649754921567073</v>
      </c>
      <c r="AA95" s="6">
        <f t="shared" si="62"/>
        <v>0.58333333333333337</v>
      </c>
      <c r="AB95" s="6">
        <f t="shared" si="59"/>
        <v>8.0411998265592484</v>
      </c>
      <c r="AC95" s="6">
        <f t="shared" si="59"/>
        <v>5.5370568038729306</v>
      </c>
      <c r="AD95" s="6">
        <f t="shared" si="60"/>
        <v>0</v>
      </c>
      <c r="AE95" s="6">
        <f t="shared" si="60"/>
        <v>9.2999999999999999E-2</v>
      </c>
      <c r="AF95" s="6">
        <f t="shared" si="60"/>
        <v>0.03</v>
      </c>
      <c r="AG95" s="21">
        <f t="shared" si="54"/>
        <v>2.8927950651317458</v>
      </c>
      <c r="AH95" s="22">
        <f t="shared" si="55"/>
        <v>8.0411998265592484</v>
      </c>
      <c r="AI95" s="23">
        <f t="shared" si="56"/>
        <v>8.3682632888505815</v>
      </c>
      <c r="AJ95" s="23">
        <f t="shared" si="56"/>
        <v>64.660894650656488</v>
      </c>
      <c r="AK95" s="24">
        <f t="shared" si="57"/>
        <v>6.042729430460505</v>
      </c>
      <c r="AL95" s="65" t="str">
        <f t="shared" si="61"/>
        <v>sedang</v>
      </c>
    </row>
    <row r="96" spans="1:38" ht="17.25" thickBot="1" x14ac:dyDescent="0.35">
      <c r="A96" s="13">
        <v>95</v>
      </c>
      <c r="B96" s="62" t="s">
        <v>31</v>
      </c>
      <c r="C96" s="62"/>
      <c r="D96" s="63">
        <v>42285</v>
      </c>
      <c r="E96" s="37">
        <v>2350</v>
      </c>
      <c r="F96" s="10">
        <v>1.18</v>
      </c>
      <c r="G96" s="10">
        <v>118</v>
      </c>
      <c r="H96" s="10">
        <v>410</v>
      </c>
      <c r="I96" s="10"/>
      <c r="J96" s="10">
        <v>43</v>
      </c>
      <c r="K96" s="10">
        <v>460</v>
      </c>
      <c r="L96" s="3">
        <v>50</v>
      </c>
      <c r="M96" s="3">
        <v>4</v>
      </c>
      <c r="N96" s="3">
        <v>3</v>
      </c>
      <c r="O96" s="3">
        <v>25</v>
      </c>
      <c r="P96" s="3">
        <v>0.2</v>
      </c>
      <c r="Q96" s="3">
        <v>1000</v>
      </c>
      <c r="R96" s="3">
        <v>5000</v>
      </c>
      <c r="S96" s="4">
        <f t="shared" ref="S96:S159" si="63">E96/L96</f>
        <v>47</v>
      </c>
      <c r="T96" s="4">
        <f t="shared" si="53"/>
        <v>0.48500000000000004</v>
      </c>
      <c r="U96" s="4">
        <f t="shared" ref="U96:Y111" si="64">G96/N96</f>
        <v>39.333333333333336</v>
      </c>
      <c r="V96" s="4">
        <f>H96/O96</f>
        <v>16.399999999999999</v>
      </c>
      <c r="W96" s="5">
        <f t="shared" si="64"/>
        <v>0</v>
      </c>
      <c r="X96" s="4">
        <f t="shared" si="64"/>
        <v>4.2999999999999997E-2</v>
      </c>
      <c r="Y96" s="4">
        <f t="shared" si="64"/>
        <v>9.1999999999999998E-2</v>
      </c>
      <c r="Z96" s="6">
        <f t="shared" si="59"/>
        <v>9.3604892896785881</v>
      </c>
      <c r="AA96" s="6">
        <f t="shared" si="62"/>
        <v>0.48500000000000004</v>
      </c>
      <c r="AB96" s="6">
        <f t="shared" si="59"/>
        <v>8.9738037629323149</v>
      </c>
      <c r="AC96" s="6">
        <f>1+(5*(LOG10(H96/O96)))</f>
        <v>7.0742192402384889</v>
      </c>
      <c r="AD96" s="6">
        <f t="shared" si="60"/>
        <v>0</v>
      </c>
      <c r="AE96" s="6">
        <f t="shared" si="60"/>
        <v>4.2999999999999997E-2</v>
      </c>
      <c r="AF96" s="6">
        <f t="shared" si="60"/>
        <v>9.1999999999999998E-2</v>
      </c>
      <c r="AG96" s="21">
        <f t="shared" si="54"/>
        <v>3.7183588989784839</v>
      </c>
      <c r="AH96" s="22">
        <f t="shared" si="55"/>
        <v>9.3604892896785881</v>
      </c>
      <c r="AI96" s="23">
        <f t="shared" si="56"/>
        <v>13.826192901612483</v>
      </c>
      <c r="AJ96" s="23">
        <f t="shared" si="56"/>
        <v>87.618759742187564</v>
      </c>
      <c r="AK96" s="24">
        <f t="shared" si="57"/>
        <v>7.121971378902054</v>
      </c>
      <c r="AL96" s="65" t="str">
        <f t="shared" si="61"/>
        <v>sedang</v>
      </c>
    </row>
    <row r="97" spans="1:38" ht="17.25" thickBot="1" x14ac:dyDescent="0.35">
      <c r="A97" s="13">
        <v>96</v>
      </c>
      <c r="B97" s="62" t="s">
        <v>33</v>
      </c>
      <c r="C97" s="62"/>
      <c r="D97" s="63">
        <v>42296</v>
      </c>
      <c r="E97" s="37">
        <v>1680</v>
      </c>
      <c r="F97" s="10">
        <v>0</v>
      </c>
      <c r="G97" s="10">
        <v>282</v>
      </c>
      <c r="H97" s="10">
        <v>763</v>
      </c>
      <c r="I97" s="10"/>
      <c r="J97" s="10">
        <v>20</v>
      </c>
      <c r="K97" s="10">
        <v>210</v>
      </c>
      <c r="L97" s="3">
        <v>50</v>
      </c>
      <c r="M97" s="3">
        <v>4</v>
      </c>
      <c r="N97" s="3">
        <v>3</v>
      </c>
      <c r="O97" s="3">
        <v>25</v>
      </c>
      <c r="P97" s="3">
        <v>0.2</v>
      </c>
      <c r="Q97" s="3">
        <v>1000</v>
      </c>
      <c r="R97" s="3">
        <v>5000</v>
      </c>
      <c r="S97" s="4">
        <f t="shared" si="63"/>
        <v>33.6</v>
      </c>
      <c r="T97" s="4">
        <f t="shared" si="53"/>
        <v>0.58333333333333337</v>
      </c>
      <c r="U97" s="4">
        <f t="shared" si="64"/>
        <v>94</v>
      </c>
      <c r="V97" s="4">
        <f t="shared" si="64"/>
        <v>30.52</v>
      </c>
      <c r="W97" s="5">
        <f t="shared" si="64"/>
        <v>0</v>
      </c>
      <c r="X97" s="4">
        <f t="shared" si="64"/>
        <v>0.02</v>
      </c>
      <c r="Y97" s="4">
        <f t="shared" si="64"/>
        <v>4.2000000000000003E-2</v>
      </c>
      <c r="Z97" s="6">
        <f t="shared" si="59"/>
        <v>8.6316963869492209</v>
      </c>
      <c r="AA97" s="6">
        <f t="shared" si="62"/>
        <v>0.58333333333333337</v>
      </c>
      <c r="AB97" s="6">
        <f t="shared" si="59"/>
        <v>10.865639267998493</v>
      </c>
      <c r="AC97" s="6">
        <f>1+(5*(LOG10(H97/O97)))</f>
        <v>8.4229226464142144</v>
      </c>
      <c r="AD97" s="6">
        <f t="shared" ref="AA97:AF112" si="65">W97</f>
        <v>0</v>
      </c>
      <c r="AE97" s="6">
        <f t="shared" si="65"/>
        <v>0.02</v>
      </c>
      <c r="AF97" s="6">
        <f t="shared" si="65"/>
        <v>4.2000000000000003E-2</v>
      </c>
      <c r="AG97" s="21">
        <f t="shared" si="54"/>
        <v>4.0807988049564665</v>
      </c>
      <c r="AH97" s="22">
        <f t="shared" si="55"/>
        <v>10.865639267998493</v>
      </c>
      <c r="AI97" s="23">
        <f t="shared" si="56"/>
        <v>16.652918886534124</v>
      </c>
      <c r="AJ97" s="23">
        <f t="shared" si="56"/>
        <v>118.06211670227081</v>
      </c>
      <c r="AK97" s="24">
        <f t="shared" si="57"/>
        <v>8.207162590956905</v>
      </c>
      <c r="AL97" s="65" t="str">
        <f t="shared" si="61"/>
        <v>sedang</v>
      </c>
    </row>
    <row r="98" spans="1:38" ht="17.25" thickBot="1" x14ac:dyDescent="0.35">
      <c r="A98" s="13">
        <v>97</v>
      </c>
      <c r="B98" s="62" t="s">
        <v>41</v>
      </c>
      <c r="C98" s="62"/>
      <c r="D98" s="63">
        <v>42285</v>
      </c>
      <c r="E98" s="37">
        <v>386</v>
      </c>
      <c r="F98" s="10">
        <v>2.98</v>
      </c>
      <c r="G98" s="10">
        <v>23.1</v>
      </c>
      <c r="H98" s="10">
        <v>118</v>
      </c>
      <c r="I98" s="10"/>
      <c r="J98" s="10">
        <v>150</v>
      </c>
      <c r="K98" s="10">
        <v>210</v>
      </c>
      <c r="L98" s="3">
        <v>50</v>
      </c>
      <c r="M98" s="3">
        <v>4</v>
      </c>
      <c r="N98" s="3">
        <v>3</v>
      </c>
      <c r="O98" s="3">
        <v>25</v>
      </c>
      <c r="P98" s="3">
        <v>0.2</v>
      </c>
      <c r="Q98" s="3">
        <v>1000</v>
      </c>
      <c r="R98" s="3">
        <v>5000</v>
      </c>
      <c r="S98" s="4">
        <f t="shared" si="63"/>
        <v>7.72</v>
      </c>
      <c r="T98" s="4">
        <f t="shared" si="53"/>
        <v>0.33499999999999996</v>
      </c>
      <c r="U98" s="4">
        <f t="shared" si="64"/>
        <v>7.7</v>
      </c>
      <c r="V98" s="4">
        <f t="shared" si="64"/>
        <v>4.72</v>
      </c>
      <c r="W98" s="5">
        <f t="shared" si="64"/>
        <v>0</v>
      </c>
      <c r="X98" s="4">
        <f t="shared" si="64"/>
        <v>0.15</v>
      </c>
      <c r="Y98" s="4">
        <f t="shared" si="64"/>
        <v>4.2000000000000003E-2</v>
      </c>
      <c r="Z98" s="6">
        <f t="shared" si="59"/>
        <v>5.438086501678681</v>
      </c>
      <c r="AA98" s="6">
        <f t="shared" si="62"/>
        <v>0.33499999999999996</v>
      </c>
      <c r="AB98" s="6">
        <f t="shared" si="59"/>
        <v>5.4324536258624097</v>
      </c>
      <c r="AC98" s="6">
        <f t="shared" si="59"/>
        <v>4.3697099931704386</v>
      </c>
      <c r="AD98" s="6">
        <f t="shared" si="65"/>
        <v>0</v>
      </c>
      <c r="AE98" s="6">
        <f t="shared" si="65"/>
        <v>0.15</v>
      </c>
      <c r="AF98" s="6">
        <f t="shared" si="65"/>
        <v>4.2000000000000003E-2</v>
      </c>
      <c r="AG98" s="21">
        <f t="shared" si="54"/>
        <v>2.2524643029587899</v>
      </c>
      <c r="AH98" s="22">
        <f t="shared" si="55"/>
        <v>5.438086501678681</v>
      </c>
      <c r="AI98" s="23">
        <f t="shared" si="56"/>
        <v>5.0735954361036271</v>
      </c>
      <c r="AJ98" s="23">
        <f t="shared" si="56"/>
        <v>29.572784799739875</v>
      </c>
      <c r="AK98" s="24">
        <f t="shared" si="57"/>
        <v>4.162113659899469</v>
      </c>
      <c r="AL98" s="64" t="str">
        <f t="shared" si="61"/>
        <v>ringan</v>
      </c>
    </row>
    <row r="99" spans="1:38" ht="17.25" thickBot="1" x14ac:dyDescent="0.35">
      <c r="A99" s="13">
        <v>98</v>
      </c>
      <c r="B99" s="62" t="s">
        <v>43</v>
      </c>
      <c r="C99" s="62"/>
      <c r="D99" s="63">
        <f>D98</f>
        <v>42285</v>
      </c>
      <c r="E99" s="37">
        <v>413</v>
      </c>
      <c r="F99" s="10">
        <v>0.85799999999999998</v>
      </c>
      <c r="G99" s="10">
        <v>25.4</v>
      </c>
      <c r="H99" s="10">
        <v>126</v>
      </c>
      <c r="I99" s="10"/>
      <c r="J99" s="10">
        <v>120</v>
      </c>
      <c r="K99" s="10">
        <v>1100</v>
      </c>
      <c r="L99" s="3">
        <v>50</v>
      </c>
      <c r="M99" s="3">
        <v>4</v>
      </c>
      <c r="N99" s="3">
        <v>3</v>
      </c>
      <c r="O99" s="3">
        <v>25</v>
      </c>
      <c r="P99" s="3">
        <v>0.2</v>
      </c>
      <c r="Q99" s="3">
        <v>1000</v>
      </c>
      <c r="R99" s="3">
        <v>5000</v>
      </c>
      <c r="S99" s="4">
        <f t="shared" si="63"/>
        <v>8.26</v>
      </c>
      <c r="T99" s="4">
        <f t="shared" si="53"/>
        <v>0.51183333333333336</v>
      </c>
      <c r="U99" s="4">
        <f t="shared" si="64"/>
        <v>8.4666666666666668</v>
      </c>
      <c r="V99" s="4">
        <f t="shared" si="64"/>
        <v>5.04</v>
      </c>
      <c r="W99" s="5">
        <f t="shared" si="64"/>
        <v>0</v>
      </c>
      <c r="X99" s="4">
        <f t="shared" si="64"/>
        <v>0.12</v>
      </c>
      <c r="Y99" s="4">
        <f t="shared" si="64"/>
        <v>0.22</v>
      </c>
      <c r="Z99" s="6">
        <f t="shared" si="59"/>
        <v>5.5849002366019107</v>
      </c>
      <c r="AA99" s="6">
        <f t="shared" si="62"/>
        <v>0.51183333333333336</v>
      </c>
      <c r="AB99" s="6">
        <f t="shared" si="59"/>
        <v>5.6385623095013786</v>
      </c>
      <c r="AC99" s="6">
        <f t="shared" si="59"/>
        <v>4.5121526822276268</v>
      </c>
      <c r="AD99" s="6">
        <f t="shared" si="65"/>
        <v>0</v>
      </c>
      <c r="AE99" s="6">
        <f t="shared" si="65"/>
        <v>0.12</v>
      </c>
      <c r="AF99" s="6">
        <f t="shared" si="65"/>
        <v>0.22</v>
      </c>
      <c r="AG99" s="21">
        <f t="shared" si="54"/>
        <v>2.3696355088091785</v>
      </c>
      <c r="AH99" s="22">
        <f t="shared" si="55"/>
        <v>5.6385623095013786</v>
      </c>
      <c r="AI99" s="23">
        <f t="shared" si="56"/>
        <v>5.6151724446093345</v>
      </c>
      <c r="AJ99" s="23">
        <f t="shared" si="56"/>
        <v>31.793384918129519</v>
      </c>
      <c r="AK99" s="24">
        <f t="shared" si="57"/>
        <v>4.3248443534270029</v>
      </c>
      <c r="AL99" s="64" t="str">
        <f t="shared" si="61"/>
        <v>ringan</v>
      </c>
    </row>
    <row r="100" spans="1:38" ht="17.25" thickBot="1" x14ac:dyDescent="0.35">
      <c r="A100" s="13">
        <v>99</v>
      </c>
      <c r="B100" s="62" t="s">
        <v>45</v>
      </c>
      <c r="C100" s="62"/>
      <c r="D100" s="63">
        <v>42296</v>
      </c>
      <c r="E100" s="37">
        <v>620</v>
      </c>
      <c r="F100" s="10">
        <v>0</v>
      </c>
      <c r="G100" s="36">
        <v>62</v>
      </c>
      <c r="H100" s="10">
        <v>270</v>
      </c>
      <c r="I100" s="10"/>
      <c r="J100" s="10">
        <v>210</v>
      </c>
      <c r="K100" s="10">
        <v>1100</v>
      </c>
      <c r="L100" s="3">
        <v>50</v>
      </c>
      <c r="M100" s="3">
        <v>4</v>
      </c>
      <c r="N100" s="3">
        <v>3</v>
      </c>
      <c r="O100" s="3">
        <v>25</v>
      </c>
      <c r="P100" s="3">
        <v>0.2</v>
      </c>
      <c r="Q100" s="3">
        <v>1000</v>
      </c>
      <c r="R100" s="3">
        <v>5000</v>
      </c>
      <c r="S100" s="4">
        <f t="shared" si="63"/>
        <v>12.4</v>
      </c>
      <c r="T100" s="4">
        <f t="shared" si="53"/>
        <v>0.58333333333333337</v>
      </c>
      <c r="U100" s="4">
        <f t="shared" si="64"/>
        <v>20.666666666666668</v>
      </c>
      <c r="V100" s="4">
        <f t="shared" si="64"/>
        <v>10.8</v>
      </c>
      <c r="W100" s="5">
        <f t="shared" si="64"/>
        <v>0</v>
      </c>
      <c r="X100" s="4">
        <f t="shared" si="64"/>
        <v>0.21</v>
      </c>
      <c r="Y100" s="4">
        <f t="shared" si="64"/>
        <v>0.22</v>
      </c>
      <c r="Z100" s="6">
        <f t="shared" si="59"/>
        <v>6.4671084258111762</v>
      </c>
      <c r="AA100" s="6">
        <f t="shared" si="62"/>
        <v>0.58333333333333337</v>
      </c>
      <c r="AB100" s="6">
        <f t="shared" si="59"/>
        <v>7.5763521738929578</v>
      </c>
      <c r="AC100" s="6">
        <f t="shared" si="59"/>
        <v>6.167118777434748</v>
      </c>
      <c r="AD100" s="6">
        <f t="shared" si="65"/>
        <v>0</v>
      </c>
      <c r="AE100" s="6">
        <f t="shared" si="65"/>
        <v>0.21</v>
      </c>
      <c r="AF100" s="6">
        <f t="shared" si="65"/>
        <v>0.22</v>
      </c>
      <c r="AG100" s="21">
        <f t="shared" si="54"/>
        <v>3.0319875300674588</v>
      </c>
      <c r="AH100" s="22">
        <f t="shared" si="55"/>
        <v>7.5763521738929578</v>
      </c>
      <c r="AI100" s="23">
        <f t="shared" si="56"/>
        <v>9.1929483824845697</v>
      </c>
      <c r="AJ100" s="23">
        <f t="shared" si="56"/>
        <v>57.40111226285255</v>
      </c>
      <c r="AK100" s="24">
        <f t="shared" si="57"/>
        <v>5.7703579024761158</v>
      </c>
      <c r="AL100" s="65" t="str">
        <f t="shared" si="61"/>
        <v>sedang</v>
      </c>
    </row>
    <row r="101" spans="1:38" ht="17.25" thickBot="1" x14ac:dyDescent="0.35">
      <c r="A101" s="13">
        <v>100</v>
      </c>
      <c r="B101" s="62" t="s">
        <v>23</v>
      </c>
      <c r="C101" s="62"/>
      <c r="D101" s="63">
        <v>42289</v>
      </c>
      <c r="E101" s="37">
        <v>385</v>
      </c>
      <c r="F101" s="10">
        <v>0</v>
      </c>
      <c r="G101" s="10">
        <v>72.3</v>
      </c>
      <c r="H101" s="10">
        <v>187</v>
      </c>
      <c r="I101" s="10"/>
      <c r="J101" s="10">
        <v>210</v>
      </c>
      <c r="K101" s="10">
        <v>1100</v>
      </c>
      <c r="L101" s="3">
        <v>50</v>
      </c>
      <c r="M101" s="3">
        <v>4</v>
      </c>
      <c r="N101" s="3">
        <v>3</v>
      </c>
      <c r="O101" s="3">
        <v>25</v>
      </c>
      <c r="P101" s="3">
        <v>0.2</v>
      </c>
      <c r="Q101" s="3">
        <v>1000</v>
      </c>
      <c r="R101" s="3">
        <v>5000</v>
      </c>
      <c r="S101" s="4">
        <f t="shared" si="63"/>
        <v>7.7</v>
      </c>
      <c r="T101" s="4">
        <f t="shared" si="53"/>
        <v>0.58333333333333337</v>
      </c>
      <c r="U101" s="4">
        <f t="shared" si="64"/>
        <v>24.099999999999998</v>
      </c>
      <c r="V101" s="4">
        <f t="shared" si="64"/>
        <v>7.48</v>
      </c>
      <c r="W101" s="5">
        <f t="shared" si="64"/>
        <v>0</v>
      </c>
      <c r="X101" s="4">
        <f t="shared" si="64"/>
        <v>0.21</v>
      </c>
      <c r="Y101" s="4">
        <f t="shared" si="64"/>
        <v>0.22</v>
      </c>
      <c r="Z101" s="6">
        <f t="shared" si="59"/>
        <v>5.4324536258624097</v>
      </c>
      <c r="AA101" s="6">
        <f t="shared" si="62"/>
        <v>0.58333333333333337</v>
      </c>
      <c r="AB101" s="6">
        <f t="shared" si="59"/>
        <v>7.9100852128743417</v>
      </c>
      <c r="AC101" s="6">
        <f t="shared" si="59"/>
        <v>5.3695079893223072</v>
      </c>
      <c r="AD101" s="6">
        <f t="shared" si="65"/>
        <v>0</v>
      </c>
      <c r="AE101" s="6">
        <f t="shared" si="65"/>
        <v>0.21</v>
      </c>
      <c r="AF101" s="6">
        <f t="shared" si="65"/>
        <v>0.22</v>
      </c>
      <c r="AG101" s="21">
        <f t="shared" si="54"/>
        <v>2.8179114516274844</v>
      </c>
      <c r="AH101" s="22">
        <f t="shared" si="55"/>
        <v>7.9100852128743417</v>
      </c>
      <c r="AI101" s="23">
        <f t="shared" si="56"/>
        <v>7.9406249492133165</v>
      </c>
      <c r="AJ101" s="23">
        <f t="shared" si="56"/>
        <v>62.56944807493332</v>
      </c>
      <c r="AK101" s="24">
        <f t="shared" si="57"/>
        <v>5.9375951792011987</v>
      </c>
      <c r="AL101" s="65" t="str">
        <f t="shared" si="61"/>
        <v>sedang</v>
      </c>
    </row>
    <row r="102" spans="1:38" ht="17.25" thickBot="1" x14ac:dyDescent="0.35">
      <c r="A102" s="13">
        <v>101</v>
      </c>
      <c r="B102" s="62" t="s">
        <v>25</v>
      </c>
      <c r="C102" s="62"/>
      <c r="D102" s="63">
        <v>42289</v>
      </c>
      <c r="E102" s="37">
        <v>451</v>
      </c>
      <c r="F102" s="10">
        <v>0</v>
      </c>
      <c r="G102" s="10">
        <v>71.900000000000006</v>
      </c>
      <c r="H102" s="10">
        <v>246</v>
      </c>
      <c r="I102" s="10"/>
      <c r="J102" s="10">
        <v>43</v>
      </c>
      <c r="K102" s="10">
        <v>1100</v>
      </c>
      <c r="L102" s="3">
        <v>50</v>
      </c>
      <c r="M102" s="3">
        <v>4</v>
      </c>
      <c r="N102" s="3">
        <v>3</v>
      </c>
      <c r="O102" s="3">
        <v>25</v>
      </c>
      <c r="P102" s="3">
        <v>0.2</v>
      </c>
      <c r="Q102" s="3">
        <v>1000</v>
      </c>
      <c r="R102" s="3">
        <v>5000</v>
      </c>
      <c r="S102" s="4">
        <f t="shared" si="63"/>
        <v>9.02</v>
      </c>
      <c r="T102" s="4">
        <f t="shared" si="53"/>
        <v>0.58333333333333337</v>
      </c>
      <c r="U102" s="4">
        <f t="shared" si="64"/>
        <v>23.966666666666669</v>
      </c>
      <c r="V102" s="4">
        <f t="shared" si="64"/>
        <v>9.84</v>
      </c>
      <c r="W102" s="5">
        <f t="shared" si="64"/>
        <v>0</v>
      </c>
      <c r="X102" s="4">
        <f t="shared" si="64"/>
        <v>4.2999999999999997E-2</v>
      </c>
      <c r="Y102" s="4">
        <f t="shared" si="64"/>
        <v>0.22</v>
      </c>
      <c r="Z102" s="6">
        <f t="shared" si="59"/>
        <v>5.7760326877097086</v>
      </c>
      <c r="AA102" s="6">
        <f t="shared" si="62"/>
        <v>0.58333333333333337</v>
      </c>
      <c r="AB102" s="6">
        <f t="shared" si="59"/>
        <v>7.8980381783161011</v>
      </c>
      <c r="AC102" s="6">
        <f t="shared" si="59"/>
        <v>5.9649754921567073</v>
      </c>
      <c r="AD102" s="6">
        <f t="shared" si="65"/>
        <v>0</v>
      </c>
      <c r="AE102" s="6">
        <f t="shared" si="65"/>
        <v>4.2999999999999997E-2</v>
      </c>
      <c r="AF102" s="6">
        <f t="shared" si="65"/>
        <v>0.22</v>
      </c>
      <c r="AG102" s="21">
        <f t="shared" si="54"/>
        <v>2.9264828130736928</v>
      </c>
      <c r="AH102" s="22">
        <f t="shared" si="55"/>
        <v>7.8980381783161011</v>
      </c>
      <c r="AI102" s="23">
        <f t="shared" si="56"/>
        <v>8.564301655215715</v>
      </c>
      <c r="AJ102" s="23">
        <f t="shared" si="56"/>
        <v>62.379007066138719</v>
      </c>
      <c r="AK102" s="24">
        <f t="shared" si="57"/>
        <v>5.9558084556739415</v>
      </c>
      <c r="AL102" s="65" t="str">
        <f t="shared" si="61"/>
        <v>sedang</v>
      </c>
    </row>
    <row r="103" spans="1:38" ht="17.25" thickBot="1" x14ac:dyDescent="0.35">
      <c r="A103" s="13">
        <v>102</v>
      </c>
      <c r="B103" s="62" t="s">
        <v>27</v>
      </c>
      <c r="C103" s="62"/>
      <c r="D103" s="63">
        <v>42296</v>
      </c>
      <c r="E103" s="37">
        <v>2550</v>
      </c>
      <c r="F103" s="10">
        <v>0</v>
      </c>
      <c r="G103" s="10">
        <v>39.4</v>
      </c>
      <c r="H103" s="10">
        <v>315</v>
      </c>
      <c r="I103" s="10"/>
      <c r="J103" s="10">
        <v>28</v>
      </c>
      <c r="K103" s="10">
        <v>120</v>
      </c>
      <c r="L103" s="3">
        <v>50</v>
      </c>
      <c r="M103" s="3">
        <v>4</v>
      </c>
      <c r="N103" s="3">
        <v>3</v>
      </c>
      <c r="O103" s="3">
        <v>25</v>
      </c>
      <c r="P103" s="3">
        <v>0.2</v>
      </c>
      <c r="Q103" s="3">
        <v>1000</v>
      </c>
      <c r="R103" s="3">
        <v>5000</v>
      </c>
      <c r="S103" s="4">
        <f t="shared" si="63"/>
        <v>51</v>
      </c>
      <c r="T103" s="4">
        <f t="shared" si="53"/>
        <v>0.58333333333333337</v>
      </c>
      <c r="U103" s="4">
        <f t="shared" si="64"/>
        <v>13.133333333333333</v>
      </c>
      <c r="V103" s="4">
        <f t="shared" si="64"/>
        <v>12.6</v>
      </c>
      <c r="W103" s="5">
        <f t="shared" si="64"/>
        <v>0</v>
      </c>
      <c r="X103" s="4">
        <f t="shared" si="64"/>
        <v>2.8000000000000001E-2</v>
      </c>
      <c r="Y103" s="4">
        <f t="shared" si="64"/>
        <v>2.4E-2</v>
      </c>
      <c r="Z103" s="6">
        <f t="shared" si="59"/>
        <v>9.5378508804896818</v>
      </c>
      <c r="AA103" s="6">
        <f t="shared" si="62"/>
        <v>0.58333333333333337</v>
      </c>
      <c r="AB103" s="6">
        <f t="shared" si="59"/>
        <v>6.5918748355295591</v>
      </c>
      <c r="AC103" s="6">
        <f t="shared" si="59"/>
        <v>6.5018527255878151</v>
      </c>
      <c r="AD103" s="6">
        <f t="shared" si="65"/>
        <v>0</v>
      </c>
      <c r="AE103" s="6">
        <f t="shared" si="65"/>
        <v>2.8000000000000001E-2</v>
      </c>
      <c r="AF103" s="6">
        <f t="shared" si="65"/>
        <v>2.4E-2</v>
      </c>
      <c r="AG103" s="21">
        <f t="shared" si="54"/>
        <v>3.3238445392771987</v>
      </c>
      <c r="AH103" s="22">
        <f t="shared" si="55"/>
        <v>9.5378508804896818</v>
      </c>
      <c r="AI103" s="23">
        <f t="shared" si="56"/>
        <v>11.047942521282854</v>
      </c>
      <c r="AJ103" s="23">
        <f t="shared" si="56"/>
        <v>90.970599418457795</v>
      </c>
      <c r="AK103" s="24">
        <f t="shared" si="57"/>
        <v>7.1420774967701322</v>
      </c>
      <c r="AL103" s="65" t="str">
        <f t="shared" si="61"/>
        <v>sedang</v>
      </c>
    </row>
    <row r="104" spans="1:38" ht="17.25" thickBot="1" x14ac:dyDescent="0.35">
      <c r="A104" s="13">
        <v>103</v>
      </c>
      <c r="B104" s="62" t="s">
        <v>35</v>
      </c>
      <c r="C104" s="62"/>
      <c r="D104" s="63">
        <v>42285</v>
      </c>
      <c r="E104" s="37">
        <v>414</v>
      </c>
      <c r="F104" s="10">
        <v>0</v>
      </c>
      <c r="G104" s="10">
        <v>52.7</v>
      </c>
      <c r="H104" s="10">
        <v>176</v>
      </c>
      <c r="I104" s="10"/>
      <c r="J104" s="10">
        <v>460</v>
      </c>
      <c r="K104" s="10">
        <v>1100</v>
      </c>
      <c r="L104" s="3">
        <v>50</v>
      </c>
      <c r="M104" s="3">
        <v>4</v>
      </c>
      <c r="N104" s="3">
        <v>3</v>
      </c>
      <c r="O104" s="3">
        <v>25</v>
      </c>
      <c r="P104" s="3">
        <v>0.2</v>
      </c>
      <c r="Q104" s="3">
        <v>1000</v>
      </c>
      <c r="R104" s="3">
        <v>5000</v>
      </c>
      <c r="S104" s="4">
        <f t="shared" si="63"/>
        <v>8.2799999999999994</v>
      </c>
      <c r="T104" s="4">
        <f t="shared" si="53"/>
        <v>0.58333333333333337</v>
      </c>
      <c r="U104" s="4">
        <f t="shared" si="64"/>
        <v>17.566666666666666</v>
      </c>
      <c r="V104" s="4">
        <f t="shared" si="64"/>
        <v>7.04</v>
      </c>
      <c r="W104" s="5">
        <f t="shared" si="64"/>
        <v>0</v>
      </c>
      <c r="X104" s="4">
        <f t="shared" si="64"/>
        <v>0.46</v>
      </c>
      <c r="Y104" s="4">
        <f t="shared" si="64"/>
        <v>0.22</v>
      </c>
      <c r="Z104" s="6">
        <f t="shared" si="59"/>
        <v>5.5901516839244003</v>
      </c>
      <c r="AA104" s="6">
        <f t="shared" si="62"/>
        <v>0.58333333333333337</v>
      </c>
      <c r="AB104" s="6">
        <f t="shared" si="59"/>
        <v>7.2234468024644212</v>
      </c>
      <c r="AC104" s="6">
        <f t="shared" si="59"/>
        <v>5.2378632957105609</v>
      </c>
      <c r="AD104" s="6">
        <f t="shared" si="65"/>
        <v>0</v>
      </c>
      <c r="AE104" s="6">
        <f t="shared" si="65"/>
        <v>0.46</v>
      </c>
      <c r="AF104" s="6">
        <f t="shared" si="65"/>
        <v>0.22</v>
      </c>
      <c r="AG104" s="21">
        <f t="shared" si="54"/>
        <v>2.7592564450618164</v>
      </c>
      <c r="AH104" s="22">
        <f t="shared" si="55"/>
        <v>7.2234468024644212</v>
      </c>
      <c r="AI104" s="23">
        <f t="shared" si="56"/>
        <v>7.6134961296151733</v>
      </c>
      <c r="AJ104" s="23">
        <f t="shared" si="56"/>
        <v>52.178183708033472</v>
      </c>
      <c r="AK104" s="24">
        <f t="shared" si="57"/>
        <v>5.4677088363248023</v>
      </c>
      <c r="AL104" s="65" t="str">
        <f t="shared" si="61"/>
        <v>sedang</v>
      </c>
    </row>
    <row r="105" spans="1:38" ht="17.25" thickBot="1" x14ac:dyDescent="0.35">
      <c r="A105" s="13">
        <v>104</v>
      </c>
      <c r="B105" s="62" t="s">
        <v>37</v>
      </c>
      <c r="C105" s="62"/>
      <c r="D105" s="63">
        <v>42285</v>
      </c>
      <c r="E105" s="37">
        <v>1010</v>
      </c>
      <c r="F105" s="10">
        <v>0</v>
      </c>
      <c r="G105" s="10">
        <v>315</v>
      </c>
      <c r="H105" s="10">
        <v>778</v>
      </c>
      <c r="I105" s="10"/>
      <c r="J105" s="10">
        <v>75</v>
      </c>
      <c r="K105" s="10">
        <v>150</v>
      </c>
      <c r="L105" s="3">
        <v>50</v>
      </c>
      <c r="M105" s="3">
        <v>4</v>
      </c>
      <c r="N105" s="3">
        <v>3</v>
      </c>
      <c r="O105" s="3">
        <v>25</v>
      </c>
      <c r="P105" s="3">
        <v>0.2</v>
      </c>
      <c r="Q105" s="3">
        <v>1000</v>
      </c>
      <c r="R105" s="3">
        <v>5000</v>
      </c>
      <c r="S105" s="4">
        <f t="shared" si="63"/>
        <v>20.2</v>
      </c>
      <c r="T105" s="4">
        <f t="shared" si="53"/>
        <v>0.58333333333333337</v>
      </c>
      <c r="U105" s="4">
        <f t="shared" si="64"/>
        <v>105</v>
      </c>
      <c r="V105" s="4">
        <f t="shared" si="64"/>
        <v>31.12</v>
      </c>
      <c r="W105" s="5">
        <f t="shared" si="64"/>
        <v>0</v>
      </c>
      <c r="X105" s="4">
        <f t="shared" si="64"/>
        <v>7.4999999999999997E-2</v>
      </c>
      <c r="Y105" s="4">
        <f t="shared" si="64"/>
        <v>0.03</v>
      </c>
      <c r="Z105" s="6">
        <f t="shared" si="59"/>
        <v>7.5267568472331181</v>
      </c>
      <c r="AA105" s="6">
        <f t="shared" si="62"/>
        <v>0.58333333333333337</v>
      </c>
      <c r="AB105" s="6">
        <f t="shared" si="59"/>
        <v>11.105946495349691</v>
      </c>
      <c r="AC105" s="6">
        <f t="shared" si="59"/>
        <v>8.4651979415882561</v>
      </c>
      <c r="AD105" s="6">
        <f t="shared" si="65"/>
        <v>0</v>
      </c>
      <c r="AE105" s="6">
        <f t="shared" si="65"/>
        <v>7.4999999999999997E-2</v>
      </c>
      <c r="AF105" s="6">
        <f t="shared" si="65"/>
        <v>0.03</v>
      </c>
      <c r="AG105" s="21">
        <f t="shared" si="54"/>
        <v>3.9694620882149145</v>
      </c>
      <c r="AH105" s="22">
        <f t="shared" si="55"/>
        <v>11.105946495349691</v>
      </c>
      <c r="AI105" s="23">
        <f t="shared" si="56"/>
        <v>15.756629269775511</v>
      </c>
      <c r="AJ105" s="23">
        <f t="shared" si="56"/>
        <v>123.3420475575701</v>
      </c>
      <c r="AK105" s="24">
        <f t="shared" si="57"/>
        <v>8.3396245966873597</v>
      </c>
      <c r="AL105" s="65" t="str">
        <f t="shared" si="61"/>
        <v>sedang</v>
      </c>
    </row>
    <row r="106" spans="1:38" ht="17.25" thickBot="1" x14ac:dyDescent="0.35">
      <c r="A106" s="13">
        <v>105</v>
      </c>
      <c r="B106" s="62" t="s">
        <v>51</v>
      </c>
      <c r="C106" s="62"/>
      <c r="D106" s="63">
        <v>42296</v>
      </c>
      <c r="E106" s="37">
        <v>1752</v>
      </c>
      <c r="F106" s="10">
        <v>0</v>
      </c>
      <c r="G106" s="10">
        <v>63.8</v>
      </c>
      <c r="H106" s="10">
        <v>627</v>
      </c>
      <c r="I106" s="10"/>
      <c r="J106" s="10">
        <v>18</v>
      </c>
      <c r="K106" s="10">
        <v>43</v>
      </c>
      <c r="L106" s="3">
        <v>50</v>
      </c>
      <c r="M106" s="3">
        <v>4</v>
      </c>
      <c r="N106" s="3">
        <v>3</v>
      </c>
      <c r="O106" s="3">
        <v>25</v>
      </c>
      <c r="P106" s="3">
        <v>0.2</v>
      </c>
      <c r="Q106" s="3">
        <v>1000</v>
      </c>
      <c r="R106" s="3">
        <v>5000</v>
      </c>
      <c r="S106" s="4">
        <f t="shared" si="63"/>
        <v>35.04</v>
      </c>
      <c r="T106" s="4">
        <f t="shared" si="53"/>
        <v>0.58333333333333337</v>
      </c>
      <c r="U106" s="4">
        <f t="shared" si="64"/>
        <v>21.266666666666666</v>
      </c>
      <c r="V106" s="4">
        <f t="shared" si="64"/>
        <v>25.08</v>
      </c>
      <c r="W106" s="5">
        <f t="shared" si="64"/>
        <v>0</v>
      </c>
      <c r="X106" s="4">
        <f t="shared" si="64"/>
        <v>1.7999999999999999E-2</v>
      </c>
      <c r="Y106" s="4">
        <f t="shared" si="64"/>
        <v>8.6E-3</v>
      </c>
      <c r="Z106" s="6">
        <f t="shared" si="59"/>
        <v>8.7228204874802149</v>
      </c>
      <c r="AA106" s="6">
        <f t="shared" si="62"/>
        <v>0.58333333333333337</v>
      </c>
      <c r="AB106" s="6">
        <f t="shared" si="59"/>
        <v>7.6384971200074991</v>
      </c>
      <c r="AC106" s="6">
        <f t="shared" si="59"/>
        <v>7.9966376607933949</v>
      </c>
      <c r="AD106" s="6">
        <f t="shared" si="65"/>
        <v>0</v>
      </c>
      <c r="AE106" s="6">
        <f t="shared" si="65"/>
        <v>1.7999999999999999E-2</v>
      </c>
      <c r="AF106" s="6">
        <f t="shared" si="65"/>
        <v>8.6E-3</v>
      </c>
      <c r="AG106" s="21">
        <f t="shared" si="54"/>
        <v>3.5668412288020641</v>
      </c>
      <c r="AH106" s="22">
        <f t="shared" si="55"/>
        <v>8.7228204874802149</v>
      </c>
      <c r="AI106" s="23">
        <f t="shared" si="56"/>
        <v>12.722356351482219</v>
      </c>
      <c r="AJ106" s="23">
        <f t="shared" si="56"/>
        <v>76.087597256804571</v>
      </c>
      <c r="AK106" s="24">
        <f t="shared" si="57"/>
        <v>6.6637059361997206</v>
      </c>
      <c r="AL106" s="65" t="str">
        <f t="shared" si="61"/>
        <v>sedang</v>
      </c>
    </row>
    <row r="107" spans="1:38" ht="17.25" thickBot="1" x14ac:dyDescent="0.35">
      <c r="A107" s="13">
        <v>106</v>
      </c>
      <c r="B107" s="62" t="s">
        <v>17</v>
      </c>
      <c r="C107" s="62"/>
      <c r="D107" s="63">
        <v>41765</v>
      </c>
      <c r="E107" s="37">
        <v>61</v>
      </c>
      <c r="F107" s="10">
        <v>7.31</v>
      </c>
      <c r="G107" s="10">
        <v>2.4900000000000002</v>
      </c>
      <c r="H107" s="10">
        <v>29.9</v>
      </c>
      <c r="I107" s="10"/>
      <c r="J107" s="10">
        <v>120</v>
      </c>
      <c r="K107" s="10"/>
      <c r="L107" s="3">
        <v>50</v>
      </c>
      <c r="M107" s="3">
        <v>4</v>
      </c>
      <c r="N107" s="3">
        <v>3</v>
      </c>
      <c r="O107" s="3">
        <v>25</v>
      </c>
      <c r="P107" s="3">
        <v>0.2</v>
      </c>
      <c r="Q107" s="3">
        <v>1000</v>
      </c>
      <c r="R107" s="3">
        <v>5000</v>
      </c>
      <c r="S107" s="4">
        <f t="shared" si="63"/>
        <v>1.22</v>
      </c>
      <c r="T107" s="4">
        <f>((7-F107)/(7-M107))/M107</f>
        <v>-2.5833333333333302E-2</v>
      </c>
      <c r="U107" s="4">
        <f t="shared" si="64"/>
        <v>0.83000000000000007</v>
      </c>
      <c r="V107" s="4">
        <f t="shared" si="64"/>
        <v>1.196</v>
      </c>
      <c r="W107" s="5">
        <f t="shared" si="64"/>
        <v>0</v>
      </c>
      <c r="X107" s="4">
        <f t="shared" si="64"/>
        <v>0.12</v>
      </c>
      <c r="Y107" s="4">
        <f t="shared" si="64"/>
        <v>0</v>
      </c>
      <c r="Z107" s="6">
        <f t="shared" ref="Z107:AC136" si="66">1+(5*(LOG10(E107/L107)))</f>
        <v>1.4317991533737411</v>
      </c>
      <c r="AA107" s="6">
        <f t="shared" si="66"/>
        <v>2.3092869281494899</v>
      </c>
      <c r="AB107" s="6">
        <f t="shared" si="66"/>
        <v>0.5953904618803697</v>
      </c>
      <c r="AC107" s="6">
        <f>1+(5*(LOG10(H107/O107)))</f>
        <v>1.3886558982619601</v>
      </c>
      <c r="AD107" s="6">
        <f t="shared" si="65"/>
        <v>0</v>
      </c>
      <c r="AE107" s="6">
        <f>X107</f>
        <v>0.12</v>
      </c>
      <c r="AF107" s="6">
        <f t="shared" si="65"/>
        <v>0</v>
      </c>
      <c r="AG107" s="21">
        <f>AVERAGE(Z107:AF107)</f>
        <v>0.83501892023793722</v>
      </c>
      <c r="AH107" s="22">
        <f>MAX(Z107:AG107)</f>
        <v>2.3092869281494899</v>
      </c>
      <c r="AI107" s="23">
        <f>POWER(AG107,2)</f>
        <v>0.69725659715533062</v>
      </c>
      <c r="AJ107" s="23">
        <f>POWER(AH107,2)</f>
        <v>5.3328061165221072</v>
      </c>
      <c r="AK107" s="24">
        <f>SQRT((AI107+AJ107)/2)</f>
        <v>1.7363845647893554</v>
      </c>
      <c r="AL107" s="64" t="str">
        <f>IF(ISNUMBER(AK107),IF(AK107&lt;=1,"memenuhi",IF(AK107&lt;=5,"ringan",IF(AK107&lt;=10,"sedang","berat"))),"")</f>
        <v>ringan</v>
      </c>
    </row>
    <row r="108" spans="1:38" ht="17.25" thickBot="1" x14ac:dyDescent="0.35">
      <c r="A108" s="13">
        <v>107</v>
      </c>
      <c r="B108" s="62" t="s">
        <v>49</v>
      </c>
      <c r="C108" s="62"/>
      <c r="D108" s="63">
        <v>41764</v>
      </c>
      <c r="E108" s="37">
        <v>79</v>
      </c>
      <c r="F108" s="10">
        <v>6.55</v>
      </c>
      <c r="G108" s="10">
        <v>5.44</v>
      </c>
      <c r="H108" s="10">
        <v>34.799999999999997</v>
      </c>
      <c r="I108" s="10"/>
      <c r="J108" s="10">
        <v>1100</v>
      </c>
      <c r="K108" s="10"/>
      <c r="L108" s="3">
        <v>50</v>
      </c>
      <c r="M108" s="3">
        <v>4</v>
      </c>
      <c r="N108" s="3">
        <v>3</v>
      </c>
      <c r="O108" s="3">
        <v>25</v>
      </c>
      <c r="P108" s="3">
        <v>0.2</v>
      </c>
      <c r="Q108" s="3">
        <v>1000</v>
      </c>
      <c r="R108" s="3">
        <v>5000</v>
      </c>
      <c r="S108" s="4">
        <f t="shared" si="63"/>
        <v>1.58</v>
      </c>
      <c r="T108" s="4">
        <f t="shared" ref="T108:T171" si="67">((7-F108)/(7-M108))/M108</f>
        <v>3.7500000000000012E-2</v>
      </c>
      <c r="U108" s="4">
        <f t="shared" si="64"/>
        <v>1.8133333333333335</v>
      </c>
      <c r="V108" s="4">
        <f t="shared" si="64"/>
        <v>1.3919999999999999</v>
      </c>
      <c r="W108" s="5">
        <f t="shared" si="64"/>
        <v>0</v>
      </c>
      <c r="X108" s="4">
        <f t="shared" si="64"/>
        <v>1.1000000000000001</v>
      </c>
      <c r="Y108" s="4">
        <f t="shared" si="64"/>
        <v>0</v>
      </c>
      <c r="Z108" s="6">
        <f t="shared" si="66"/>
        <v>1.9932854347721132</v>
      </c>
      <c r="AA108" s="6">
        <f t="shared" si="65"/>
        <v>3.7500000000000012E-2</v>
      </c>
      <c r="AB108" s="6">
        <f t="shared" si="66"/>
        <v>2.2923882248925875</v>
      </c>
      <c r="AC108" s="6">
        <f t="shared" si="66"/>
        <v>1.7181961763727163</v>
      </c>
      <c r="AD108" s="6">
        <f t="shared" si="65"/>
        <v>0</v>
      </c>
      <c r="AE108" s="6">
        <f t="shared" si="65"/>
        <v>1.1000000000000001</v>
      </c>
      <c r="AF108" s="6">
        <f t="shared" si="65"/>
        <v>0</v>
      </c>
      <c r="AG108" s="21">
        <f t="shared" ref="AG108:AG166" si="68">AVERAGE(Z108:AF108)</f>
        <v>1.0201956908624881</v>
      </c>
      <c r="AH108" s="22">
        <f t="shared" ref="AH108:AH166" si="69">MAX(Z108:AG108)</f>
        <v>2.2923882248925875</v>
      </c>
      <c r="AI108" s="23">
        <f t="shared" ref="AI108:AJ136" si="70">POWER(AG108,2)</f>
        <v>1.0407992476543892</v>
      </c>
      <c r="AJ108" s="23">
        <f t="shared" si="70"/>
        <v>5.2550437736261886</v>
      </c>
      <c r="AK108" s="24">
        <f t="shared" ref="AK108:AK166" si="71">SQRT((AI108+AJ108)/2)</f>
        <v>1.7742382902643852</v>
      </c>
      <c r="AL108" s="64" t="str">
        <f>IF(ISNUMBER(AK108),IF(AK108&lt;=1,"memenuhi",IF(AK108&lt;=5,"ringan",IF(AK108&lt;=10,"sedang","berat"))),"")</f>
        <v>ringan</v>
      </c>
    </row>
    <row r="109" spans="1:38" ht="17.25" thickBot="1" x14ac:dyDescent="0.35">
      <c r="A109" s="13">
        <v>108</v>
      </c>
      <c r="B109" s="62" t="s">
        <v>50</v>
      </c>
      <c r="C109" s="62"/>
      <c r="D109" s="63">
        <v>41792</v>
      </c>
      <c r="E109" s="37">
        <v>278</v>
      </c>
      <c r="F109" s="10">
        <v>5.18</v>
      </c>
      <c r="G109" s="10">
        <v>4.93</v>
      </c>
      <c r="H109" s="10">
        <v>33.1</v>
      </c>
      <c r="I109" s="10"/>
      <c r="J109" s="10">
        <v>64</v>
      </c>
      <c r="K109" s="10"/>
      <c r="L109" s="3">
        <v>50</v>
      </c>
      <c r="M109" s="3">
        <v>4</v>
      </c>
      <c r="N109" s="3">
        <v>3</v>
      </c>
      <c r="O109" s="3">
        <v>25</v>
      </c>
      <c r="P109" s="3">
        <v>0.2</v>
      </c>
      <c r="Q109" s="3">
        <v>1000</v>
      </c>
      <c r="R109" s="3">
        <v>5000</v>
      </c>
      <c r="S109" s="4">
        <f t="shared" si="63"/>
        <v>5.56</v>
      </c>
      <c r="T109" s="4">
        <f t="shared" si="67"/>
        <v>0.1516666666666667</v>
      </c>
      <c r="U109" s="4">
        <f t="shared" si="64"/>
        <v>1.6433333333333333</v>
      </c>
      <c r="V109" s="4">
        <f t="shared" si="64"/>
        <v>1.3240000000000001</v>
      </c>
      <c r="W109" s="5">
        <f t="shared" si="64"/>
        <v>0</v>
      </c>
      <c r="X109" s="4">
        <f t="shared" si="64"/>
        <v>6.4000000000000001E-2</v>
      </c>
      <c r="Y109" s="4">
        <f t="shared" si="64"/>
        <v>0</v>
      </c>
      <c r="Z109" s="6">
        <f t="shared" si="66"/>
        <v>4.7253739579102874</v>
      </c>
      <c r="AA109" s="6">
        <f t="shared" si="65"/>
        <v>0.1516666666666667</v>
      </c>
      <c r="AB109" s="6">
        <f t="shared" si="66"/>
        <v>2.0786283227878379</v>
      </c>
      <c r="AC109" s="6">
        <f t="shared" si="66"/>
        <v>1.6094399255184058</v>
      </c>
      <c r="AD109" s="6">
        <f t="shared" si="65"/>
        <v>0</v>
      </c>
      <c r="AE109" s="6">
        <f t="shared" si="65"/>
        <v>6.4000000000000001E-2</v>
      </c>
      <c r="AF109" s="6">
        <f t="shared" si="65"/>
        <v>0</v>
      </c>
      <c r="AG109" s="21">
        <f t="shared" si="68"/>
        <v>1.2327298389833139</v>
      </c>
      <c r="AH109" s="22">
        <f t="shared" si="69"/>
        <v>4.7253739579102874</v>
      </c>
      <c r="AI109" s="23">
        <f t="shared" si="70"/>
        <v>1.519622855919827</v>
      </c>
      <c r="AJ109" s="23">
        <f t="shared" si="70"/>
        <v>22.329159042096734</v>
      </c>
      <c r="AK109" s="24">
        <f t="shared" si="71"/>
        <v>3.4531711438919852</v>
      </c>
      <c r="AL109" s="64" t="str">
        <f>IF(ISNUMBER(AK109),IF(AK109&lt;=1,"memenuhi",IF(AK109&lt;=5,"ringan",IF(AK109&lt;=10,"sedang","berat"))),"")</f>
        <v>ringan</v>
      </c>
    </row>
    <row r="110" spans="1:38" ht="17.25" thickBot="1" x14ac:dyDescent="0.35">
      <c r="A110" s="13">
        <v>109</v>
      </c>
      <c r="B110" s="62" t="s">
        <v>29</v>
      </c>
      <c r="C110" s="62"/>
      <c r="D110" s="63">
        <v>41766</v>
      </c>
      <c r="E110" s="37">
        <v>298</v>
      </c>
      <c r="F110" s="10">
        <v>0.76300000000000001</v>
      </c>
      <c r="G110" s="10">
        <v>33.5</v>
      </c>
      <c r="H110" s="10">
        <v>116</v>
      </c>
      <c r="I110" s="10"/>
      <c r="J110" s="10">
        <v>1100</v>
      </c>
      <c r="K110" s="10"/>
      <c r="L110" s="3">
        <v>50</v>
      </c>
      <c r="M110" s="3">
        <v>4</v>
      </c>
      <c r="N110" s="3">
        <v>3</v>
      </c>
      <c r="O110" s="3">
        <v>25</v>
      </c>
      <c r="P110" s="3">
        <v>0.2</v>
      </c>
      <c r="Q110" s="3">
        <v>1000</v>
      </c>
      <c r="R110" s="3">
        <v>5000</v>
      </c>
      <c r="S110" s="4">
        <f t="shared" si="63"/>
        <v>5.96</v>
      </c>
      <c r="T110" s="4">
        <f t="shared" si="67"/>
        <v>0.51975000000000005</v>
      </c>
      <c r="U110" s="4">
        <f t="shared" si="64"/>
        <v>11.166666666666666</v>
      </c>
      <c r="V110" s="4">
        <f t="shared" si="64"/>
        <v>4.6399999999999997</v>
      </c>
      <c r="W110" s="5">
        <f t="shared" si="64"/>
        <v>0</v>
      </c>
      <c r="X110" s="4">
        <f t="shared" si="64"/>
        <v>1.1000000000000001</v>
      </c>
      <c r="Y110" s="4">
        <f t="shared" si="64"/>
        <v>0</v>
      </c>
      <c r="Z110" s="6">
        <f t="shared" si="66"/>
        <v>4.8762312987011818</v>
      </c>
      <c r="AA110" s="6">
        <f t="shared" si="65"/>
        <v>0.51975000000000005</v>
      </c>
      <c r="AB110" s="6">
        <f t="shared" si="66"/>
        <v>6.2396177615859143</v>
      </c>
      <c r="AC110" s="6">
        <f t="shared" si="66"/>
        <v>4.3325899027744041</v>
      </c>
      <c r="AD110" s="6">
        <f t="shared" si="65"/>
        <v>0</v>
      </c>
      <c r="AE110" s="6">
        <f t="shared" si="65"/>
        <v>1.1000000000000001</v>
      </c>
      <c r="AF110" s="6">
        <f t="shared" si="65"/>
        <v>0</v>
      </c>
      <c r="AG110" s="21">
        <f t="shared" si="68"/>
        <v>2.4383127090087862</v>
      </c>
      <c r="AH110" s="22">
        <f t="shared" si="69"/>
        <v>6.2396177615859143</v>
      </c>
      <c r="AI110" s="23">
        <f t="shared" si="70"/>
        <v>5.9453688669137659</v>
      </c>
      <c r="AJ110" s="23">
        <f t="shared" si="70"/>
        <v>38.932829810698415</v>
      </c>
      <c r="AK110" s="24">
        <f t="shared" si="71"/>
        <v>4.7369926471133654</v>
      </c>
      <c r="AL110" s="64" t="str">
        <f>IF(ISNUMBER(AK110),IF(AK110&lt;=1,"memenuhi",IF(AK110&lt;=5,"ringan",IF(AK110&lt;=10,"sedang","berat"))),"")</f>
        <v>ringan</v>
      </c>
    </row>
    <row r="111" spans="1:38" ht="17.25" thickBot="1" x14ac:dyDescent="0.35">
      <c r="A111" s="13">
        <v>110</v>
      </c>
      <c r="B111" s="62" t="s">
        <v>31</v>
      </c>
      <c r="C111" s="62"/>
      <c r="D111" s="63">
        <v>41767</v>
      </c>
      <c r="E111" s="37">
        <v>884</v>
      </c>
      <c r="F111" s="10">
        <v>4.01</v>
      </c>
      <c r="G111" s="10">
        <v>92.6</v>
      </c>
      <c r="H111" s="10">
        <v>234</v>
      </c>
      <c r="I111" s="10"/>
      <c r="J111" s="10">
        <v>120</v>
      </c>
      <c r="K111" s="10"/>
      <c r="L111" s="3">
        <v>50</v>
      </c>
      <c r="M111" s="3">
        <v>4</v>
      </c>
      <c r="N111" s="3">
        <v>3</v>
      </c>
      <c r="O111" s="3">
        <v>25</v>
      </c>
      <c r="P111" s="3">
        <v>0.2</v>
      </c>
      <c r="Q111" s="3">
        <v>1000</v>
      </c>
      <c r="R111" s="3">
        <v>5000</v>
      </c>
      <c r="S111" s="4">
        <f t="shared" si="63"/>
        <v>17.68</v>
      </c>
      <c r="T111" s="4">
        <f t="shared" si="67"/>
        <v>0.24916666666666668</v>
      </c>
      <c r="U111" s="4">
        <f t="shared" si="64"/>
        <v>30.866666666666664</v>
      </c>
      <c r="V111" s="4">
        <f t="shared" si="64"/>
        <v>9.36</v>
      </c>
      <c r="W111" s="5">
        <f t="shared" si="64"/>
        <v>0</v>
      </c>
      <c r="X111" s="4">
        <f t="shared" si="64"/>
        <v>0.12</v>
      </c>
      <c r="Y111" s="4">
        <f t="shared" si="64"/>
        <v>0</v>
      </c>
      <c r="Z111" s="6">
        <f t="shared" si="66"/>
        <v>7.2374113033852723</v>
      </c>
      <c r="AA111" s="6">
        <f t="shared" si="65"/>
        <v>0.24916666666666668</v>
      </c>
      <c r="AB111" s="6">
        <f t="shared" si="66"/>
        <v>8.447448659811359</v>
      </c>
      <c r="AC111" s="6">
        <f t="shared" si="66"/>
        <v>5.856379243690526</v>
      </c>
      <c r="AD111" s="6">
        <f t="shared" si="65"/>
        <v>0</v>
      </c>
      <c r="AE111" s="6">
        <f t="shared" si="65"/>
        <v>0.12</v>
      </c>
      <c r="AF111" s="6">
        <f t="shared" si="65"/>
        <v>0</v>
      </c>
      <c r="AG111" s="21">
        <f t="shared" si="68"/>
        <v>3.1300579819362606</v>
      </c>
      <c r="AH111" s="22">
        <f t="shared" si="69"/>
        <v>8.447448659811359</v>
      </c>
      <c r="AI111" s="23">
        <f t="shared" si="70"/>
        <v>9.7972629702828957</v>
      </c>
      <c r="AJ111" s="23">
        <f t="shared" si="70"/>
        <v>71.359388860148727</v>
      </c>
      <c r="AK111" s="24">
        <f t="shared" si="71"/>
        <v>6.3701119232879897</v>
      </c>
      <c r="AL111" s="65" t="str">
        <f>IF(ISNUMBER(AK111),IF(AK111&lt;=1,"memenuhi",IF(AK111&lt;=5,"ringan",IF(AK111&lt;=10,"sedang","berat"))),"")</f>
        <v>sedang</v>
      </c>
    </row>
    <row r="112" spans="1:38" ht="17.25" thickBot="1" x14ac:dyDescent="0.35">
      <c r="A112" s="13">
        <v>111</v>
      </c>
      <c r="B112" s="62" t="s">
        <v>33</v>
      </c>
      <c r="C112" s="62"/>
      <c r="D112" s="63">
        <v>41792</v>
      </c>
      <c r="E112" s="37">
        <v>942</v>
      </c>
      <c r="F112" s="10">
        <v>0</v>
      </c>
      <c r="G112" s="10">
        <v>129</v>
      </c>
      <c r="H112" s="10">
        <v>280</v>
      </c>
      <c r="I112" s="10"/>
      <c r="J112" s="10">
        <v>460</v>
      </c>
      <c r="K112" s="10"/>
      <c r="L112" s="3">
        <v>50</v>
      </c>
      <c r="M112" s="3">
        <v>4</v>
      </c>
      <c r="N112" s="3">
        <v>3</v>
      </c>
      <c r="O112" s="3">
        <v>25</v>
      </c>
      <c r="P112" s="3">
        <v>0.2</v>
      </c>
      <c r="Q112" s="3">
        <v>1000</v>
      </c>
      <c r="R112" s="3">
        <v>5000</v>
      </c>
      <c r="S112" s="4">
        <f t="shared" si="63"/>
        <v>18.84</v>
      </c>
      <c r="T112" s="4">
        <f t="shared" si="67"/>
        <v>0.58333333333333337</v>
      </c>
      <c r="U112" s="4">
        <f t="shared" ref="U112:Y127" si="72">G112/N112</f>
        <v>43</v>
      </c>
      <c r="V112" s="4">
        <f t="shared" si="72"/>
        <v>11.2</v>
      </c>
      <c r="W112" s="5">
        <f t="shared" si="72"/>
        <v>0</v>
      </c>
      <c r="X112" s="4">
        <f t="shared" si="72"/>
        <v>0.46</v>
      </c>
      <c r="Y112" s="4">
        <f t="shared" si="72"/>
        <v>0</v>
      </c>
      <c r="Z112" s="6">
        <f t="shared" si="66"/>
        <v>7.3754044922842921</v>
      </c>
      <c r="AA112" s="6">
        <f t="shared" si="65"/>
        <v>0.58333333333333337</v>
      </c>
      <c r="AB112" s="6">
        <f t="shared" si="66"/>
        <v>9.1673422778979319</v>
      </c>
      <c r="AC112" s="6">
        <f t="shared" si="66"/>
        <v>6.2460901133509079</v>
      </c>
      <c r="AD112" s="6">
        <f t="shared" si="65"/>
        <v>0</v>
      </c>
      <c r="AE112" s="6">
        <f t="shared" si="65"/>
        <v>0.46</v>
      </c>
      <c r="AF112" s="6">
        <f t="shared" si="65"/>
        <v>0</v>
      </c>
      <c r="AG112" s="21">
        <f t="shared" si="68"/>
        <v>3.4045957452666378</v>
      </c>
      <c r="AH112" s="22">
        <f t="shared" si="69"/>
        <v>9.1673422778979319</v>
      </c>
      <c r="AI112" s="23">
        <f t="shared" si="70"/>
        <v>11.591272188687693</v>
      </c>
      <c r="AJ112" s="23">
        <f t="shared" si="70"/>
        <v>84.040164440134845</v>
      </c>
      <c r="AK112" s="24">
        <f t="shared" si="71"/>
        <v>6.9148910558599024</v>
      </c>
      <c r="AL112" s="65" t="str">
        <f t="shared" ref="AL112:AL136" si="73">IF(ISNUMBER(AK112),IF(AK112&lt;=1,"memenuhi",IF(AK112&lt;=5,"ringan",IF(AK112&lt;=10,"sedang","berat"))),"")</f>
        <v>sedang</v>
      </c>
    </row>
    <row r="113" spans="1:38" ht="17.25" thickBot="1" x14ac:dyDescent="0.35">
      <c r="A113" s="13">
        <v>112</v>
      </c>
      <c r="B113" s="62" t="s">
        <v>41</v>
      </c>
      <c r="C113" s="62"/>
      <c r="D113" s="63">
        <v>41780</v>
      </c>
      <c r="E113" s="37">
        <v>321</v>
      </c>
      <c r="F113" s="10">
        <v>3.56</v>
      </c>
      <c r="G113" s="10">
        <v>8.68</v>
      </c>
      <c r="H113" s="10">
        <v>112</v>
      </c>
      <c r="I113" s="10"/>
      <c r="J113" s="10">
        <v>14</v>
      </c>
      <c r="K113" s="10"/>
      <c r="L113" s="3">
        <v>50</v>
      </c>
      <c r="M113" s="3">
        <v>4</v>
      </c>
      <c r="N113" s="3">
        <v>3</v>
      </c>
      <c r="O113" s="3">
        <v>25</v>
      </c>
      <c r="P113" s="3">
        <v>0.2</v>
      </c>
      <c r="Q113" s="3">
        <v>1000</v>
      </c>
      <c r="R113" s="3">
        <v>5000</v>
      </c>
      <c r="S113" s="4">
        <f t="shared" si="63"/>
        <v>6.42</v>
      </c>
      <c r="T113" s="4">
        <f t="shared" si="67"/>
        <v>0.28666666666666668</v>
      </c>
      <c r="U113" s="4">
        <f t="shared" si="72"/>
        <v>2.8933333333333331</v>
      </c>
      <c r="V113" s="4">
        <f t="shared" si="72"/>
        <v>4.4800000000000004</v>
      </c>
      <c r="W113" s="5">
        <f t="shared" si="72"/>
        <v>0</v>
      </c>
      <c r="X113" s="4">
        <f t="shared" si="72"/>
        <v>1.4E-2</v>
      </c>
      <c r="Y113" s="4">
        <f t="shared" si="72"/>
        <v>0</v>
      </c>
      <c r="Z113" s="6">
        <f t="shared" si="66"/>
        <v>5.0376751403442661</v>
      </c>
      <c r="AA113" s="6">
        <f t="shared" ref="AA113:AF128" si="74">T113</f>
        <v>0.28666666666666668</v>
      </c>
      <c r="AB113" s="6">
        <f t="shared" si="66"/>
        <v>3.3069923522841469</v>
      </c>
      <c r="AC113" s="6">
        <f t="shared" si="66"/>
        <v>4.2563900699907204</v>
      </c>
      <c r="AD113" s="6">
        <f t="shared" si="74"/>
        <v>0</v>
      </c>
      <c r="AE113" s="6">
        <f t="shared" si="74"/>
        <v>1.4E-2</v>
      </c>
      <c r="AF113" s="6">
        <f t="shared" si="74"/>
        <v>0</v>
      </c>
      <c r="AG113" s="21">
        <f t="shared" si="68"/>
        <v>1.8431034613265427</v>
      </c>
      <c r="AH113" s="22">
        <f t="shared" si="69"/>
        <v>5.0376751403442661</v>
      </c>
      <c r="AI113" s="23">
        <f t="shared" si="70"/>
        <v>3.3970303691538826</v>
      </c>
      <c r="AJ113" s="23">
        <f t="shared" si="70"/>
        <v>25.378170819642623</v>
      </c>
      <c r="AK113" s="24">
        <f t="shared" si="71"/>
        <v>3.7930990752151796</v>
      </c>
      <c r="AL113" s="64" t="str">
        <f t="shared" si="73"/>
        <v>ringan</v>
      </c>
    </row>
    <row r="114" spans="1:38" ht="17.25" thickBot="1" x14ac:dyDescent="0.35">
      <c r="A114" s="13">
        <v>113</v>
      </c>
      <c r="B114" s="62" t="s">
        <v>43</v>
      </c>
      <c r="C114" s="62"/>
      <c r="D114" s="63">
        <v>41768</v>
      </c>
      <c r="E114" s="37">
        <v>329</v>
      </c>
      <c r="F114" s="10">
        <v>4.3899999999999997</v>
      </c>
      <c r="G114" s="10">
        <v>18.899999999999999</v>
      </c>
      <c r="H114" s="10">
        <v>118</v>
      </c>
      <c r="I114" s="10"/>
      <c r="J114" s="10">
        <v>18</v>
      </c>
      <c r="K114" s="10"/>
      <c r="L114" s="3">
        <v>50</v>
      </c>
      <c r="M114" s="3">
        <v>4</v>
      </c>
      <c r="N114" s="3">
        <v>3</v>
      </c>
      <c r="O114" s="3">
        <v>25</v>
      </c>
      <c r="P114" s="3">
        <v>0.2</v>
      </c>
      <c r="Q114" s="3">
        <v>1000</v>
      </c>
      <c r="R114" s="3">
        <v>5000</v>
      </c>
      <c r="S114" s="4">
        <f t="shared" si="63"/>
        <v>6.58</v>
      </c>
      <c r="T114" s="4">
        <f t="shared" si="67"/>
        <v>0.21750000000000003</v>
      </c>
      <c r="U114" s="4">
        <f t="shared" si="72"/>
        <v>6.3</v>
      </c>
      <c r="V114" s="4">
        <f t="shared" si="72"/>
        <v>4.72</v>
      </c>
      <c r="W114" s="5">
        <f t="shared" si="72"/>
        <v>0</v>
      </c>
      <c r="X114" s="4">
        <f t="shared" si="72"/>
        <v>1.7999999999999999E-2</v>
      </c>
      <c r="Y114" s="4">
        <f t="shared" si="72"/>
        <v>0</v>
      </c>
      <c r="Z114" s="6">
        <f t="shared" si="66"/>
        <v>5.0911294680697772</v>
      </c>
      <c r="AA114" s="6">
        <f t="shared" si="74"/>
        <v>0.21750000000000003</v>
      </c>
      <c r="AB114" s="6">
        <f>1+(5*(LOG10(G114/N114)))</f>
        <v>4.9967027472679089</v>
      </c>
      <c r="AC114" s="6">
        <f t="shared" si="66"/>
        <v>4.3697099931704386</v>
      </c>
      <c r="AD114" s="6">
        <f t="shared" si="74"/>
        <v>0</v>
      </c>
      <c r="AE114" s="6">
        <f t="shared" si="74"/>
        <v>1.7999999999999999E-2</v>
      </c>
      <c r="AF114" s="6">
        <f t="shared" si="74"/>
        <v>0</v>
      </c>
      <c r="AG114" s="21">
        <f t="shared" si="68"/>
        <v>2.0990060297868749</v>
      </c>
      <c r="AH114" s="22">
        <f t="shared" si="69"/>
        <v>5.0911294680697772</v>
      </c>
      <c r="AI114" s="23">
        <f t="shared" si="70"/>
        <v>4.4058263130816595</v>
      </c>
      <c r="AJ114" s="23">
        <f t="shared" si="70"/>
        <v>25.919599260648454</v>
      </c>
      <c r="AK114" s="24">
        <f t="shared" si="71"/>
        <v>3.8939328174565437</v>
      </c>
      <c r="AL114" s="64" t="str">
        <f t="shared" si="73"/>
        <v>ringan</v>
      </c>
    </row>
    <row r="115" spans="1:38" ht="17.25" thickBot="1" x14ac:dyDescent="0.35">
      <c r="A115" s="13">
        <v>114</v>
      </c>
      <c r="B115" s="62" t="s">
        <v>45</v>
      </c>
      <c r="C115" s="62"/>
      <c r="D115" s="63">
        <v>41792</v>
      </c>
      <c r="E115" s="11">
        <v>562</v>
      </c>
      <c r="F115" s="10">
        <v>1.34</v>
      </c>
      <c r="G115" s="10">
        <v>23.6</v>
      </c>
      <c r="H115" s="10">
        <v>91.9</v>
      </c>
      <c r="I115" s="10"/>
      <c r="J115" s="10">
        <v>20</v>
      </c>
      <c r="K115" s="10"/>
      <c r="L115" s="3">
        <v>50</v>
      </c>
      <c r="M115" s="3">
        <v>4</v>
      </c>
      <c r="N115" s="3">
        <v>3</v>
      </c>
      <c r="O115" s="3">
        <v>25</v>
      </c>
      <c r="P115" s="3">
        <v>0.2</v>
      </c>
      <c r="Q115" s="3">
        <v>1000</v>
      </c>
      <c r="R115" s="3">
        <v>5000</v>
      </c>
      <c r="S115" s="4">
        <f t="shared" si="63"/>
        <v>11.24</v>
      </c>
      <c r="T115" s="4">
        <f t="shared" si="67"/>
        <v>0.47166666666666668</v>
      </c>
      <c r="U115" s="4">
        <f t="shared" si="72"/>
        <v>7.8666666666666671</v>
      </c>
      <c r="V115" s="4">
        <f t="shared" si="72"/>
        <v>3.6760000000000002</v>
      </c>
      <c r="W115" s="5">
        <f t="shared" si="72"/>
        <v>0</v>
      </c>
      <c r="X115" s="4">
        <f t="shared" si="72"/>
        <v>0.02</v>
      </c>
      <c r="Y115" s="4">
        <f t="shared" si="72"/>
        <v>0</v>
      </c>
      <c r="Z115" s="6">
        <f t="shared" si="66"/>
        <v>6.2538315561652116</v>
      </c>
      <c r="AA115" s="6">
        <f t="shared" si="74"/>
        <v>0.47166666666666668</v>
      </c>
      <c r="AB115" s="6">
        <f t="shared" si="66"/>
        <v>5.4789537412522211</v>
      </c>
      <c r="AC115" s="6">
        <f t="shared" si="66"/>
        <v>3.8268775135703681</v>
      </c>
      <c r="AD115" s="6">
        <f t="shared" si="74"/>
        <v>0</v>
      </c>
      <c r="AE115" s="6">
        <f t="shared" si="74"/>
        <v>0.02</v>
      </c>
      <c r="AF115" s="6">
        <f t="shared" si="74"/>
        <v>0</v>
      </c>
      <c r="AG115" s="21">
        <f t="shared" si="68"/>
        <v>2.2930470682363522</v>
      </c>
      <c r="AH115" s="22">
        <f t="shared" si="69"/>
        <v>6.2538315561652116</v>
      </c>
      <c r="AI115" s="23">
        <f t="shared" si="70"/>
        <v>5.2580648571473301</v>
      </c>
      <c r="AJ115" s="23">
        <f t="shared" si="70"/>
        <v>39.110409132887789</v>
      </c>
      <c r="AK115" s="24">
        <f t="shared" si="71"/>
        <v>4.7100145429730427</v>
      </c>
      <c r="AL115" s="64" t="str">
        <f t="shared" si="73"/>
        <v>ringan</v>
      </c>
    </row>
    <row r="116" spans="1:38" ht="17.25" thickBot="1" x14ac:dyDescent="0.35">
      <c r="A116" s="13">
        <v>115</v>
      </c>
      <c r="B116" s="62" t="s">
        <v>23</v>
      </c>
      <c r="C116" s="62"/>
      <c r="D116" s="63">
        <v>41765</v>
      </c>
      <c r="E116" s="37">
        <v>134</v>
      </c>
      <c r="F116" s="10">
        <v>2.86</v>
      </c>
      <c r="G116" s="10">
        <v>11.6</v>
      </c>
      <c r="H116" s="10">
        <v>80.400000000000006</v>
      </c>
      <c r="I116" s="10"/>
      <c r="J116" s="10">
        <v>28</v>
      </c>
      <c r="K116" s="10"/>
      <c r="L116" s="3">
        <v>50</v>
      </c>
      <c r="M116" s="3">
        <v>4</v>
      </c>
      <c r="N116" s="3">
        <v>3</v>
      </c>
      <c r="O116" s="3">
        <v>25</v>
      </c>
      <c r="P116" s="3">
        <v>0.2</v>
      </c>
      <c r="Q116" s="3">
        <v>1000</v>
      </c>
      <c r="R116" s="3">
        <v>5000</v>
      </c>
      <c r="S116" s="4">
        <f t="shared" si="63"/>
        <v>2.68</v>
      </c>
      <c r="T116" s="4">
        <f t="shared" si="67"/>
        <v>0.34500000000000003</v>
      </c>
      <c r="U116" s="4">
        <f t="shared" si="72"/>
        <v>3.8666666666666667</v>
      </c>
      <c r="V116" s="4">
        <f t="shared" si="72"/>
        <v>3.2160000000000002</v>
      </c>
      <c r="W116" s="5">
        <f t="shared" si="72"/>
        <v>0</v>
      </c>
      <c r="X116" s="4">
        <f t="shared" si="72"/>
        <v>2.8000000000000001E-2</v>
      </c>
      <c r="Y116" s="4">
        <f t="shared" si="72"/>
        <v>0</v>
      </c>
      <c r="Z116" s="6">
        <f t="shared" si="66"/>
        <v>3.1406739701439443</v>
      </c>
      <c r="AA116" s="6">
        <f t="shared" si="74"/>
        <v>0.34500000000000003</v>
      </c>
      <c r="AB116" s="6">
        <f t="shared" si="66"/>
        <v>3.9366836725362804</v>
      </c>
      <c r="AC116" s="6">
        <f t="shared" si="66"/>
        <v>3.5365802003820686</v>
      </c>
      <c r="AD116" s="6">
        <f t="shared" si="74"/>
        <v>0</v>
      </c>
      <c r="AE116" s="6">
        <f t="shared" si="74"/>
        <v>2.8000000000000001E-2</v>
      </c>
      <c r="AF116" s="6">
        <f t="shared" si="74"/>
        <v>0</v>
      </c>
      <c r="AG116" s="21">
        <f t="shared" si="68"/>
        <v>1.5695625490088994</v>
      </c>
      <c r="AH116" s="22">
        <f t="shared" si="69"/>
        <v>3.9366836725362804</v>
      </c>
      <c r="AI116" s="23">
        <f t="shared" si="70"/>
        <v>2.4635265952513135</v>
      </c>
      <c r="AJ116" s="23">
        <f t="shared" si="70"/>
        <v>15.497478337613735</v>
      </c>
      <c r="AK116" s="24">
        <f t="shared" si="71"/>
        <v>2.996748649191741</v>
      </c>
      <c r="AL116" s="64" t="str">
        <f t="shared" si="73"/>
        <v>ringan</v>
      </c>
    </row>
    <row r="117" spans="1:38" ht="17.25" thickBot="1" x14ac:dyDescent="0.35">
      <c r="A117" s="13">
        <v>116</v>
      </c>
      <c r="B117" s="62" t="s">
        <v>25</v>
      </c>
      <c r="C117" s="62"/>
      <c r="D117" s="63">
        <v>41764</v>
      </c>
      <c r="E117" s="37">
        <v>260</v>
      </c>
      <c r="F117" s="10">
        <v>0.85799999999999998</v>
      </c>
      <c r="G117" s="10">
        <v>88.5</v>
      </c>
      <c r="H117" s="10">
        <v>196</v>
      </c>
      <c r="I117" s="10"/>
      <c r="J117" s="10">
        <v>120</v>
      </c>
      <c r="K117" s="10"/>
      <c r="L117" s="3">
        <v>50</v>
      </c>
      <c r="M117" s="3">
        <v>4</v>
      </c>
      <c r="N117" s="3">
        <v>3</v>
      </c>
      <c r="O117" s="3">
        <v>25</v>
      </c>
      <c r="P117" s="3">
        <v>0.2</v>
      </c>
      <c r="Q117" s="3">
        <v>1000</v>
      </c>
      <c r="R117" s="3">
        <v>5000</v>
      </c>
      <c r="S117" s="4">
        <f t="shared" si="63"/>
        <v>5.2</v>
      </c>
      <c r="T117" s="4">
        <f t="shared" si="67"/>
        <v>0.51183333333333336</v>
      </c>
      <c r="U117" s="4">
        <f t="shared" si="72"/>
        <v>29.5</v>
      </c>
      <c r="V117" s="4">
        <f t="shared" si="72"/>
        <v>7.84</v>
      </c>
      <c r="W117" s="5">
        <f t="shared" si="72"/>
        <v>0</v>
      </c>
      <c r="X117" s="4">
        <f t="shared" si="72"/>
        <v>0.12</v>
      </c>
      <c r="Y117" s="4">
        <f t="shared" si="72"/>
        <v>0</v>
      </c>
      <c r="Z117" s="6">
        <f t="shared" si="66"/>
        <v>4.5800167181739964</v>
      </c>
      <c r="AA117" s="6">
        <f t="shared" si="74"/>
        <v>0.51183333333333336</v>
      </c>
      <c r="AB117" s="6">
        <f t="shared" si="66"/>
        <v>8.3491100798908153</v>
      </c>
      <c r="AC117" s="6">
        <f t="shared" si="66"/>
        <v>5.4715803134221925</v>
      </c>
      <c r="AD117" s="6">
        <f t="shared" si="74"/>
        <v>0</v>
      </c>
      <c r="AE117" s="6">
        <f t="shared" si="74"/>
        <v>0.12</v>
      </c>
      <c r="AF117" s="6">
        <f t="shared" si="74"/>
        <v>0</v>
      </c>
      <c r="AG117" s="21">
        <f t="shared" si="68"/>
        <v>2.7189343492600484</v>
      </c>
      <c r="AH117" s="22">
        <f t="shared" si="69"/>
        <v>8.3491100798908153</v>
      </c>
      <c r="AI117" s="23">
        <f t="shared" si="70"/>
        <v>7.3926039955861631</v>
      </c>
      <c r="AJ117" s="23">
        <f t="shared" si="70"/>
        <v>69.70763912613441</v>
      </c>
      <c r="AK117" s="24">
        <f t="shared" si="71"/>
        <v>6.208874419801087</v>
      </c>
      <c r="AL117" s="65" t="str">
        <f t="shared" si="73"/>
        <v>sedang</v>
      </c>
    </row>
    <row r="118" spans="1:38" ht="17.25" thickBot="1" x14ac:dyDescent="0.35">
      <c r="A118" s="13">
        <v>117</v>
      </c>
      <c r="B118" s="62" t="s">
        <v>27</v>
      </c>
      <c r="C118" s="62"/>
      <c r="D118" s="63">
        <v>41792</v>
      </c>
      <c r="E118" s="37">
        <v>542</v>
      </c>
      <c r="F118" s="10">
        <v>0</v>
      </c>
      <c r="G118" s="10">
        <v>47.1</v>
      </c>
      <c r="H118" s="10">
        <v>190</v>
      </c>
      <c r="I118" s="10"/>
      <c r="J118" s="10">
        <v>43</v>
      </c>
      <c r="K118" s="10"/>
      <c r="L118" s="3">
        <v>50</v>
      </c>
      <c r="M118" s="3">
        <v>4</v>
      </c>
      <c r="N118" s="3">
        <v>3</v>
      </c>
      <c r="O118" s="3">
        <v>25</v>
      </c>
      <c r="P118" s="3">
        <v>0.2</v>
      </c>
      <c r="Q118" s="3">
        <v>1000</v>
      </c>
      <c r="R118" s="3">
        <v>5000</v>
      </c>
      <c r="S118" s="4">
        <f t="shared" si="63"/>
        <v>10.84</v>
      </c>
      <c r="T118" s="4">
        <f t="shared" si="67"/>
        <v>0.58333333333333337</v>
      </c>
      <c r="U118" s="4">
        <f t="shared" si="72"/>
        <v>15.700000000000001</v>
      </c>
      <c r="V118" s="4">
        <f t="shared" si="72"/>
        <v>7.6</v>
      </c>
      <c r="W118" s="5">
        <f t="shared" si="72"/>
        <v>0</v>
      </c>
      <c r="X118" s="4">
        <f t="shared" si="72"/>
        <v>4.2999999999999997E-2</v>
      </c>
      <c r="Y118" s="4">
        <f t="shared" si="72"/>
        <v>0</v>
      </c>
      <c r="Z118" s="6">
        <f t="shared" si="66"/>
        <v>6.1751464110118404</v>
      </c>
      <c r="AA118" s="6">
        <f t="shared" si="74"/>
        <v>0.58333333333333337</v>
      </c>
      <c r="AB118" s="6">
        <f t="shared" si="66"/>
        <v>6.9794982620461692</v>
      </c>
      <c r="AC118" s="6">
        <f t="shared" si="66"/>
        <v>5.4040679614039568</v>
      </c>
      <c r="AD118" s="6">
        <f t="shared" si="74"/>
        <v>0</v>
      </c>
      <c r="AE118" s="6">
        <f t="shared" si="74"/>
        <v>4.2999999999999997E-2</v>
      </c>
      <c r="AF118" s="6">
        <f t="shared" si="74"/>
        <v>0</v>
      </c>
      <c r="AG118" s="21">
        <f t="shared" si="68"/>
        <v>2.7407208525421853</v>
      </c>
      <c r="AH118" s="22">
        <f t="shared" si="69"/>
        <v>6.9794982620461692</v>
      </c>
      <c r="AI118" s="23">
        <f t="shared" si="70"/>
        <v>7.5115507915595634</v>
      </c>
      <c r="AJ118" s="23">
        <f t="shared" si="70"/>
        <v>48.713395989905493</v>
      </c>
      <c r="AK118" s="24">
        <f t="shared" si="71"/>
        <v>5.3021197073182469</v>
      </c>
      <c r="AL118" s="65" t="str">
        <f t="shared" si="73"/>
        <v>sedang</v>
      </c>
    </row>
    <row r="119" spans="1:38" ht="17.25" thickBot="1" x14ac:dyDescent="0.35">
      <c r="A119" s="13">
        <v>118</v>
      </c>
      <c r="B119" s="62" t="s">
        <v>35</v>
      </c>
      <c r="C119" s="62"/>
      <c r="D119" s="63">
        <v>41766</v>
      </c>
      <c r="E119" s="37">
        <v>327</v>
      </c>
      <c r="F119" s="10">
        <v>0</v>
      </c>
      <c r="G119" s="10">
        <v>44.8</v>
      </c>
      <c r="H119" s="10">
        <v>340</v>
      </c>
      <c r="I119" s="10"/>
      <c r="J119" s="10">
        <v>1100</v>
      </c>
      <c r="K119" s="10"/>
      <c r="L119" s="3">
        <v>50</v>
      </c>
      <c r="M119" s="3">
        <v>4</v>
      </c>
      <c r="N119" s="3">
        <v>3</v>
      </c>
      <c r="O119" s="3">
        <v>25</v>
      </c>
      <c r="P119" s="3">
        <v>0.2</v>
      </c>
      <c r="Q119" s="3">
        <v>1000</v>
      </c>
      <c r="R119" s="3">
        <v>5000</v>
      </c>
      <c r="S119" s="4">
        <f t="shared" si="63"/>
        <v>6.54</v>
      </c>
      <c r="T119" s="4">
        <f t="shared" si="67"/>
        <v>0.58333333333333337</v>
      </c>
      <c r="U119" s="4">
        <f t="shared" si="72"/>
        <v>14.933333333333332</v>
      </c>
      <c r="V119" s="4">
        <f t="shared" si="72"/>
        <v>13.6</v>
      </c>
      <c r="W119" s="5">
        <f t="shared" si="72"/>
        <v>0</v>
      </c>
      <c r="X119" s="4">
        <f t="shared" si="72"/>
        <v>1.1000000000000001</v>
      </c>
      <c r="Y119" s="4">
        <f t="shared" si="72"/>
        <v>0</v>
      </c>
      <c r="Z119" s="6">
        <f t="shared" si="66"/>
        <v>5.0778887416213365</v>
      </c>
      <c r="AA119" s="6">
        <f t="shared" si="74"/>
        <v>0.58333333333333337</v>
      </c>
      <c r="AB119" s="6">
        <f t="shared" si="66"/>
        <v>6.8707837963924083</v>
      </c>
      <c r="AC119" s="6">
        <f t="shared" si="66"/>
        <v>6.6676945418510876</v>
      </c>
      <c r="AD119" s="6">
        <f t="shared" si="74"/>
        <v>0</v>
      </c>
      <c r="AE119" s="6">
        <f t="shared" si="74"/>
        <v>1.1000000000000001</v>
      </c>
      <c r="AF119" s="6">
        <f t="shared" si="74"/>
        <v>0</v>
      </c>
      <c r="AG119" s="21">
        <f t="shared" si="68"/>
        <v>2.8999572018854525</v>
      </c>
      <c r="AH119" s="22">
        <f t="shared" si="69"/>
        <v>6.8707837963924083</v>
      </c>
      <c r="AI119" s="23">
        <f t="shared" si="70"/>
        <v>8.4097517727673026</v>
      </c>
      <c r="AJ119" s="23">
        <f t="shared" si="70"/>
        <v>47.207669976768479</v>
      </c>
      <c r="AK119" s="24">
        <f t="shared" si="71"/>
        <v>5.2733965216706293</v>
      </c>
      <c r="AL119" s="65" t="str">
        <f t="shared" si="73"/>
        <v>sedang</v>
      </c>
    </row>
    <row r="120" spans="1:38" ht="17.25" thickBot="1" x14ac:dyDescent="0.35">
      <c r="A120" s="13">
        <v>119</v>
      </c>
      <c r="B120" s="62" t="s">
        <v>37</v>
      </c>
      <c r="C120" s="62"/>
      <c r="D120" s="63">
        <v>41767</v>
      </c>
      <c r="E120" s="37">
        <v>596</v>
      </c>
      <c r="F120" s="10">
        <v>2.2200000000000002</v>
      </c>
      <c r="G120" s="10">
        <v>1.87</v>
      </c>
      <c r="H120" s="10">
        <v>395</v>
      </c>
      <c r="I120" s="10"/>
      <c r="J120" s="10">
        <v>20</v>
      </c>
      <c r="K120" s="10"/>
      <c r="L120" s="3">
        <v>50</v>
      </c>
      <c r="M120" s="3">
        <v>4</v>
      </c>
      <c r="N120" s="3">
        <v>3</v>
      </c>
      <c r="O120" s="3">
        <v>25</v>
      </c>
      <c r="P120" s="3">
        <v>0.2</v>
      </c>
      <c r="Q120" s="3">
        <v>1000</v>
      </c>
      <c r="R120" s="3">
        <v>5000</v>
      </c>
      <c r="S120" s="4">
        <f t="shared" si="63"/>
        <v>11.92</v>
      </c>
      <c r="T120" s="4">
        <f t="shared" si="67"/>
        <v>0.39833333333333326</v>
      </c>
      <c r="U120" s="4">
        <f t="shared" si="72"/>
        <v>0.62333333333333341</v>
      </c>
      <c r="V120" s="4">
        <f t="shared" si="72"/>
        <v>15.8</v>
      </c>
      <c r="W120" s="5">
        <f t="shared" si="72"/>
        <v>0</v>
      </c>
      <c r="X120" s="4">
        <f t="shared" si="72"/>
        <v>0.02</v>
      </c>
      <c r="Y120" s="4">
        <f t="shared" si="72"/>
        <v>0</v>
      </c>
      <c r="Z120" s="6">
        <f t="shared" si="66"/>
        <v>6.381381277021088</v>
      </c>
      <c r="AA120" s="6">
        <f t="shared" si="74"/>
        <v>0.39833333333333326</v>
      </c>
      <c r="AB120" s="6">
        <f t="shared" si="74"/>
        <v>0.62333333333333341</v>
      </c>
      <c r="AC120" s="6">
        <f t="shared" si="66"/>
        <v>6.9932854347721136</v>
      </c>
      <c r="AD120" s="6">
        <f t="shared" si="74"/>
        <v>0</v>
      </c>
      <c r="AE120" s="6">
        <f t="shared" si="74"/>
        <v>0.02</v>
      </c>
      <c r="AF120" s="6">
        <f t="shared" si="74"/>
        <v>0</v>
      </c>
      <c r="AG120" s="21">
        <f t="shared" si="68"/>
        <v>2.0594761969228381</v>
      </c>
      <c r="AH120" s="22">
        <f t="shared" si="69"/>
        <v>6.9932854347721136</v>
      </c>
      <c r="AI120" s="23">
        <f t="shared" si="70"/>
        <v>4.2414422056917571</v>
      </c>
      <c r="AJ120" s="23">
        <f t="shared" si="70"/>
        <v>48.906041172195792</v>
      </c>
      <c r="AK120" s="24">
        <f t="shared" si="71"/>
        <v>5.1549725206778527</v>
      </c>
      <c r="AL120" s="65" t="str">
        <f t="shared" si="73"/>
        <v>sedang</v>
      </c>
    </row>
    <row r="121" spans="1:38" ht="17.25" thickBot="1" x14ac:dyDescent="0.35">
      <c r="A121" s="13">
        <v>120</v>
      </c>
      <c r="B121" s="62" t="s">
        <v>51</v>
      </c>
      <c r="C121" s="62"/>
      <c r="D121" s="63">
        <v>41792</v>
      </c>
      <c r="E121" s="37">
        <v>1510</v>
      </c>
      <c r="F121" s="10">
        <v>1.08</v>
      </c>
      <c r="G121" s="10">
        <v>93.6</v>
      </c>
      <c r="H121" s="10">
        <v>290</v>
      </c>
      <c r="I121" s="10"/>
      <c r="J121" s="10">
        <v>210</v>
      </c>
      <c r="K121" s="10"/>
      <c r="L121" s="3">
        <v>50</v>
      </c>
      <c r="M121" s="3">
        <v>4</v>
      </c>
      <c r="N121" s="3">
        <v>3</v>
      </c>
      <c r="O121" s="3">
        <v>25</v>
      </c>
      <c r="P121" s="3">
        <v>0.2</v>
      </c>
      <c r="Q121" s="3">
        <v>1000</v>
      </c>
      <c r="R121" s="3">
        <v>5000</v>
      </c>
      <c r="S121" s="4">
        <f t="shared" si="63"/>
        <v>30.2</v>
      </c>
      <c r="T121" s="4">
        <f>((7-F121)/(7-M121))/M121</f>
        <v>0.49333333333333335</v>
      </c>
      <c r="U121" s="4">
        <f t="shared" si="72"/>
        <v>31.2</v>
      </c>
      <c r="V121" s="4">
        <f t="shared" si="72"/>
        <v>11.6</v>
      </c>
      <c r="W121" s="5">
        <f t="shared" si="72"/>
        <v>0</v>
      </c>
      <c r="X121" s="4">
        <f t="shared" si="72"/>
        <v>0.21</v>
      </c>
      <c r="Y121" s="4">
        <f t="shared" si="72"/>
        <v>0</v>
      </c>
      <c r="Z121" s="6">
        <f t="shared" si="66"/>
        <v>8.4000347147857521</v>
      </c>
      <c r="AA121" s="6">
        <f t="shared" si="74"/>
        <v>0.49333333333333335</v>
      </c>
      <c r="AB121" s="6">
        <f t="shared" si="66"/>
        <v>8.4707729700922147</v>
      </c>
      <c r="AC121" s="6">
        <f t="shared" si="66"/>
        <v>6.3222899461345916</v>
      </c>
      <c r="AD121" s="6">
        <f t="shared" si="74"/>
        <v>0</v>
      </c>
      <c r="AE121" s="6">
        <f t="shared" si="74"/>
        <v>0.21</v>
      </c>
      <c r="AF121" s="6">
        <f t="shared" si="74"/>
        <v>0</v>
      </c>
      <c r="AG121" s="21">
        <f t="shared" si="68"/>
        <v>3.413775852049413</v>
      </c>
      <c r="AH121" s="22">
        <f t="shared" si="69"/>
        <v>8.4707729700922147</v>
      </c>
      <c r="AI121" s="23">
        <f t="shared" si="70"/>
        <v>11.653865568035696</v>
      </c>
      <c r="AJ121" s="23">
        <f t="shared" si="70"/>
        <v>71.753994710844879</v>
      </c>
      <c r="AK121" s="24">
        <f t="shared" si="71"/>
        <v>6.4578580148095766</v>
      </c>
      <c r="AL121" s="65" t="str">
        <f t="shared" si="73"/>
        <v>sedang</v>
      </c>
    </row>
    <row r="122" spans="1:38" ht="17.25" thickBot="1" x14ac:dyDescent="0.35">
      <c r="A122" s="13">
        <v>121</v>
      </c>
      <c r="B122" s="62" t="s">
        <v>17</v>
      </c>
      <c r="C122" s="62"/>
      <c r="D122" s="63">
        <v>42289</v>
      </c>
      <c r="E122" s="37">
        <v>105</v>
      </c>
      <c r="F122" s="10">
        <v>7.82</v>
      </c>
      <c r="G122" s="10">
        <v>2</v>
      </c>
      <c r="H122" s="10">
        <v>18.399999999999999</v>
      </c>
      <c r="I122" s="10"/>
      <c r="J122" s="10">
        <v>18</v>
      </c>
      <c r="K122" s="10">
        <v>75</v>
      </c>
      <c r="L122" s="3">
        <v>50</v>
      </c>
      <c r="M122" s="3">
        <v>4</v>
      </c>
      <c r="N122" s="3">
        <v>3</v>
      </c>
      <c r="O122" s="3">
        <v>25</v>
      </c>
      <c r="P122" s="3">
        <v>0.2</v>
      </c>
      <c r="Q122" s="3">
        <v>1000</v>
      </c>
      <c r="R122" s="3">
        <v>5000</v>
      </c>
      <c r="S122" s="4">
        <f t="shared" si="63"/>
        <v>2.1</v>
      </c>
      <c r="T122" s="4">
        <f t="shared" si="67"/>
        <v>-6.8333333333333357E-2</v>
      </c>
      <c r="U122" s="4">
        <f t="shared" si="72"/>
        <v>0.66666666666666663</v>
      </c>
      <c r="V122" s="4">
        <f t="shared" si="72"/>
        <v>0.73599999999999999</v>
      </c>
      <c r="W122" s="5">
        <f t="shared" si="72"/>
        <v>0</v>
      </c>
      <c r="X122" s="4">
        <f t="shared" si="72"/>
        <v>1.7999999999999999E-2</v>
      </c>
      <c r="Y122" s="4">
        <f t="shared" si="72"/>
        <v>1.4999999999999999E-2</v>
      </c>
      <c r="Z122" s="6">
        <f t="shared" si="66"/>
        <v>2.6110964736695967</v>
      </c>
      <c r="AA122" s="6">
        <f t="shared" si="66"/>
        <v>2.4557338086594283</v>
      </c>
      <c r="AB122" s="6">
        <f t="shared" si="74"/>
        <v>0.66666666666666663</v>
      </c>
      <c r="AC122" s="6">
        <f t="shared" si="74"/>
        <v>0.73599999999999999</v>
      </c>
      <c r="AD122" s="6">
        <f t="shared" si="74"/>
        <v>0</v>
      </c>
      <c r="AE122" s="6">
        <f t="shared" si="74"/>
        <v>1.7999999999999999E-2</v>
      </c>
      <c r="AF122" s="6">
        <f t="shared" si="74"/>
        <v>1.4999999999999999E-2</v>
      </c>
      <c r="AG122" s="21">
        <f t="shared" si="68"/>
        <v>0.92892813557081311</v>
      </c>
      <c r="AH122" s="22">
        <f t="shared" si="69"/>
        <v>2.6110964736695967</v>
      </c>
      <c r="AI122" s="23">
        <f t="shared" si="70"/>
        <v>0.86290748105506698</v>
      </c>
      <c r="AJ122" s="23">
        <f t="shared" si="70"/>
        <v>6.8178247948098027</v>
      </c>
      <c r="AK122" s="24">
        <f t="shared" si="71"/>
        <v>1.9596852139903578</v>
      </c>
      <c r="AL122" s="64" t="str">
        <f t="shared" si="73"/>
        <v>ringan</v>
      </c>
    </row>
    <row r="123" spans="1:38" ht="17.25" thickBot="1" x14ac:dyDescent="0.35">
      <c r="A123" s="13">
        <v>122</v>
      </c>
      <c r="B123" s="62" t="s">
        <v>49</v>
      </c>
      <c r="C123" s="62"/>
      <c r="D123" s="63">
        <v>42289</v>
      </c>
      <c r="E123" s="37">
        <v>181</v>
      </c>
      <c r="F123" s="10">
        <v>2.16</v>
      </c>
      <c r="G123" s="10">
        <v>5.73</v>
      </c>
      <c r="H123" s="10">
        <v>35.6</v>
      </c>
      <c r="I123" s="10"/>
      <c r="J123" s="10">
        <v>28</v>
      </c>
      <c r="K123" s="10">
        <v>150</v>
      </c>
      <c r="L123" s="3">
        <v>50</v>
      </c>
      <c r="M123" s="3">
        <v>4</v>
      </c>
      <c r="N123" s="3">
        <v>3</v>
      </c>
      <c r="O123" s="3">
        <v>25</v>
      </c>
      <c r="P123" s="3">
        <v>0.2</v>
      </c>
      <c r="Q123" s="3">
        <v>1000</v>
      </c>
      <c r="R123" s="3">
        <v>5000</v>
      </c>
      <c r="S123" s="4">
        <f t="shared" si="63"/>
        <v>3.62</v>
      </c>
      <c r="T123" s="4">
        <f t="shared" si="67"/>
        <v>0.40333333333333332</v>
      </c>
      <c r="U123" s="4">
        <f t="shared" si="72"/>
        <v>1.9100000000000001</v>
      </c>
      <c r="V123" s="4">
        <f t="shared" si="72"/>
        <v>1.4240000000000002</v>
      </c>
      <c r="W123" s="5">
        <f t="shared" si="72"/>
        <v>0</v>
      </c>
      <c r="X123" s="4">
        <f t="shared" si="72"/>
        <v>2.8000000000000001E-2</v>
      </c>
      <c r="Y123" s="4">
        <f t="shared" si="72"/>
        <v>0.03</v>
      </c>
      <c r="Z123" s="6">
        <f t="shared" si="66"/>
        <v>3.7935428526658286</v>
      </c>
      <c r="AA123" s="6">
        <f t="shared" ref="AA123:AA136" si="75">T123</f>
        <v>0.40333333333333332</v>
      </c>
      <c r="AB123" s="6">
        <f t="shared" si="66"/>
        <v>2.4051668362386378</v>
      </c>
      <c r="AC123" s="6">
        <f t="shared" si="66"/>
        <v>1.7675499465041882</v>
      </c>
      <c r="AD123" s="6">
        <f t="shared" si="74"/>
        <v>0</v>
      </c>
      <c r="AE123" s="6">
        <f t="shared" si="74"/>
        <v>2.8000000000000001E-2</v>
      </c>
      <c r="AF123" s="6">
        <f t="shared" si="74"/>
        <v>0.03</v>
      </c>
      <c r="AG123" s="21">
        <f t="shared" si="68"/>
        <v>1.203941852677427</v>
      </c>
      <c r="AH123" s="22">
        <f t="shared" si="69"/>
        <v>3.7935428526658286</v>
      </c>
      <c r="AI123" s="23">
        <f t="shared" si="70"/>
        <v>1.4494759846283554</v>
      </c>
      <c r="AJ123" s="23">
        <f t="shared" si="70"/>
        <v>14.390967375011993</v>
      </c>
      <c r="AK123" s="24">
        <f t="shared" si="71"/>
        <v>2.8142888408655167</v>
      </c>
      <c r="AL123" s="64" t="str">
        <f t="shared" si="73"/>
        <v>ringan</v>
      </c>
    </row>
    <row r="124" spans="1:38" ht="17.25" thickBot="1" x14ac:dyDescent="0.35">
      <c r="A124" s="13">
        <v>123</v>
      </c>
      <c r="B124" s="62" t="s">
        <v>50</v>
      </c>
      <c r="C124" s="62"/>
      <c r="D124" s="63">
        <v>42296</v>
      </c>
      <c r="E124" s="37">
        <v>1776</v>
      </c>
      <c r="F124" s="10">
        <v>0</v>
      </c>
      <c r="G124" s="10">
        <v>106</v>
      </c>
      <c r="H124" s="10">
        <v>762</v>
      </c>
      <c r="I124" s="10"/>
      <c r="J124" s="10">
        <v>150</v>
      </c>
      <c r="K124" s="10">
        <v>1100</v>
      </c>
      <c r="L124" s="3">
        <v>50</v>
      </c>
      <c r="M124" s="3">
        <v>4</v>
      </c>
      <c r="N124" s="3">
        <v>3</v>
      </c>
      <c r="O124" s="3">
        <v>25</v>
      </c>
      <c r="P124" s="3">
        <v>0.2</v>
      </c>
      <c r="Q124" s="3">
        <v>1000</v>
      </c>
      <c r="R124" s="3">
        <v>5000</v>
      </c>
      <c r="S124" s="4">
        <f t="shared" si="63"/>
        <v>35.520000000000003</v>
      </c>
      <c r="T124" s="4">
        <f t="shared" si="67"/>
        <v>0.58333333333333337</v>
      </c>
      <c r="U124" s="4">
        <f t="shared" si="72"/>
        <v>35.333333333333336</v>
      </c>
      <c r="V124" s="4">
        <f t="shared" si="72"/>
        <v>30.48</v>
      </c>
      <c r="W124" s="5">
        <f t="shared" si="72"/>
        <v>0</v>
      </c>
      <c r="X124" s="4">
        <f t="shared" si="72"/>
        <v>0.15</v>
      </c>
      <c r="Y124" s="4">
        <f t="shared" si="72"/>
        <v>0.22</v>
      </c>
      <c r="Z124" s="6">
        <f t="shared" si="66"/>
        <v>8.7523647855328175</v>
      </c>
      <c r="AA124" s="6">
        <f t="shared" si="75"/>
        <v>0.58333333333333337</v>
      </c>
      <c r="AB124" s="6">
        <f t="shared" si="66"/>
        <v>8.7409230527255382</v>
      </c>
      <c r="AC124" s="6">
        <f t="shared" si="66"/>
        <v>8.4200748133378145</v>
      </c>
      <c r="AD124" s="6">
        <f t="shared" si="74"/>
        <v>0</v>
      </c>
      <c r="AE124" s="6">
        <f t="shared" si="74"/>
        <v>0.15</v>
      </c>
      <c r="AF124" s="6">
        <f t="shared" si="74"/>
        <v>0.22</v>
      </c>
      <c r="AG124" s="21">
        <f t="shared" si="68"/>
        <v>3.8380994264184998</v>
      </c>
      <c r="AH124" s="22">
        <f t="shared" si="69"/>
        <v>8.7523647855328175</v>
      </c>
      <c r="AI124" s="23">
        <f t="shared" si="70"/>
        <v>14.731007207074017</v>
      </c>
      <c r="AJ124" s="23">
        <f t="shared" si="70"/>
        <v>76.603889339034922</v>
      </c>
      <c r="AK124" s="24">
        <f t="shared" si="71"/>
        <v>6.7577694746901855</v>
      </c>
      <c r="AL124" s="65" t="str">
        <f t="shared" si="73"/>
        <v>sedang</v>
      </c>
    </row>
    <row r="125" spans="1:38" ht="17.25" thickBot="1" x14ac:dyDescent="0.35">
      <c r="A125" s="13">
        <v>124</v>
      </c>
      <c r="B125" s="62" t="s">
        <v>29</v>
      </c>
      <c r="C125" s="62"/>
      <c r="D125" s="63">
        <v>42289</v>
      </c>
      <c r="E125" s="37">
        <v>492</v>
      </c>
      <c r="F125" s="10">
        <v>0</v>
      </c>
      <c r="G125" s="10">
        <v>76.8</v>
      </c>
      <c r="H125" s="10">
        <v>202</v>
      </c>
      <c r="I125" s="10"/>
      <c r="J125" s="10">
        <v>93</v>
      </c>
      <c r="K125" s="10">
        <v>150</v>
      </c>
      <c r="L125" s="3">
        <v>50</v>
      </c>
      <c r="M125" s="3">
        <v>4</v>
      </c>
      <c r="N125" s="3">
        <v>3</v>
      </c>
      <c r="O125" s="3">
        <v>25</v>
      </c>
      <c r="P125" s="3">
        <v>0.2</v>
      </c>
      <c r="Q125" s="3">
        <v>1000</v>
      </c>
      <c r="R125" s="3">
        <v>5000</v>
      </c>
      <c r="S125" s="4">
        <f t="shared" si="63"/>
        <v>9.84</v>
      </c>
      <c r="T125" s="4">
        <f t="shared" si="67"/>
        <v>0.58333333333333337</v>
      </c>
      <c r="U125" s="4">
        <f t="shared" si="72"/>
        <v>25.599999999999998</v>
      </c>
      <c r="V125" s="4">
        <f>H125/O125</f>
        <v>8.08</v>
      </c>
      <c r="W125" s="5">
        <f t="shared" si="72"/>
        <v>0</v>
      </c>
      <c r="X125" s="4">
        <f t="shared" si="72"/>
        <v>9.2999999999999999E-2</v>
      </c>
      <c r="Y125" s="4">
        <f t="shared" si="72"/>
        <v>0.03</v>
      </c>
      <c r="Z125" s="6">
        <f t="shared" si="66"/>
        <v>5.9649754921567073</v>
      </c>
      <c r="AA125" s="6">
        <f t="shared" si="75"/>
        <v>0.58333333333333337</v>
      </c>
      <c r="AB125" s="6">
        <f t="shared" si="66"/>
        <v>8.0411998265592484</v>
      </c>
      <c r="AC125" s="6">
        <f t="shared" si="66"/>
        <v>5.5370568038729306</v>
      </c>
      <c r="AD125" s="6">
        <f t="shared" si="74"/>
        <v>0</v>
      </c>
      <c r="AE125" s="6">
        <f t="shared" si="74"/>
        <v>9.2999999999999999E-2</v>
      </c>
      <c r="AF125" s="6">
        <f t="shared" si="74"/>
        <v>0.03</v>
      </c>
      <c r="AG125" s="21">
        <f t="shared" si="68"/>
        <v>2.8927950651317458</v>
      </c>
      <c r="AH125" s="22">
        <f t="shared" si="69"/>
        <v>8.0411998265592484</v>
      </c>
      <c r="AI125" s="23">
        <f t="shared" si="70"/>
        <v>8.3682632888505815</v>
      </c>
      <c r="AJ125" s="23">
        <f t="shared" si="70"/>
        <v>64.660894650656488</v>
      </c>
      <c r="AK125" s="24">
        <f t="shared" si="71"/>
        <v>6.042729430460505</v>
      </c>
      <c r="AL125" s="65" t="str">
        <f t="shared" si="73"/>
        <v>sedang</v>
      </c>
    </row>
    <row r="126" spans="1:38" ht="17.25" thickBot="1" x14ac:dyDescent="0.35">
      <c r="A126" s="13">
        <v>125</v>
      </c>
      <c r="B126" s="62" t="s">
        <v>31</v>
      </c>
      <c r="C126" s="62"/>
      <c r="D126" s="63">
        <v>42285</v>
      </c>
      <c r="E126" s="37">
        <v>2350</v>
      </c>
      <c r="F126" s="10">
        <v>1.18</v>
      </c>
      <c r="G126" s="10">
        <v>118</v>
      </c>
      <c r="H126" s="10">
        <v>410</v>
      </c>
      <c r="I126" s="10"/>
      <c r="J126" s="10">
        <v>43</v>
      </c>
      <c r="K126" s="10">
        <v>460</v>
      </c>
      <c r="L126" s="3">
        <v>50</v>
      </c>
      <c r="M126" s="3">
        <v>4</v>
      </c>
      <c r="N126" s="3">
        <v>3</v>
      </c>
      <c r="O126" s="3">
        <v>25</v>
      </c>
      <c r="P126" s="3">
        <v>0.2</v>
      </c>
      <c r="Q126" s="3">
        <v>1000</v>
      </c>
      <c r="R126" s="3">
        <v>5000</v>
      </c>
      <c r="S126" s="4">
        <f t="shared" si="63"/>
        <v>47</v>
      </c>
      <c r="T126" s="4">
        <f t="shared" si="67"/>
        <v>0.48500000000000004</v>
      </c>
      <c r="U126" s="4">
        <f t="shared" si="72"/>
        <v>39.333333333333336</v>
      </c>
      <c r="V126" s="4">
        <f>H126/O126</f>
        <v>16.399999999999999</v>
      </c>
      <c r="W126" s="5">
        <f t="shared" si="72"/>
        <v>0</v>
      </c>
      <c r="X126" s="4">
        <f t="shared" si="72"/>
        <v>4.2999999999999997E-2</v>
      </c>
      <c r="Y126" s="4">
        <f t="shared" si="72"/>
        <v>9.1999999999999998E-2</v>
      </c>
      <c r="Z126" s="6">
        <f t="shared" si="66"/>
        <v>9.3604892896785881</v>
      </c>
      <c r="AA126" s="6">
        <f t="shared" si="75"/>
        <v>0.48500000000000004</v>
      </c>
      <c r="AB126" s="6">
        <f t="shared" si="66"/>
        <v>8.9738037629323149</v>
      </c>
      <c r="AC126" s="6">
        <f>1+(5*(LOG10(H126/O126)))</f>
        <v>7.0742192402384889</v>
      </c>
      <c r="AD126" s="6">
        <f t="shared" si="74"/>
        <v>0</v>
      </c>
      <c r="AE126" s="6">
        <f t="shared" si="74"/>
        <v>4.2999999999999997E-2</v>
      </c>
      <c r="AF126" s="6">
        <f t="shared" si="74"/>
        <v>9.1999999999999998E-2</v>
      </c>
      <c r="AG126" s="21">
        <f t="shared" si="68"/>
        <v>3.7183588989784839</v>
      </c>
      <c r="AH126" s="22">
        <f t="shared" si="69"/>
        <v>9.3604892896785881</v>
      </c>
      <c r="AI126" s="23">
        <f t="shared" si="70"/>
        <v>13.826192901612483</v>
      </c>
      <c r="AJ126" s="23">
        <f t="shared" si="70"/>
        <v>87.618759742187564</v>
      </c>
      <c r="AK126" s="24">
        <f t="shared" si="71"/>
        <v>7.121971378902054</v>
      </c>
      <c r="AL126" s="65" t="str">
        <f t="shared" si="73"/>
        <v>sedang</v>
      </c>
    </row>
    <row r="127" spans="1:38" ht="17.25" thickBot="1" x14ac:dyDescent="0.35">
      <c r="A127" s="13">
        <v>126</v>
      </c>
      <c r="B127" s="62" t="s">
        <v>33</v>
      </c>
      <c r="C127" s="62"/>
      <c r="D127" s="63">
        <v>42296</v>
      </c>
      <c r="E127" s="37">
        <v>1680</v>
      </c>
      <c r="F127" s="10">
        <v>0</v>
      </c>
      <c r="G127" s="10">
        <v>282</v>
      </c>
      <c r="H127" s="10">
        <v>763</v>
      </c>
      <c r="I127" s="10"/>
      <c r="J127" s="10">
        <v>20</v>
      </c>
      <c r="K127" s="10">
        <v>210</v>
      </c>
      <c r="L127" s="3">
        <v>50</v>
      </c>
      <c r="M127" s="3">
        <v>4</v>
      </c>
      <c r="N127" s="3">
        <v>3</v>
      </c>
      <c r="O127" s="3">
        <v>25</v>
      </c>
      <c r="P127" s="3">
        <v>0.2</v>
      </c>
      <c r="Q127" s="3">
        <v>1000</v>
      </c>
      <c r="R127" s="3">
        <v>5000</v>
      </c>
      <c r="S127" s="4">
        <f t="shared" si="63"/>
        <v>33.6</v>
      </c>
      <c r="T127" s="4">
        <f t="shared" si="67"/>
        <v>0.58333333333333337</v>
      </c>
      <c r="U127" s="4">
        <f t="shared" si="72"/>
        <v>94</v>
      </c>
      <c r="V127" s="4">
        <f t="shared" si="72"/>
        <v>30.52</v>
      </c>
      <c r="W127" s="5">
        <f t="shared" si="72"/>
        <v>0</v>
      </c>
      <c r="X127" s="4">
        <f t="shared" si="72"/>
        <v>0.02</v>
      </c>
      <c r="Y127" s="4">
        <f t="shared" si="72"/>
        <v>4.2000000000000003E-2</v>
      </c>
      <c r="Z127" s="6">
        <f t="shared" si="66"/>
        <v>8.6316963869492209</v>
      </c>
      <c r="AA127" s="6">
        <f t="shared" si="75"/>
        <v>0.58333333333333337</v>
      </c>
      <c r="AB127" s="6">
        <f t="shared" si="66"/>
        <v>10.865639267998493</v>
      </c>
      <c r="AC127" s="6">
        <f>1+(5*(LOG10(H127/O127)))</f>
        <v>8.4229226464142144</v>
      </c>
      <c r="AD127" s="6">
        <f t="shared" si="74"/>
        <v>0</v>
      </c>
      <c r="AE127" s="6">
        <f t="shared" si="74"/>
        <v>0.02</v>
      </c>
      <c r="AF127" s="6">
        <f t="shared" si="74"/>
        <v>4.2000000000000003E-2</v>
      </c>
      <c r="AG127" s="21">
        <f t="shared" si="68"/>
        <v>4.0807988049564665</v>
      </c>
      <c r="AH127" s="22">
        <f t="shared" si="69"/>
        <v>10.865639267998493</v>
      </c>
      <c r="AI127" s="23">
        <f t="shared" si="70"/>
        <v>16.652918886534124</v>
      </c>
      <c r="AJ127" s="23">
        <f t="shared" si="70"/>
        <v>118.06211670227081</v>
      </c>
      <c r="AK127" s="24">
        <f t="shared" si="71"/>
        <v>8.207162590956905</v>
      </c>
      <c r="AL127" s="65" t="str">
        <f t="shared" si="73"/>
        <v>sedang</v>
      </c>
    </row>
    <row r="128" spans="1:38" ht="17.25" thickBot="1" x14ac:dyDescent="0.35">
      <c r="A128" s="13">
        <v>127</v>
      </c>
      <c r="B128" s="62" t="s">
        <v>41</v>
      </c>
      <c r="C128" s="62"/>
      <c r="D128" s="63">
        <v>42285</v>
      </c>
      <c r="E128" s="37">
        <v>386</v>
      </c>
      <c r="F128" s="10">
        <v>2.98</v>
      </c>
      <c r="G128" s="10">
        <v>23.1</v>
      </c>
      <c r="H128" s="10">
        <v>118</v>
      </c>
      <c r="I128" s="10"/>
      <c r="J128" s="10">
        <v>150</v>
      </c>
      <c r="K128" s="10">
        <v>210</v>
      </c>
      <c r="L128" s="3">
        <v>50</v>
      </c>
      <c r="M128" s="3">
        <v>4</v>
      </c>
      <c r="N128" s="3">
        <v>3</v>
      </c>
      <c r="O128" s="3">
        <v>25</v>
      </c>
      <c r="P128" s="3">
        <v>0.2</v>
      </c>
      <c r="Q128" s="3">
        <v>1000</v>
      </c>
      <c r="R128" s="3">
        <v>5000</v>
      </c>
      <c r="S128" s="4">
        <f t="shared" si="63"/>
        <v>7.72</v>
      </c>
      <c r="T128" s="4">
        <f t="shared" si="67"/>
        <v>0.33499999999999996</v>
      </c>
      <c r="U128" s="4">
        <f t="shared" ref="U128:Y143" si="76">G128/N128</f>
        <v>7.7</v>
      </c>
      <c r="V128" s="4">
        <f t="shared" si="76"/>
        <v>4.72</v>
      </c>
      <c r="W128" s="5">
        <f t="shared" si="76"/>
        <v>0</v>
      </c>
      <c r="X128" s="4">
        <f t="shared" si="76"/>
        <v>0.15</v>
      </c>
      <c r="Y128" s="4">
        <f t="shared" si="76"/>
        <v>4.2000000000000003E-2</v>
      </c>
      <c r="Z128" s="6">
        <f t="shared" si="66"/>
        <v>5.438086501678681</v>
      </c>
      <c r="AA128" s="6">
        <f t="shared" si="75"/>
        <v>0.33499999999999996</v>
      </c>
      <c r="AB128" s="6">
        <f t="shared" si="66"/>
        <v>5.4324536258624097</v>
      </c>
      <c r="AC128" s="6">
        <f t="shared" si="66"/>
        <v>4.3697099931704386</v>
      </c>
      <c r="AD128" s="6">
        <f t="shared" si="74"/>
        <v>0</v>
      </c>
      <c r="AE128" s="6">
        <f t="shared" si="74"/>
        <v>0.15</v>
      </c>
      <c r="AF128" s="6">
        <f t="shared" si="74"/>
        <v>4.2000000000000003E-2</v>
      </c>
      <c r="AG128" s="21">
        <f t="shared" si="68"/>
        <v>2.2524643029587899</v>
      </c>
      <c r="AH128" s="22">
        <f t="shared" si="69"/>
        <v>5.438086501678681</v>
      </c>
      <c r="AI128" s="23">
        <f t="shared" si="70"/>
        <v>5.0735954361036271</v>
      </c>
      <c r="AJ128" s="23">
        <f t="shared" si="70"/>
        <v>29.572784799739875</v>
      </c>
      <c r="AK128" s="24">
        <f t="shared" si="71"/>
        <v>4.162113659899469</v>
      </c>
      <c r="AL128" s="64" t="str">
        <f t="shared" si="73"/>
        <v>ringan</v>
      </c>
    </row>
    <row r="129" spans="1:38" ht="17.25" thickBot="1" x14ac:dyDescent="0.35">
      <c r="A129" s="13">
        <v>128</v>
      </c>
      <c r="B129" s="62" t="s">
        <v>43</v>
      </c>
      <c r="C129" s="62"/>
      <c r="D129" s="63">
        <f>D128</f>
        <v>42285</v>
      </c>
      <c r="E129" s="37">
        <v>413</v>
      </c>
      <c r="F129" s="10">
        <v>0.85799999999999998</v>
      </c>
      <c r="G129" s="10">
        <v>25.4</v>
      </c>
      <c r="H129" s="10">
        <v>126</v>
      </c>
      <c r="I129" s="10"/>
      <c r="J129" s="10">
        <v>120</v>
      </c>
      <c r="K129" s="10">
        <v>1100</v>
      </c>
      <c r="L129" s="3">
        <v>50</v>
      </c>
      <c r="M129" s="3">
        <v>4</v>
      </c>
      <c r="N129" s="3">
        <v>3</v>
      </c>
      <c r="O129" s="3">
        <v>25</v>
      </c>
      <c r="P129" s="3">
        <v>0.2</v>
      </c>
      <c r="Q129" s="3">
        <v>1000</v>
      </c>
      <c r="R129" s="3">
        <v>5000</v>
      </c>
      <c r="S129" s="4">
        <f t="shared" si="63"/>
        <v>8.26</v>
      </c>
      <c r="T129" s="4">
        <f t="shared" si="67"/>
        <v>0.51183333333333336</v>
      </c>
      <c r="U129" s="4">
        <f t="shared" si="76"/>
        <v>8.4666666666666668</v>
      </c>
      <c r="V129" s="4">
        <f t="shared" si="76"/>
        <v>5.04</v>
      </c>
      <c r="W129" s="5">
        <f t="shared" si="76"/>
        <v>0</v>
      </c>
      <c r="X129" s="4">
        <f t="shared" si="76"/>
        <v>0.12</v>
      </c>
      <c r="Y129" s="4">
        <f t="shared" si="76"/>
        <v>0.22</v>
      </c>
      <c r="Z129" s="6">
        <f t="shared" si="66"/>
        <v>5.5849002366019107</v>
      </c>
      <c r="AA129" s="6">
        <f t="shared" si="75"/>
        <v>0.51183333333333336</v>
      </c>
      <c r="AB129" s="6">
        <f t="shared" si="66"/>
        <v>5.6385623095013786</v>
      </c>
      <c r="AC129" s="6">
        <f t="shared" si="66"/>
        <v>4.5121526822276268</v>
      </c>
      <c r="AD129" s="6">
        <f t="shared" ref="AD129:AF136" si="77">W129</f>
        <v>0</v>
      </c>
      <c r="AE129" s="6">
        <f t="shared" si="77"/>
        <v>0.12</v>
      </c>
      <c r="AF129" s="6">
        <f t="shared" si="77"/>
        <v>0.22</v>
      </c>
      <c r="AG129" s="21">
        <f t="shared" si="68"/>
        <v>2.3696355088091785</v>
      </c>
      <c r="AH129" s="22">
        <f t="shared" si="69"/>
        <v>5.6385623095013786</v>
      </c>
      <c r="AI129" s="23">
        <f t="shared" si="70"/>
        <v>5.6151724446093345</v>
      </c>
      <c r="AJ129" s="23">
        <f t="shared" si="70"/>
        <v>31.793384918129519</v>
      </c>
      <c r="AK129" s="24">
        <f t="shared" si="71"/>
        <v>4.3248443534270029</v>
      </c>
      <c r="AL129" s="64" t="str">
        <f t="shared" si="73"/>
        <v>ringan</v>
      </c>
    </row>
    <row r="130" spans="1:38" ht="17.25" thickBot="1" x14ac:dyDescent="0.35">
      <c r="A130" s="13">
        <v>129</v>
      </c>
      <c r="B130" s="62" t="s">
        <v>45</v>
      </c>
      <c r="C130" s="62"/>
      <c r="D130" s="63">
        <v>42296</v>
      </c>
      <c r="E130" s="37">
        <v>620</v>
      </c>
      <c r="F130" s="10">
        <v>0</v>
      </c>
      <c r="G130" s="36">
        <v>62</v>
      </c>
      <c r="H130" s="10">
        <v>270</v>
      </c>
      <c r="I130" s="10"/>
      <c r="J130" s="10">
        <v>210</v>
      </c>
      <c r="K130" s="10">
        <v>1100</v>
      </c>
      <c r="L130" s="3">
        <v>50</v>
      </c>
      <c r="M130" s="3">
        <v>4</v>
      </c>
      <c r="N130" s="3">
        <v>3</v>
      </c>
      <c r="O130" s="3">
        <v>25</v>
      </c>
      <c r="P130" s="3">
        <v>0.2</v>
      </c>
      <c r="Q130" s="3">
        <v>1000</v>
      </c>
      <c r="R130" s="3">
        <v>5000</v>
      </c>
      <c r="S130" s="4">
        <f t="shared" si="63"/>
        <v>12.4</v>
      </c>
      <c r="T130" s="4">
        <f t="shared" si="67"/>
        <v>0.58333333333333337</v>
      </c>
      <c r="U130" s="4">
        <f t="shared" si="76"/>
        <v>20.666666666666668</v>
      </c>
      <c r="V130" s="4">
        <f t="shared" si="76"/>
        <v>10.8</v>
      </c>
      <c r="W130" s="5">
        <f t="shared" si="76"/>
        <v>0</v>
      </c>
      <c r="X130" s="4">
        <f t="shared" si="76"/>
        <v>0.21</v>
      </c>
      <c r="Y130" s="4">
        <f t="shared" si="76"/>
        <v>0.22</v>
      </c>
      <c r="Z130" s="6">
        <f t="shared" si="66"/>
        <v>6.4671084258111762</v>
      </c>
      <c r="AA130" s="6">
        <f t="shared" si="75"/>
        <v>0.58333333333333337</v>
      </c>
      <c r="AB130" s="6">
        <f t="shared" si="66"/>
        <v>7.5763521738929578</v>
      </c>
      <c r="AC130" s="6">
        <f t="shared" si="66"/>
        <v>6.167118777434748</v>
      </c>
      <c r="AD130" s="6">
        <f t="shared" si="77"/>
        <v>0</v>
      </c>
      <c r="AE130" s="6">
        <f t="shared" si="77"/>
        <v>0.21</v>
      </c>
      <c r="AF130" s="6">
        <f t="shared" si="77"/>
        <v>0.22</v>
      </c>
      <c r="AG130" s="21">
        <f t="shared" si="68"/>
        <v>3.0319875300674588</v>
      </c>
      <c r="AH130" s="22">
        <f t="shared" si="69"/>
        <v>7.5763521738929578</v>
      </c>
      <c r="AI130" s="23">
        <f t="shared" si="70"/>
        <v>9.1929483824845697</v>
      </c>
      <c r="AJ130" s="23">
        <f t="shared" si="70"/>
        <v>57.40111226285255</v>
      </c>
      <c r="AK130" s="24">
        <f t="shared" si="71"/>
        <v>5.7703579024761158</v>
      </c>
      <c r="AL130" s="65" t="str">
        <f t="shared" si="73"/>
        <v>sedang</v>
      </c>
    </row>
    <row r="131" spans="1:38" ht="17.25" thickBot="1" x14ac:dyDescent="0.35">
      <c r="A131" s="13">
        <v>130</v>
      </c>
      <c r="B131" s="62" t="s">
        <v>23</v>
      </c>
      <c r="C131" s="62"/>
      <c r="D131" s="63">
        <v>42289</v>
      </c>
      <c r="E131" s="37">
        <v>385</v>
      </c>
      <c r="F131" s="10">
        <v>0</v>
      </c>
      <c r="G131" s="10">
        <v>72.3</v>
      </c>
      <c r="H131" s="10">
        <v>187</v>
      </c>
      <c r="I131" s="10"/>
      <c r="J131" s="10">
        <v>210</v>
      </c>
      <c r="K131" s="10">
        <v>1100</v>
      </c>
      <c r="L131" s="3">
        <v>50</v>
      </c>
      <c r="M131" s="3">
        <v>4</v>
      </c>
      <c r="N131" s="3">
        <v>3</v>
      </c>
      <c r="O131" s="3">
        <v>25</v>
      </c>
      <c r="P131" s="3">
        <v>0.2</v>
      </c>
      <c r="Q131" s="3">
        <v>1000</v>
      </c>
      <c r="R131" s="3">
        <v>5000</v>
      </c>
      <c r="S131" s="4">
        <f t="shared" si="63"/>
        <v>7.7</v>
      </c>
      <c r="T131" s="4">
        <f t="shared" si="67"/>
        <v>0.58333333333333337</v>
      </c>
      <c r="U131" s="4">
        <f t="shared" si="76"/>
        <v>24.099999999999998</v>
      </c>
      <c r="V131" s="4">
        <f t="shared" si="76"/>
        <v>7.48</v>
      </c>
      <c r="W131" s="5">
        <f t="shared" si="76"/>
        <v>0</v>
      </c>
      <c r="X131" s="4">
        <f t="shared" si="76"/>
        <v>0.21</v>
      </c>
      <c r="Y131" s="4">
        <f t="shared" si="76"/>
        <v>0.22</v>
      </c>
      <c r="Z131" s="6">
        <f t="shared" si="66"/>
        <v>5.4324536258624097</v>
      </c>
      <c r="AA131" s="6">
        <f t="shared" si="75"/>
        <v>0.58333333333333337</v>
      </c>
      <c r="AB131" s="6">
        <f t="shared" si="66"/>
        <v>7.9100852128743417</v>
      </c>
      <c r="AC131" s="6">
        <f t="shared" si="66"/>
        <v>5.3695079893223072</v>
      </c>
      <c r="AD131" s="6">
        <f t="shared" si="77"/>
        <v>0</v>
      </c>
      <c r="AE131" s="6">
        <f t="shared" si="77"/>
        <v>0.21</v>
      </c>
      <c r="AF131" s="6">
        <f t="shared" si="77"/>
        <v>0.22</v>
      </c>
      <c r="AG131" s="21">
        <f t="shared" si="68"/>
        <v>2.8179114516274844</v>
      </c>
      <c r="AH131" s="22">
        <f t="shared" si="69"/>
        <v>7.9100852128743417</v>
      </c>
      <c r="AI131" s="23">
        <f t="shared" si="70"/>
        <v>7.9406249492133165</v>
      </c>
      <c r="AJ131" s="23">
        <f t="shared" si="70"/>
        <v>62.56944807493332</v>
      </c>
      <c r="AK131" s="24">
        <f t="shared" si="71"/>
        <v>5.9375951792011987</v>
      </c>
      <c r="AL131" s="65" t="str">
        <f t="shared" si="73"/>
        <v>sedang</v>
      </c>
    </row>
    <row r="132" spans="1:38" ht="17.25" thickBot="1" x14ac:dyDescent="0.35">
      <c r="A132" s="13">
        <v>131</v>
      </c>
      <c r="B132" s="62" t="s">
        <v>25</v>
      </c>
      <c r="C132" s="62"/>
      <c r="D132" s="63">
        <v>42289</v>
      </c>
      <c r="E132" s="37">
        <v>451</v>
      </c>
      <c r="F132" s="10">
        <v>0</v>
      </c>
      <c r="G132" s="10">
        <v>71.900000000000006</v>
      </c>
      <c r="H132" s="10">
        <v>246</v>
      </c>
      <c r="I132" s="10"/>
      <c r="J132" s="10">
        <v>43</v>
      </c>
      <c r="K132" s="10">
        <v>1100</v>
      </c>
      <c r="L132" s="3">
        <v>50</v>
      </c>
      <c r="M132" s="3">
        <v>4</v>
      </c>
      <c r="N132" s="3">
        <v>3</v>
      </c>
      <c r="O132" s="3">
        <v>25</v>
      </c>
      <c r="P132" s="3">
        <v>0.2</v>
      </c>
      <c r="Q132" s="3">
        <v>1000</v>
      </c>
      <c r="R132" s="3">
        <v>5000</v>
      </c>
      <c r="S132" s="4">
        <f t="shared" si="63"/>
        <v>9.02</v>
      </c>
      <c r="T132" s="4">
        <f t="shared" si="67"/>
        <v>0.58333333333333337</v>
      </c>
      <c r="U132" s="4">
        <f t="shared" si="76"/>
        <v>23.966666666666669</v>
      </c>
      <c r="V132" s="4">
        <f t="shared" si="76"/>
        <v>9.84</v>
      </c>
      <c r="W132" s="5">
        <f t="shared" si="76"/>
        <v>0</v>
      </c>
      <c r="X132" s="4">
        <f t="shared" si="76"/>
        <v>4.2999999999999997E-2</v>
      </c>
      <c r="Y132" s="4">
        <f t="shared" si="76"/>
        <v>0.22</v>
      </c>
      <c r="Z132" s="6">
        <f t="shared" si="66"/>
        <v>5.7760326877097086</v>
      </c>
      <c r="AA132" s="6">
        <f t="shared" si="75"/>
        <v>0.58333333333333337</v>
      </c>
      <c r="AB132" s="6">
        <f t="shared" si="66"/>
        <v>7.8980381783161011</v>
      </c>
      <c r="AC132" s="6">
        <f t="shared" si="66"/>
        <v>5.9649754921567073</v>
      </c>
      <c r="AD132" s="6">
        <f t="shared" si="77"/>
        <v>0</v>
      </c>
      <c r="AE132" s="6">
        <f t="shared" si="77"/>
        <v>4.2999999999999997E-2</v>
      </c>
      <c r="AF132" s="6">
        <f t="shared" si="77"/>
        <v>0.22</v>
      </c>
      <c r="AG132" s="21">
        <f t="shared" si="68"/>
        <v>2.9264828130736928</v>
      </c>
      <c r="AH132" s="22">
        <f t="shared" si="69"/>
        <v>7.8980381783161011</v>
      </c>
      <c r="AI132" s="23">
        <f t="shared" si="70"/>
        <v>8.564301655215715</v>
      </c>
      <c r="AJ132" s="23">
        <f t="shared" si="70"/>
        <v>62.379007066138719</v>
      </c>
      <c r="AK132" s="24">
        <f t="shared" si="71"/>
        <v>5.9558084556739415</v>
      </c>
      <c r="AL132" s="65" t="str">
        <f t="shared" si="73"/>
        <v>sedang</v>
      </c>
    </row>
    <row r="133" spans="1:38" ht="17.25" thickBot="1" x14ac:dyDescent="0.35">
      <c r="A133" s="13">
        <v>132</v>
      </c>
      <c r="B133" s="62" t="s">
        <v>27</v>
      </c>
      <c r="C133" s="62"/>
      <c r="D133" s="63">
        <v>42296</v>
      </c>
      <c r="E133" s="37">
        <v>2550</v>
      </c>
      <c r="F133" s="10">
        <v>0</v>
      </c>
      <c r="G133" s="10">
        <v>39.4</v>
      </c>
      <c r="H133" s="10">
        <v>315</v>
      </c>
      <c r="I133" s="10"/>
      <c r="J133" s="10">
        <v>28</v>
      </c>
      <c r="K133" s="10">
        <v>120</v>
      </c>
      <c r="L133" s="3">
        <v>50</v>
      </c>
      <c r="M133" s="3">
        <v>4</v>
      </c>
      <c r="N133" s="3">
        <v>3</v>
      </c>
      <c r="O133" s="3">
        <v>25</v>
      </c>
      <c r="P133" s="3">
        <v>0.2</v>
      </c>
      <c r="Q133" s="3">
        <v>1000</v>
      </c>
      <c r="R133" s="3">
        <v>5000</v>
      </c>
      <c r="S133" s="4">
        <f t="shared" si="63"/>
        <v>51</v>
      </c>
      <c r="T133" s="4">
        <f t="shared" si="67"/>
        <v>0.58333333333333337</v>
      </c>
      <c r="U133" s="4">
        <f t="shared" si="76"/>
        <v>13.133333333333333</v>
      </c>
      <c r="V133" s="4">
        <f t="shared" si="76"/>
        <v>12.6</v>
      </c>
      <c r="W133" s="5">
        <f t="shared" si="76"/>
        <v>0</v>
      </c>
      <c r="X133" s="4">
        <f t="shared" si="76"/>
        <v>2.8000000000000001E-2</v>
      </c>
      <c r="Y133" s="4">
        <f t="shared" si="76"/>
        <v>2.4E-2</v>
      </c>
      <c r="Z133" s="6">
        <f t="shared" si="66"/>
        <v>9.5378508804896818</v>
      </c>
      <c r="AA133" s="6">
        <f t="shared" si="75"/>
        <v>0.58333333333333337</v>
      </c>
      <c r="AB133" s="6">
        <f t="shared" si="66"/>
        <v>6.5918748355295591</v>
      </c>
      <c r="AC133" s="6">
        <f t="shared" si="66"/>
        <v>6.5018527255878151</v>
      </c>
      <c r="AD133" s="6">
        <f t="shared" si="77"/>
        <v>0</v>
      </c>
      <c r="AE133" s="6">
        <f t="shared" si="77"/>
        <v>2.8000000000000001E-2</v>
      </c>
      <c r="AF133" s="6">
        <f t="shared" si="77"/>
        <v>2.4E-2</v>
      </c>
      <c r="AG133" s="21">
        <f t="shared" si="68"/>
        <v>3.3238445392771987</v>
      </c>
      <c r="AH133" s="22">
        <f t="shared" si="69"/>
        <v>9.5378508804896818</v>
      </c>
      <c r="AI133" s="23">
        <f t="shared" si="70"/>
        <v>11.047942521282854</v>
      </c>
      <c r="AJ133" s="23">
        <f t="shared" si="70"/>
        <v>90.970599418457795</v>
      </c>
      <c r="AK133" s="24">
        <f t="shared" si="71"/>
        <v>7.1420774967701322</v>
      </c>
      <c r="AL133" s="65" t="str">
        <f t="shared" si="73"/>
        <v>sedang</v>
      </c>
    </row>
    <row r="134" spans="1:38" ht="17.25" thickBot="1" x14ac:dyDescent="0.35">
      <c r="A134" s="13">
        <v>133</v>
      </c>
      <c r="B134" s="62" t="s">
        <v>35</v>
      </c>
      <c r="C134" s="62"/>
      <c r="D134" s="63">
        <v>42285</v>
      </c>
      <c r="E134" s="37">
        <v>414</v>
      </c>
      <c r="F134" s="10">
        <v>0</v>
      </c>
      <c r="G134" s="10">
        <v>52.7</v>
      </c>
      <c r="H134" s="10">
        <v>176</v>
      </c>
      <c r="I134" s="10"/>
      <c r="J134" s="10">
        <v>460</v>
      </c>
      <c r="K134" s="10">
        <v>1100</v>
      </c>
      <c r="L134" s="3">
        <v>50</v>
      </c>
      <c r="M134" s="3">
        <v>4</v>
      </c>
      <c r="N134" s="3">
        <v>3</v>
      </c>
      <c r="O134" s="3">
        <v>25</v>
      </c>
      <c r="P134" s="3">
        <v>0.2</v>
      </c>
      <c r="Q134" s="3">
        <v>1000</v>
      </c>
      <c r="R134" s="3">
        <v>5000</v>
      </c>
      <c r="S134" s="4">
        <f t="shared" si="63"/>
        <v>8.2799999999999994</v>
      </c>
      <c r="T134" s="4">
        <f t="shared" si="67"/>
        <v>0.58333333333333337</v>
      </c>
      <c r="U134" s="4">
        <f t="shared" si="76"/>
        <v>17.566666666666666</v>
      </c>
      <c r="V134" s="4">
        <f t="shared" si="76"/>
        <v>7.04</v>
      </c>
      <c r="W134" s="5">
        <f t="shared" si="76"/>
        <v>0</v>
      </c>
      <c r="X134" s="4">
        <f t="shared" si="76"/>
        <v>0.46</v>
      </c>
      <c r="Y134" s="4">
        <f t="shared" si="76"/>
        <v>0.22</v>
      </c>
      <c r="Z134" s="6">
        <f t="shared" si="66"/>
        <v>5.5901516839244003</v>
      </c>
      <c r="AA134" s="6">
        <f t="shared" si="75"/>
        <v>0.58333333333333337</v>
      </c>
      <c r="AB134" s="6">
        <f t="shared" si="66"/>
        <v>7.2234468024644212</v>
      </c>
      <c r="AC134" s="6">
        <f t="shared" si="66"/>
        <v>5.2378632957105609</v>
      </c>
      <c r="AD134" s="6">
        <f t="shared" si="77"/>
        <v>0</v>
      </c>
      <c r="AE134" s="6">
        <f t="shared" si="77"/>
        <v>0.46</v>
      </c>
      <c r="AF134" s="6">
        <f t="shared" si="77"/>
        <v>0.22</v>
      </c>
      <c r="AG134" s="21">
        <f t="shared" si="68"/>
        <v>2.7592564450618164</v>
      </c>
      <c r="AH134" s="22">
        <f t="shared" si="69"/>
        <v>7.2234468024644212</v>
      </c>
      <c r="AI134" s="23">
        <f t="shared" si="70"/>
        <v>7.6134961296151733</v>
      </c>
      <c r="AJ134" s="23">
        <f t="shared" si="70"/>
        <v>52.178183708033472</v>
      </c>
      <c r="AK134" s="24">
        <f t="shared" si="71"/>
        <v>5.4677088363248023</v>
      </c>
      <c r="AL134" s="65" t="str">
        <f t="shared" si="73"/>
        <v>sedang</v>
      </c>
    </row>
    <row r="135" spans="1:38" ht="17.25" thickBot="1" x14ac:dyDescent="0.35">
      <c r="A135" s="13">
        <v>134</v>
      </c>
      <c r="B135" s="62" t="s">
        <v>37</v>
      </c>
      <c r="C135" s="62"/>
      <c r="D135" s="63">
        <v>42285</v>
      </c>
      <c r="E135" s="37">
        <v>1010</v>
      </c>
      <c r="F135" s="10">
        <v>0</v>
      </c>
      <c r="G135" s="10">
        <v>315</v>
      </c>
      <c r="H135" s="10">
        <v>778</v>
      </c>
      <c r="I135" s="10"/>
      <c r="J135" s="10">
        <v>75</v>
      </c>
      <c r="K135" s="10">
        <v>150</v>
      </c>
      <c r="L135" s="3">
        <v>50</v>
      </c>
      <c r="M135" s="3">
        <v>4</v>
      </c>
      <c r="N135" s="3">
        <v>3</v>
      </c>
      <c r="O135" s="3">
        <v>25</v>
      </c>
      <c r="P135" s="3">
        <v>0.2</v>
      </c>
      <c r="Q135" s="3">
        <v>1000</v>
      </c>
      <c r="R135" s="3">
        <v>5000</v>
      </c>
      <c r="S135" s="4">
        <f t="shared" si="63"/>
        <v>20.2</v>
      </c>
      <c r="T135" s="4">
        <f t="shared" si="67"/>
        <v>0.58333333333333337</v>
      </c>
      <c r="U135" s="4">
        <f t="shared" si="76"/>
        <v>105</v>
      </c>
      <c r="V135" s="4">
        <f t="shared" si="76"/>
        <v>31.12</v>
      </c>
      <c r="W135" s="5">
        <f t="shared" si="76"/>
        <v>0</v>
      </c>
      <c r="X135" s="4">
        <f t="shared" si="76"/>
        <v>7.4999999999999997E-2</v>
      </c>
      <c r="Y135" s="4">
        <f t="shared" si="76"/>
        <v>0.03</v>
      </c>
      <c r="Z135" s="6">
        <f t="shared" si="66"/>
        <v>7.5267568472331181</v>
      </c>
      <c r="AA135" s="6">
        <f t="shared" si="75"/>
        <v>0.58333333333333337</v>
      </c>
      <c r="AB135" s="6">
        <f t="shared" si="66"/>
        <v>11.105946495349691</v>
      </c>
      <c r="AC135" s="6">
        <f t="shared" si="66"/>
        <v>8.4651979415882561</v>
      </c>
      <c r="AD135" s="6">
        <f t="shared" si="77"/>
        <v>0</v>
      </c>
      <c r="AE135" s="6">
        <f t="shared" si="77"/>
        <v>7.4999999999999997E-2</v>
      </c>
      <c r="AF135" s="6">
        <f t="shared" si="77"/>
        <v>0.03</v>
      </c>
      <c r="AG135" s="21">
        <f t="shared" si="68"/>
        <v>3.9694620882149145</v>
      </c>
      <c r="AH135" s="22">
        <f t="shared" si="69"/>
        <v>11.105946495349691</v>
      </c>
      <c r="AI135" s="23">
        <f t="shared" si="70"/>
        <v>15.756629269775511</v>
      </c>
      <c r="AJ135" s="23">
        <f t="shared" si="70"/>
        <v>123.3420475575701</v>
      </c>
      <c r="AK135" s="24">
        <f t="shared" si="71"/>
        <v>8.3396245966873597</v>
      </c>
      <c r="AL135" s="65" t="str">
        <f t="shared" si="73"/>
        <v>sedang</v>
      </c>
    </row>
    <row r="136" spans="1:38" ht="16.5" x14ac:dyDescent="0.3">
      <c r="A136" s="13">
        <v>135</v>
      </c>
      <c r="B136" s="62" t="s">
        <v>51</v>
      </c>
      <c r="C136" s="62"/>
      <c r="D136" s="63">
        <v>42296</v>
      </c>
      <c r="E136" s="37">
        <v>1752</v>
      </c>
      <c r="F136" s="10">
        <v>0</v>
      </c>
      <c r="G136" s="10">
        <v>63.8</v>
      </c>
      <c r="H136" s="10">
        <v>627</v>
      </c>
      <c r="I136" s="10"/>
      <c r="J136" s="10">
        <v>18</v>
      </c>
      <c r="K136" s="10">
        <v>43</v>
      </c>
      <c r="L136" s="3">
        <v>50</v>
      </c>
      <c r="M136" s="3">
        <v>4</v>
      </c>
      <c r="N136" s="3">
        <v>3</v>
      </c>
      <c r="O136" s="3">
        <v>25</v>
      </c>
      <c r="P136" s="3">
        <v>0.2</v>
      </c>
      <c r="Q136" s="3">
        <v>1000</v>
      </c>
      <c r="R136" s="3">
        <v>5000</v>
      </c>
      <c r="S136" s="4">
        <f t="shared" si="63"/>
        <v>35.04</v>
      </c>
      <c r="T136" s="4">
        <f t="shared" si="67"/>
        <v>0.58333333333333337</v>
      </c>
      <c r="U136" s="4">
        <f t="shared" si="76"/>
        <v>21.266666666666666</v>
      </c>
      <c r="V136" s="4">
        <f t="shared" si="76"/>
        <v>25.08</v>
      </c>
      <c r="W136" s="5">
        <f t="shared" si="76"/>
        <v>0</v>
      </c>
      <c r="X136" s="4">
        <f t="shared" si="76"/>
        <v>1.7999999999999999E-2</v>
      </c>
      <c r="Y136" s="4">
        <f t="shared" si="76"/>
        <v>8.6E-3</v>
      </c>
      <c r="Z136" s="6">
        <f t="shared" si="66"/>
        <v>8.7228204874802149</v>
      </c>
      <c r="AA136" s="6">
        <f t="shared" si="75"/>
        <v>0.58333333333333337</v>
      </c>
      <c r="AB136" s="6">
        <f t="shared" si="66"/>
        <v>7.6384971200074991</v>
      </c>
      <c r="AC136" s="6">
        <f t="shared" si="66"/>
        <v>7.9966376607933949</v>
      </c>
      <c r="AD136" s="6">
        <f t="shared" si="77"/>
        <v>0</v>
      </c>
      <c r="AE136" s="6">
        <f t="shared" si="77"/>
        <v>1.7999999999999999E-2</v>
      </c>
      <c r="AF136" s="6">
        <f t="shared" si="77"/>
        <v>8.6E-3</v>
      </c>
      <c r="AG136" s="21">
        <f t="shared" si="68"/>
        <v>3.5668412288020641</v>
      </c>
      <c r="AH136" s="22">
        <f t="shared" si="69"/>
        <v>8.7228204874802149</v>
      </c>
      <c r="AI136" s="23">
        <f t="shared" si="70"/>
        <v>12.722356351482219</v>
      </c>
      <c r="AJ136" s="23">
        <f t="shared" si="70"/>
        <v>76.087597256804571</v>
      </c>
      <c r="AK136" s="24">
        <f t="shared" si="71"/>
        <v>6.6637059361997206</v>
      </c>
      <c r="AL136" s="65" t="str">
        <f t="shared" si="73"/>
        <v>sedang</v>
      </c>
    </row>
    <row r="137" spans="1:38" ht="16.5" x14ac:dyDescent="0.3">
      <c r="A137" s="13">
        <v>136</v>
      </c>
      <c r="B137" s="14" t="s">
        <v>17</v>
      </c>
      <c r="C137" s="66" t="s">
        <v>18</v>
      </c>
      <c r="D137" s="67" t="s">
        <v>52</v>
      </c>
      <c r="E137" s="68">
        <v>183</v>
      </c>
      <c r="F137" s="69">
        <v>5.26</v>
      </c>
      <c r="G137" s="69">
        <v>2.6</v>
      </c>
      <c r="H137" s="69">
        <v>80.099999999999994</v>
      </c>
      <c r="I137" s="69">
        <v>0.01</v>
      </c>
      <c r="J137" s="69">
        <v>20</v>
      </c>
      <c r="K137" s="69">
        <v>28</v>
      </c>
      <c r="L137" s="48">
        <v>50</v>
      </c>
      <c r="M137" s="48">
        <v>4</v>
      </c>
      <c r="N137" s="48">
        <v>3</v>
      </c>
      <c r="O137" s="48">
        <v>25</v>
      </c>
      <c r="P137" s="48">
        <v>0.2</v>
      </c>
      <c r="Q137" s="48">
        <v>1000</v>
      </c>
      <c r="R137" s="48">
        <v>5000</v>
      </c>
      <c r="S137" s="4">
        <f t="shared" si="63"/>
        <v>3.66</v>
      </c>
      <c r="T137" s="4">
        <f t="shared" si="67"/>
        <v>0.14500000000000002</v>
      </c>
      <c r="U137" s="4">
        <f t="shared" si="76"/>
        <v>0.8666666666666667</v>
      </c>
      <c r="V137" s="4">
        <f t="shared" si="76"/>
        <v>3.2039999999999997</v>
      </c>
      <c r="W137" s="5">
        <f t="shared" si="76"/>
        <v>4.9999999999999996E-2</v>
      </c>
      <c r="X137" s="4">
        <f t="shared" si="76"/>
        <v>0.02</v>
      </c>
      <c r="Y137" s="4">
        <f t="shared" si="76"/>
        <v>5.5999999999999999E-3</v>
      </c>
      <c r="Z137" s="6">
        <f t="shared" ref="Z137:AE152" si="78">S137</f>
        <v>3.66</v>
      </c>
      <c r="AA137" s="6">
        <f t="shared" si="78"/>
        <v>0.14500000000000002</v>
      </c>
      <c r="AB137" s="6">
        <f t="shared" si="78"/>
        <v>0.8666666666666667</v>
      </c>
      <c r="AC137" s="6">
        <f t="shared" si="78"/>
        <v>3.2039999999999997</v>
      </c>
      <c r="AD137" s="7">
        <f t="shared" si="78"/>
        <v>4.9999999999999996E-2</v>
      </c>
      <c r="AE137" s="6">
        <f t="shared" si="78"/>
        <v>0.02</v>
      </c>
      <c r="AF137" s="6">
        <f t="shared" ref="AF137:AF166" si="79">1+(5*(LOG10(K137/R137)))</f>
        <v>-10.259059864968998</v>
      </c>
      <c r="AG137" s="52">
        <f t="shared" si="68"/>
        <v>-0.33048474261461891</v>
      </c>
      <c r="AH137" s="53">
        <f t="shared" si="69"/>
        <v>3.66</v>
      </c>
      <c r="AI137" s="54">
        <f t="shared" ref="AI137:AJ166" si="80">POWER(AG137,2)</f>
        <v>0.10922016510105091</v>
      </c>
      <c r="AJ137" s="54">
        <f t="shared" si="80"/>
        <v>13.395600000000002</v>
      </c>
      <c r="AK137" s="55">
        <f t="shared" si="71"/>
        <v>2.5985399905621094</v>
      </c>
      <c r="AL137" s="61" t="str">
        <f>IF(ISNUMBER(AK137),IF(AK137&lt;=1,"memenuhi",IF(AK137&lt;=5,"ringan",IF(AK137&lt;=10,"sedang","berat"))),"")</f>
        <v>ringan</v>
      </c>
    </row>
    <row r="138" spans="1:38" ht="16.5" x14ac:dyDescent="0.3">
      <c r="A138" s="13">
        <v>137</v>
      </c>
      <c r="B138" s="14" t="s">
        <v>19</v>
      </c>
      <c r="C138" s="14" t="s">
        <v>20</v>
      </c>
      <c r="D138" s="67" t="s">
        <v>52</v>
      </c>
      <c r="E138" s="70">
        <v>58.5</v>
      </c>
      <c r="F138" s="71">
        <v>6.11</v>
      </c>
      <c r="G138" s="71">
        <v>5.78</v>
      </c>
      <c r="H138" s="71">
        <v>49.7</v>
      </c>
      <c r="I138" s="71">
        <v>1.7999999999999999E-2</v>
      </c>
      <c r="J138" s="71">
        <v>18</v>
      </c>
      <c r="K138" s="71">
        <v>21</v>
      </c>
      <c r="L138" s="48">
        <v>50</v>
      </c>
      <c r="M138" s="48">
        <v>4</v>
      </c>
      <c r="N138" s="48">
        <v>3</v>
      </c>
      <c r="O138" s="48">
        <v>25</v>
      </c>
      <c r="P138" s="48">
        <v>0.2</v>
      </c>
      <c r="Q138" s="48">
        <v>1000</v>
      </c>
      <c r="R138" s="48">
        <v>5000</v>
      </c>
      <c r="S138" s="4">
        <f t="shared" si="63"/>
        <v>1.17</v>
      </c>
      <c r="T138" s="4">
        <f t="shared" si="67"/>
        <v>7.4166666666666645E-2</v>
      </c>
      <c r="U138" s="4">
        <f t="shared" si="76"/>
        <v>1.9266666666666667</v>
      </c>
      <c r="V138" s="4">
        <f t="shared" si="76"/>
        <v>1.9880000000000002</v>
      </c>
      <c r="W138" s="5">
        <f t="shared" si="76"/>
        <v>8.9999999999999983E-2</v>
      </c>
      <c r="X138" s="4">
        <f t="shared" si="76"/>
        <v>1.7999999999999999E-2</v>
      </c>
      <c r="Y138" s="4">
        <f t="shared" si="76"/>
        <v>4.1999999999999997E-3</v>
      </c>
      <c r="Z138" s="6">
        <f t="shared" si="78"/>
        <v>1.17</v>
      </c>
      <c r="AA138" s="6">
        <f t="shared" si="78"/>
        <v>7.4166666666666645E-2</v>
      </c>
      <c r="AB138" s="6">
        <f t="shared" si="78"/>
        <v>1.9266666666666667</v>
      </c>
      <c r="AC138" s="6">
        <f t="shared" si="78"/>
        <v>1.9880000000000002</v>
      </c>
      <c r="AD138" s="7">
        <f t="shared" si="78"/>
        <v>8.9999999999999983E-2</v>
      </c>
      <c r="AE138" s="6">
        <f t="shared" si="78"/>
        <v>1.7999999999999999E-2</v>
      </c>
      <c r="AF138" s="6">
        <f t="shared" si="79"/>
        <v>-10.883753548010498</v>
      </c>
      <c r="AG138" s="52">
        <f t="shared" si="68"/>
        <v>-0.80241717352530917</v>
      </c>
      <c r="AH138" s="53">
        <f t="shared" si="69"/>
        <v>1.9880000000000002</v>
      </c>
      <c r="AI138" s="54">
        <f t="shared" si="80"/>
        <v>0.6438733203683461</v>
      </c>
      <c r="AJ138" s="54">
        <f t="shared" si="80"/>
        <v>3.952144000000001</v>
      </c>
      <c r="AK138" s="55">
        <f t="shared" si="71"/>
        <v>1.5159184213486467</v>
      </c>
      <c r="AL138" s="61" t="str">
        <f>IF(ISNUMBER(AK138),IF(AK138&lt;=1,"memenuhi",IF(AK138&lt;=5,"ringan",IF(AK138&lt;=10,"sedang","berat"))),"")</f>
        <v>ringan</v>
      </c>
    </row>
    <row r="139" spans="1:38" ht="16.5" x14ac:dyDescent="0.3">
      <c r="A139" s="13">
        <v>138</v>
      </c>
      <c r="B139" s="14" t="s">
        <v>21</v>
      </c>
      <c r="C139" s="66" t="s">
        <v>22</v>
      </c>
      <c r="D139" s="67" t="s">
        <v>53</v>
      </c>
      <c r="E139" s="70">
        <v>19.3</v>
      </c>
      <c r="F139" s="71">
        <v>5.12</v>
      </c>
      <c r="G139" s="71">
        <v>15.7</v>
      </c>
      <c r="H139" s="71">
        <v>111</v>
      </c>
      <c r="I139" s="71">
        <v>0.246</v>
      </c>
      <c r="J139" s="71">
        <v>75</v>
      </c>
      <c r="K139" s="71">
        <v>75</v>
      </c>
      <c r="L139" s="48">
        <v>50</v>
      </c>
      <c r="M139" s="48">
        <v>4</v>
      </c>
      <c r="N139" s="48">
        <v>3</v>
      </c>
      <c r="O139" s="48">
        <v>25</v>
      </c>
      <c r="P139" s="48">
        <v>0.2</v>
      </c>
      <c r="Q139" s="48">
        <v>1000</v>
      </c>
      <c r="R139" s="48">
        <v>5000</v>
      </c>
      <c r="S139" s="4">
        <f t="shared" si="63"/>
        <v>0.38600000000000001</v>
      </c>
      <c r="T139" s="4">
        <f t="shared" si="67"/>
        <v>0.15666666666666665</v>
      </c>
      <c r="U139" s="4">
        <f t="shared" si="76"/>
        <v>5.2333333333333334</v>
      </c>
      <c r="V139" s="4">
        <f t="shared" si="76"/>
        <v>4.4400000000000004</v>
      </c>
      <c r="W139" s="5">
        <f t="shared" si="76"/>
        <v>1.23</v>
      </c>
      <c r="X139" s="4">
        <f t="shared" si="76"/>
        <v>7.4999999999999997E-2</v>
      </c>
      <c r="Y139" s="4">
        <f t="shared" si="76"/>
        <v>1.4999999999999999E-2</v>
      </c>
      <c r="Z139" s="6">
        <f t="shared" si="78"/>
        <v>0.38600000000000001</v>
      </c>
      <c r="AA139" s="6">
        <f t="shared" si="78"/>
        <v>0.15666666666666665</v>
      </c>
      <c r="AB139" s="6">
        <f t="shared" si="78"/>
        <v>5.2333333333333334</v>
      </c>
      <c r="AC139" s="6">
        <f t="shared" si="78"/>
        <v>4.4400000000000004</v>
      </c>
      <c r="AD139" s="7">
        <f t="shared" si="78"/>
        <v>1.23</v>
      </c>
      <c r="AE139" s="6">
        <f t="shared" si="78"/>
        <v>7.4999999999999997E-2</v>
      </c>
      <c r="AF139" s="6">
        <f t="shared" si="79"/>
        <v>-8.119543704721595</v>
      </c>
      <c r="AG139" s="52">
        <f t="shared" si="68"/>
        <v>0.48592232789691508</v>
      </c>
      <c r="AH139" s="53">
        <f t="shared" si="69"/>
        <v>5.2333333333333334</v>
      </c>
      <c r="AI139" s="54">
        <f t="shared" si="80"/>
        <v>0.23612050874875706</v>
      </c>
      <c r="AJ139" s="54">
        <f t="shared" si="80"/>
        <v>27.387777777777778</v>
      </c>
      <c r="AK139" s="55">
        <f t="shared" si="71"/>
        <v>3.7164430768226855</v>
      </c>
      <c r="AL139" s="61" t="str">
        <f>IF(ISNUMBER(AK139),IF(AK139&lt;=1,"memenuhi",IF(AK139&lt;=5,"ringan",IF(AK139&lt;=10,"sedang","berat"))),"")</f>
        <v>ringan</v>
      </c>
    </row>
    <row r="140" spans="1:38" ht="16.5" x14ac:dyDescent="0.3">
      <c r="A140" s="13">
        <v>139</v>
      </c>
      <c r="B140" s="14" t="s">
        <v>23</v>
      </c>
      <c r="C140" s="72" t="s">
        <v>24</v>
      </c>
      <c r="D140" s="67" t="s">
        <v>52</v>
      </c>
      <c r="E140" s="73">
        <v>127</v>
      </c>
      <c r="F140" s="71">
        <v>4.26</v>
      </c>
      <c r="G140" s="71">
        <v>11.8</v>
      </c>
      <c r="H140" s="71">
        <v>60.9</v>
      </c>
      <c r="I140" s="71">
        <v>0.01</v>
      </c>
      <c r="J140" s="71">
        <v>240</v>
      </c>
      <c r="K140" s="71">
        <v>460</v>
      </c>
      <c r="L140" s="48">
        <v>50</v>
      </c>
      <c r="M140" s="48">
        <v>4</v>
      </c>
      <c r="N140" s="48">
        <v>3</v>
      </c>
      <c r="O140" s="48">
        <v>25</v>
      </c>
      <c r="P140" s="48">
        <v>0.2</v>
      </c>
      <c r="Q140" s="48">
        <v>1000</v>
      </c>
      <c r="R140" s="48">
        <v>5000</v>
      </c>
      <c r="S140" s="4">
        <f t="shared" si="63"/>
        <v>2.54</v>
      </c>
      <c r="T140" s="4">
        <f t="shared" si="67"/>
        <v>0.22833333333333336</v>
      </c>
      <c r="U140" s="4">
        <f t="shared" si="76"/>
        <v>3.9333333333333336</v>
      </c>
      <c r="V140" s="4">
        <f t="shared" si="76"/>
        <v>2.4359999999999999</v>
      </c>
      <c r="W140" s="5">
        <f t="shared" si="76"/>
        <v>4.9999999999999996E-2</v>
      </c>
      <c r="X140" s="4">
        <f t="shared" si="76"/>
        <v>0.24</v>
      </c>
      <c r="Y140" s="4">
        <f t="shared" si="76"/>
        <v>9.1999999999999998E-2</v>
      </c>
      <c r="Z140" s="6">
        <f t="shared" si="78"/>
        <v>2.54</v>
      </c>
      <c r="AA140" s="6">
        <f t="shared" si="78"/>
        <v>0.22833333333333336</v>
      </c>
      <c r="AB140" s="6">
        <f t="shared" si="78"/>
        <v>3.9333333333333336</v>
      </c>
      <c r="AC140" s="6">
        <f t="shared" si="78"/>
        <v>2.4359999999999999</v>
      </c>
      <c r="AD140" s="7">
        <f t="shared" si="78"/>
        <v>4.9999999999999996E-2</v>
      </c>
      <c r="AE140" s="6">
        <f t="shared" si="78"/>
        <v>0.24</v>
      </c>
      <c r="AF140" s="6">
        <f t="shared" si="79"/>
        <v>-4.181060863272223</v>
      </c>
      <c r="AG140" s="52">
        <f t="shared" si="68"/>
        <v>0.74951511477063515</v>
      </c>
      <c r="AH140" s="53">
        <f t="shared" si="69"/>
        <v>3.9333333333333336</v>
      </c>
      <c r="AI140" s="54">
        <f t="shared" si="80"/>
        <v>0.56177290726963836</v>
      </c>
      <c r="AJ140" s="54">
        <f t="shared" si="80"/>
        <v>15.471111111111114</v>
      </c>
      <c r="AK140" s="55">
        <f t="shared" si="71"/>
        <v>2.8313321968978449</v>
      </c>
      <c r="AL140" s="61" t="str">
        <f>IF(ISNUMBER(AK140),IF(AK140&lt;=1,"memenuhi",IF(AK140&lt;=5,"ringan",IF(AK140&lt;=10,"sedang","berat"))),"")</f>
        <v>ringan</v>
      </c>
    </row>
    <row r="141" spans="1:38" ht="16.5" x14ac:dyDescent="0.3">
      <c r="A141" s="13">
        <v>140</v>
      </c>
      <c r="B141" s="14" t="s">
        <v>25</v>
      </c>
      <c r="C141" s="66" t="s">
        <v>26</v>
      </c>
      <c r="D141" s="67" t="s">
        <v>52</v>
      </c>
      <c r="E141" s="70">
        <v>92.8</v>
      </c>
      <c r="F141" s="71">
        <v>2.72</v>
      </c>
      <c r="G141" s="71">
        <v>19.8</v>
      </c>
      <c r="H141" s="71">
        <v>71.3</v>
      </c>
      <c r="I141" s="71">
        <v>0.26800000000000002</v>
      </c>
      <c r="J141" s="71">
        <v>240</v>
      </c>
      <c r="K141" s="71">
        <v>460</v>
      </c>
      <c r="L141" s="48">
        <v>50</v>
      </c>
      <c r="M141" s="48">
        <v>4</v>
      </c>
      <c r="N141" s="48">
        <v>3</v>
      </c>
      <c r="O141" s="48">
        <v>25</v>
      </c>
      <c r="P141" s="48">
        <v>0.2</v>
      </c>
      <c r="Q141" s="48">
        <v>1000</v>
      </c>
      <c r="R141" s="48">
        <v>5000</v>
      </c>
      <c r="S141" s="4">
        <f t="shared" si="63"/>
        <v>1.8559999999999999</v>
      </c>
      <c r="T141" s="4">
        <f t="shared" si="67"/>
        <v>0.35666666666666663</v>
      </c>
      <c r="U141" s="4">
        <f t="shared" si="76"/>
        <v>6.6000000000000005</v>
      </c>
      <c r="V141" s="4">
        <f t="shared" si="76"/>
        <v>2.8519999999999999</v>
      </c>
      <c r="W141" s="5">
        <f t="shared" si="76"/>
        <v>1.34</v>
      </c>
      <c r="X141" s="4">
        <f t="shared" si="76"/>
        <v>0.24</v>
      </c>
      <c r="Y141" s="4">
        <f t="shared" si="76"/>
        <v>9.1999999999999998E-2</v>
      </c>
      <c r="Z141" s="6">
        <f t="shared" si="78"/>
        <v>1.8559999999999999</v>
      </c>
      <c r="AA141" s="6">
        <f t="shared" si="78"/>
        <v>0.35666666666666663</v>
      </c>
      <c r="AB141" s="6">
        <f t="shared" si="78"/>
        <v>6.6000000000000005</v>
      </c>
      <c r="AC141" s="6">
        <f t="shared" si="78"/>
        <v>2.8519999999999999</v>
      </c>
      <c r="AD141" s="7">
        <f t="shared" si="78"/>
        <v>1.34</v>
      </c>
      <c r="AE141" s="6">
        <f t="shared" si="78"/>
        <v>0.24</v>
      </c>
      <c r="AF141" s="6">
        <f t="shared" si="79"/>
        <v>-4.181060863272223</v>
      </c>
      <c r="AG141" s="52">
        <f t="shared" si="68"/>
        <v>1.2948008290563493</v>
      </c>
      <c r="AH141" s="53">
        <f t="shared" si="69"/>
        <v>6.6000000000000005</v>
      </c>
      <c r="AI141" s="54">
        <f t="shared" si="80"/>
        <v>1.6765091869250095</v>
      </c>
      <c r="AJ141" s="54">
        <f t="shared" si="80"/>
        <v>43.560000000000009</v>
      </c>
      <c r="AK141" s="55">
        <f t="shared" si="71"/>
        <v>4.7558652833593289</v>
      </c>
      <c r="AL141" s="61" t="str">
        <f>IF(ISNUMBER(AK141),IF(AK141&lt;=1,"memenuhi",IF(AK141&lt;=5,"ringan",IF(AK141&lt;=10,"sedang","berat"))),"")</f>
        <v>ringan</v>
      </c>
    </row>
    <row r="142" spans="1:38" ht="16.5" x14ac:dyDescent="0.3">
      <c r="A142" s="13">
        <v>141</v>
      </c>
      <c r="B142" s="14" t="s">
        <v>27</v>
      </c>
      <c r="C142" s="66" t="s">
        <v>28</v>
      </c>
      <c r="D142" s="67" t="s">
        <v>53</v>
      </c>
      <c r="E142" s="70">
        <v>19.3</v>
      </c>
      <c r="F142" s="71">
        <v>2</v>
      </c>
      <c r="G142" s="71">
        <v>45.2</v>
      </c>
      <c r="H142" s="71">
        <v>83.9</v>
      </c>
      <c r="I142" s="71">
        <v>3.65</v>
      </c>
      <c r="J142" s="71">
        <v>150</v>
      </c>
      <c r="K142" s="71">
        <v>210</v>
      </c>
      <c r="L142" s="48">
        <v>50</v>
      </c>
      <c r="M142" s="48">
        <v>4</v>
      </c>
      <c r="N142" s="48">
        <v>3</v>
      </c>
      <c r="O142" s="48">
        <v>25</v>
      </c>
      <c r="P142" s="48">
        <v>0.2</v>
      </c>
      <c r="Q142" s="48">
        <v>1000</v>
      </c>
      <c r="R142" s="48">
        <v>5000</v>
      </c>
      <c r="S142" s="4">
        <f t="shared" si="63"/>
        <v>0.38600000000000001</v>
      </c>
      <c r="T142" s="4">
        <f t="shared" si="67"/>
        <v>0.41666666666666669</v>
      </c>
      <c r="U142" s="4">
        <f t="shared" si="76"/>
        <v>15.066666666666668</v>
      </c>
      <c r="V142" s="4">
        <f t="shared" si="76"/>
        <v>3.3560000000000003</v>
      </c>
      <c r="W142" s="5">
        <f t="shared" si="76"/>
        <v>18.25</v>
      </c>
      <c r="X142" s="4">
        <f t="shared" si="76"/>
        <v>0.15</v>
      </c>
      <c r="Y142" s="4">
        <f t="shared" si="76"/>
        <v>4.2000000000000003E-2</v>
      </c>
      <c r="Z142" s="6">
        <f t="shared" si="78"/>
        <v>0.38600000000000001</v>
      </c>
      <c r="AA142" s="6">
        <f t="shared" si="78"/>
        <v>0.41666666666666669</v>
      </c>
      <c r="AB142" s="6">
        <f t="shared" si="78"/>
        <v>15.066666666666668</v>
      </c>
      <c r="AC142" s="6">
        <f t="shared" si="78"/>
        <v>3.3560000000000003</v>
      </c>
      <c r="AD142" s="7">
        <f t="shared" si="78"/>
        <v>18.25</v>
      </c>
      <c r="AE142" s="6">
        <f t="shared" si="78"/>
        <v>0.15</v>
      </c>
      <c r="AF142" s="6">
        <f t="shared" si="79"/>
        <v>-5.883753548010497</v>
      </c>
      <c r="AG142" s="52">
        <f t="shared" si="68"/>
        <v>4.5345113979032634</v>
      </c>
      <c r="AH142" s="53">
        <f t="shared" si="69"/>
        <v>18.25</v>
      </c>
      <c r="AI142" s="54">
        <f t="shared" si="80"/>
        <v>20.561793617714606</v>
      </c>
      <c r="AJ142" s="54">
        <f t="shared" si="80"/>
        <v>333.0625</v>
      </c>
      <c r="AK142" s="55">
        <f t="shared" si="71"/>
        <v>13.297072866193421</v>
      </c>
      <c r="AL142" s="61" t="str">
        <f t="shared" ref="AL142:AL166" si="81">IF(ISNUMBER(AK142),IF(AK142&lt;=1,"memenuhi",IF(AK142&lt;=5,"ringan",IF(AK142&lt;=10,"sedang","berat"))),"")</f>
        <v>berat</v>
      </c>
    </row>
    <row r="143" spans="1:38" ht="16.5" x14ac:dyDescent="0.3">
      <c r="A143" s="13">
        <v>142</v>
      </c>
      <c r="B143" s="14" t="s">
        <v>29</v>
      </c>
      <c r="C143" s="72" t="s">
        <v>30</v>
      </c>
      <c r="D143" s="67" t="s">
        <v>52</v>
      </c>
      <c r="E143" s="73">
        <v>20</v>
      </c>
      <c r="F143" s="71">
        <v>3.4</v>
      </c>
      <c r="G143" s="71">
        <v>21</v>
      </c>
      <c r="H143" s="71">
        <v>68.900000000000006</v>
      </c>
      <c r="I143" s="71">
        <v>0.43</v>
      </c>
      <c r="J143" s="71">
        <v>20</v>
      </c>
      <c r="K143" s="71">
        <v>28</v>
      </c>
      <c r="L143" s="48">
        <v>50</v>
      </c>
      <c r="M143" s="48">
        <v>4</v>
      </c>
      <c r="N143" s="48">
        <v>3</v>
      </c>
      <c r="O143" s="48">
        <v>25</v>
      </c>
      <c r="P143" s="48">
        <v>0.2</v>
      </c>
      <c r="Q143" s="48">
        <v>1000</v>
      </c>
      <c r="R143" s="48">
        <v>5000</v>
      </c>
      <c r="S143" s="4">
        <f t="shared" si="63"/>
        <v>0.4</v>
      </c>
      <c r="T143" s="4">
        <f t="shared" si="67"/>
        <v>0.3</v>
      </c>
      <c r="U143" s="4">
        <f t="shared" si="76"/>
        <v>7</v>
      </c>
      <c r="V143" s="4">
        <f t="shared" si="76"/>
        <v>2.7560000000000002</v>
      </c>
      <c r="W143" s="5">
        <f t="shared" si="76"/>
        <v>2.15</v>
      </c>
      <c r="X143" s="4">
        <f t="shared" si="76"/>
        <v>0.02</v>
      </c>
      <c r="Y143" s="4">
        <f t="shared" si="76"/>
        <v>5.5999999999999999E-3</v>
      </c>
      <c r="Z143" s="6">
        <f t="shared" si="78"/>
        <v>0.4</v>
      </c>
      <c r="AA143" s="6">
        <f t="shared" si="78"/>
        <v>0.3</v>
      </c>
      <c r="AB143" s="6">
        <f t="shared" si="78"/>
        <v>7</v>
      </c>
      <c r="AC143" s="6">
        <f t="shared" si="78"/>
        <v>2.7560000000000002</v>
      </c>
      <c r="AD143" s="7">
        <f t="shared" si="78"/>
        <v>2.15</v>
      </c>
      <c r="AE143" s="6">
        <f t="shared" si="78"/>
        <v>0.02</v>
      </c>
      <c r="AF143" s="6">
        <f t="shared" si="79"/>
        <v>-10.259059864968998</v>
      </c>
      <c r="AG143" s="52">
        <f t="shared" si="68"/>
        <v>0.3381343050044287</v>
      </c>
      <c r="AH143" s="53">
        <f t="shared" si="69"/>
        <v>7</v>
      </c>
      <c r="AI143" s="54">
        <f t="shared" si="80"/>
        <v>0.11433480822082802</v>
      </c>
      <c r="AJ143" s="54">
        <f t="shared" si="80"/>
        <v>49</v>
      </c>
      <c r="AK143" s="55">
        <f t="shared" si="71"/>
        <v>4.9555188834379811</v>
      </c>
      <c r="AL143" s="61" t="str">
        <f t="shared" si="81"/>
        <v>ringan</v>
      </c>
    </row>
    <row r="144" spans="1:38" ht="16.5" x14ac:dyDescent="0.3">
      <c r="A144" s="13">
        <v>143</v>
      </c>
      <c r="B144" s="14" t="s">
        <v>31</v>
      </c>
      <c r="C144" s="72" t="s">
        <v>32</v>
      </c>
      <c r="D144" s="67" t="s">
        <v>53</v>
      </c>
      <c r="E144" s="70">
        <v>27.6</v>
      </c>
      <c r="F144" s="71">
        <v>4.9000000000000004</v>
      </c>
      <c r="G144" s="71">
        <v>17.899999999999999</v>
      </c>
      <c r="H144" s="71">
        <v>105</v>
      </c>
      <c r="I144" s="71">
        <v>0.33900000000000002</v>
      </c>
      <c r="J144" s="71">
        <v>75</v>
      </c>
      <c r="K144" s="71">
        <v>150</v>
      </c>
      <c r="L144" s="48">
        <v>50</v>
      </c>
      <c r="M144" s="48">
        <v>4</v>
      </c>
      <c r="N144" s="48">
        <v>3</v>
      </c>
      <c r="O144" s="48">
        <v>25</v>
      </c>
      <c r="P144" s="48">
        <v>0.2</v>
      </c>
      <c r="Q144" s="48">
        <v>1000</v>
      </c>
      <c r="R144" s="48">
        <v>5000</v>
      </c>
      <c r="S144" s="4">
        <f t="shared" si="63"/>
        <v>0.55200000000000005</v>
      </c>
      <c r="T144" s="4">
        <f t="shared" si="67"/>
        <v>0.17499999999999996</v>
      </c>
      <c r="U144" s="4">
        <f t="shared" ref="U144:Y159" si="82">G144/N144</f>
        <v>5.9666666666666659</v>
      </c>
      <c r="V144" s="4">
        <f t="shared" si="82"/>
        <v>4.2</v>
      </c>
      <c r="W144" s="5">
        <f t="shared" si="82"/>
        <v>1.6950000000000001</v>
      </c>
      <c r="X144" s="4">
        <f t="shared" si="82"/>
        <v>7.4999999999999997E-2</v>
      </c>
      <c r="Y144" s="4">
        <f t="shared" si="82"/>
        <v>0.03</v>
      </c>
      <c r="Z144" s="6">
        <f t="shared" si="78"/>
        <v>0.55200000000000005</v>
      </c>
      <c r="AA144" s="6">
        <f t="shared" si="78"/>
        <v>0.17499999999999996</v>
      </c>
      <c r="AB144" s="6">
        <f t="shared" si="78"/>
        <v>5.9666666666666659</v>
      </c>
      <c r="AC144" s="6">
        <f t="shared" si="78"/>
        <v>4.2</v>
      </c>
      <c r="AD144" s="7">
        <f t="shared" si="78"/>
        <v>1.6950000000000001</v>
      </c>
      <c r="AE144" s="6">
        <f t="shared" si="78"/>
        <v>7.4999999999999997E-2</v>
      </c>
      <c r="AF144" s="6">
        <f t="shared" si="79"/>
        <v>-6.6143937264016879</v>
      </c>
      <c r="AG144" s="52">
        <f t="shared" si="68"/>
        <v>0.8641818486092826</v>
      </c>
      <c r="AH144" s="53">
        <f t="shared" si="69"/>
        <v>5.9666666666666659</v>
      </c>
      <c r="AI144" s="54">
        <f t="shared" si="80"/>
        <v>0.74681026746575707</v>
      </c>
      <c r="AJ144" s="54">
        <f t="shared" si="80"/>
        <v>35.601111111111102</v>
      </c>
      <c r="AK144" s="55">
        <f t="shared" si="71"/>
        <v>4.2630928548752518</v>
      </c>
      <c r="AL144" s="61" t="str">
        <f t="shared" si="81"/>
        <v>ringan</v>
      </c>
    </row>
    <row r="145" spans="1:38" ht="16.5" x14ac:dyDescent="0.3">
      <c r="A145" s="13">
        <v>144</v>
      </c>
      <c r="B145" s="14" t="s">
        <v>33</v>
      </c>
      <c r="C145" s="66" t="s">
        <v>34</v>
      </c>
      <c r="D145" s="67" t="s">
        <v>53</v>
      </c>
      <c r="E145" s="70">
        <v>28.8</v>
      </c>
      <c r="F145" s="71"/>
      <c r="G145" s="71">
        <v>20.8</v>
      </c>
      <c r="H145" s="71">
        <v>211</v>
      </c>
      <c r="I145" s="71">
        <v>0.45200000000000001</v>
      </c>
      <c r="J145" s="71">
        <v>120</v>
      </c>
      <c r="K145" s="71">
        <v>150</v>
      </c>
      <c r="L145" s="48">
        <v>50</v>
      </c>
      <c r="M145" s="48">
        <v>4</v>
      </c>
      <c r="N145" s="48">
        <v>3</v>
      </c>
      <c r="O145" s="48">
        <v>25</v>
      </c>
      <c r="P145" s="48">
        <v>0.2</v>
      </c>
      <c r="Q145" s="48">
        <v>1000</v>
      </c>
      <c r="R145" s="48">
        <v>5000</v>
      </c>
      <c r="S145" s="4">
        <f t="shared" si="63"/>
        <v>0.57600000000000007</v>
      </c>
      <c r="T145" s="4">
        <f t="shared" si="67"/>
        <v>0.58333333333333337</v>
      </c>
      <c r="U145" s="4">
        <f t="shared" si="82"/>
        <v>6.9333333333333336</v>
      </c>
      <c r="V145" s="4">
        <f t="shared" si="82"/>
        <v>8.44</v>
      </c>
      <c r="W145" s="5">
        <f t="shared" si="82"/>
        <v>2.2599999999999998</v>
      </c>
      <c r="X145" s="4">
        <f t="shared" si="82"/>
        <v>0.12</v>
      </c>
      <c r="Y145" s="4">
        <f t="shared" si="82"/>
        <v>0.03</v>
      </c>
      <c r="Z145" s="6">
        <f t="shared" si="78"/>
        <v>0.57600000000000007</v>
      </c>
      <c r="AA145" s="6">
        <f t="shared" si="78"/>
        <v>0.58333333333333337</v>
      </c>
      <c r="AB145" s="6">
        <f t="shared" si="78"/>
        <v>6.9333333333333336</v>
      </c>
      <c r="AC145" s="6">
        <f t="shared" si="78"/>
        <v>8.44</v>
      </c>
      <c r="AD145" s="7">
        <f t="shared" si="78"/>
        <v>2.2599999999999998</v>
      </c>
      <c r="AE145" s="6">
        <f t="shared" si="78"/>
        <v>0.12</v>
      </c>
      <c r="AF145" s="6">
        <f t="shared" si="79"/>
        <v>-6.6143937264016879</v>
      </c>
      <c r="AG145" s="52">
        <f t="shared" si="68"/>
        <v>1.7568961343235681</v>
      </c>
      <c r="AH145" s="53">
        <f t="shared" si="69"/>
        <v>8.44</v>
      </c>
      <c r="AI145" s="54">
        <f t="shared" si="80"/>
        <v>3.0866840268010969</v>
      </c>
      <c r="AJ145" s="54">
        <f t="shared" si="80"/>
        <v>71.233599999999996</v>
      </c>
      <c r="AK145" s="55">
        <f t="shared" si="71"/>
        <v>6.0959119099114734</v>
      </c>
      <c r="AL145" s="61" t="str">
        <f t="shared" si="81"/>
        <v>sedang</v>
      </c>
    </row>
    <row r="146" spans="1:38" ht="16.5" x14ac:dyDescent="0.3">
      <c r="A146" s="13">
        <v>145</v>
      </c>
      <c r="B146" s="14" t="s">
        <v>35</v>
      </c>
      <c r="C146" s="72" t="s">
        <v>36</v>
      </c>
      <c r="D146" s="67" t="s">
        <v>53</v>
      </c>
      <c r="E146" s="70">
        <v>77.5</v>
      </c>
      <c r="F146" s="71">
        <v>3.27</v>
      </c>
      <c r="G146" s="71">
        <v>9.86</v>
      </c>
      <c r="H146" s="71">
        <v>52.7</v>
      </c>
      <c r="I146" s="71">
        <v>0.03</v>
      </c>
      <c r="J146" s="71">
        <v>20</v>
      </c>
      <c r="K146" s="71">
        <v>75</v>
      </c>
      <c r="L146" s="48">
        <v>50</v>
      </c>
      <c r="M146" s="48">
        <v>4</v>
      </c>
      <c r="N146" s="48">
        <v>3</v>
      </c>
      <c r="O146" s="48">
        <v>25</v>
      </c>
      <c r="P146" s="48">
        <v>0.2</v>
      </c>
      <c r="Q146" s="48">
        <v>1000</v>
      </c>
      <c r="R146" s="48">
        <v>5000</v>
      </c>
      <c r="S146" s="4">
        <f t="shared" si="63"/>
        <v>1.55</v>
      </c>
      <c r="T146" s="4">
        <f t="shared" si="67"/>
        <v>0.31083333333333335</v>
      </c>
      <c r="U146" s="4">
        <f t="shared" si="82"/>
        <v>3.2866666666666666</v>
      </c>
      <c r="V146" s="4">
        <f t="shared" si="82"/>
        <v>2.1080000000000001</v>
      </c>
      <c r="W146" s="5">
        <f t="shared" si="82"/>
        <v>0.15</v>
      </c>
      <c r="X146" s="4">
        <f t="shared" si="82"/>
        <v>0.02</v>
      </c>
      <c r="Y146" s="4">
        <f t="shared" si="82"/>
        <v>1.4999999999999999E-2</v>
      </c>
      <c r="Z146" s="6">
        <f t="shared" si="78"/>
        <v>1.55</v>
      </c>
      <c r="AA146" s="6">
        <f t="shared" si="78"/>
        <v>0.31083333333333335</v>
      </c>
      <c r="AB146" s="6">
        <f t="shared" si="78"/>
        <v>3.2866666666666666</v>
      </c>
      <c r="AC146" s="6">
        <f t="shared" si="78"/>
        <v>2.1080000000000001</v>
      </c>
      <c r="AD146" s="7">
        <f t="shared" si="78"/>
        <v>0.15</v>
      </c>
      <c r="AE146" s="6">
        <f t="shared" si="78"/>
        <v>0.02</v>
      </c>
      <c r="AF146" s="6">
        <f t="shared" si="79"/>
        <v>-8.119543704721595</v>
      </c>
      <c r="AG146" s="52">
        <f t="shared" si="68"/>
        <v>-9.9149100674513643E-2</v>
      </c>
      <c r="AH146" s="53">
        <f t="shared" si="69"/>
        <v>3.2866666666666666</v>
      </c>
      <c r="AI146" s="54">
        <f t="shared" si="80"/>
        <v>9.830544164564841E-3</v>
      </c>
      <c r="AJ146" s="54">
        <f t="shared" si="80"/>
        <v>10.802177777777777</v>
      </c>
      <c r="AK146" s="55">
        <f t="shared" si="71"/>
        <v>2.3250815385640071</v>
      </c>
      <c r="AL146" s="61" t="str">
        <f t="shared" si="81"/>
        <v>ringan</v>
      </c>
    </row>
    <row r="147" spans="1:38" ht="16.5" x14ac:dyDescent="0.3">
      <c r="A147" s="13">
        <v>146</v>
      </c>
      <c r="B147" s="14" t="s">
        <v>37</v>
      </c>
      <c r="C147" s="72" t="s">
        <v>38</v>
      </c>
      <c r="D147" s="67" t="s">
        <v>53</v>
      </c>
      <c r="E147" s="70">
        <v>31.3</v>
      </c>
      <c r="F147" s="71">
        <v>5.2</v>
      </c>
      <c r="G147" s="71">
        <v>8.34</v>
      </c>
      <c r="H147" s="71">
        <v>162</v>
      </c>
      <c r="I147" s="71">
        <v>4.2999999999999997E-2</v>
      </c>
      <c r="J147" s="71">
        <v>18</v>
      </c>
      <c r="K147" s="71">
        <v>18</v>
      </c>
      <c r="L147" s="48">
        <v>50</v>
      </c>
      <c r="M147" s="48">
        <v>4</v>
      </c>
      <c r="N147" s="48">
        <v>3</v>
      </c>
      <c r="O147" s="48">
        <v>25</v>
      </c>
      <c r="P147" s="48">
        <v>0.2</v>
      </c>
      <c r="Q147" s="48">
        <v>1000</v>
      </c>
      <c r="R147" s="48">
        <v>5000</v>
      </c>
      <c r="S147" s="4">
        <f t="shared" si="63"/>
        <v>0.626</v>
      </c>
      <c r="T147" s="4">
        <f t="shared" si="67"/>
        <v>0.15</v>
      </c>
      <c r="U147" s="4">
        <f t="shared" si="82"/>
        <v>2.78</v>
      </c>
      <c r="V147" s="4">
        <f t="shared" si="82"/>
        <v>6.48</v>
      </c>
      <c r="W147" s="5">
        <f t="shared" si="82"/>
        <v>0.21499999999999997</v>
      </c>
      <c r="X147" s="4">
        <f t="shared" si="82"/>
        <v>1.7999999999999999E-2</v>
      </c>
      <c r="Y147" s="4">
        <f t="shared" si="82"/>
        <v>3.5999999999999999E-3</v>
      </c>
      <c r="Z147" s="6">
        <f t="shared" si="78"/>
        <v>0.626</v>
      </c>
      <c r="AA147" s="6">
        <f t="shared" si="78"/>
        <v>0.15</v>
      </c>
      <c r="AB147" s="6">
        <f t="shared" si="78"/>
        <v>2.78</v>
      </c>
      <c r="AC147" s="6">
        <f t="shared" si="78"/>
        <v>6.48</v>
      </c>
      <c r="AD147" s="7">
        <f t="shared" si="78"/>
        <v>0.21499999999999997</v>
      </c>
      <c r="AE147" s="6">
        <f t="shared" si="78"/>
        <v>1.7999999999999999E-2</v>
      </c>
      <c r="AF147" s="6">
        <f t="shared" si="79"/>
        <v>-11.218487496163563</v>
      </c>
      <c r="AG147" s="52">
        <f t="shared" si="68"/>
        <v>-0.13564107088050875</v>
      </c>
      <c r="AH147" s="53">
        <f t="shared" si="69"/>
        <v>6.48</v>
      </c>
      <c r="AI147" s="54">
        <f t="shared" si="80"/>
        <v>1.83985001096112E-2</v>
      </c>
      <c r="AJ147" s="54">
        <f t="shared" si="80"/>
        <v>41.990400000000008</v>
      </c>
      <c r="AK147" s="55">
        <f t="shared" si="71"/>
        <v>4.5830556673528209</v>
      </c>
      <c r="AL147" s="61" t="str">
        <f t="shared" si="81"/>
        <v>ringan</v>
      </c>
    </row>
    <row r="148" spans="1:38" ht="16.5" x14ac:dyDescent="0.3">
      <c r="A148" s="13">
        <v>147</v>
      </c>
      <c r="B148" s="14" t="s">
        <v>39</v>
      </c>
      <c r="C148" s="66" t="s">
        <v>40</v>
      </c>
      <c r="D148" s="67" t="s">
        <v>53</v>
      </c>
      <c r="E148" s="70">
        <v>19.3</v>
      </c>
      <c r="F148" s="71">
        <v>5.12</v>
      </c>
      <c r="G148" s="71">
        <v>15.7</v>
      </c>
      <c r="H148" s="71">
        <v>117</v>
      </c>
      <c r="I148" s="71">
        <v>0.28000000000000003</v>
      </c>
      <c r="J148" s="71">
        <v>75</v>
      </c>
      <c r="K148" s="71">
        <v>75</v>
      </c>
      <c r="L148" s="48">
        <v>50</v>
      </c>
      <c r="M148" s="48">
        <v>4</v>
      </c>
      <c r="N148" s="48">
        <v>3</v>
      </c>
      <c r="O148" s="48">
        <v>25</v>
      </c>
      <c r="P148" s="48">
        <v>0.2</v>
      </c>
      <c r="Q148" s="48">
        <v>1000</v>
      </c>
      <c r="R148" s="48">
        <v>5000</v>
      </c>
      <c r="S148" s="4">
        <f t="shared" si="63"/>
        <v>0.38600000000000001</v>
      </c>
      <c r="T148" s="4">
        <f t="shared" si="67"/>
        <v>0.15666666666666665</v>
      </c>
      <c r="U148" s="4">
        <f t="shared" si="82"/>
        <v>5.2333333333333334</v>
      </c>
      <c r="V148" s="4">
        <f t="shared" si="82"/>
        <v>4.68</v>
      </c>
      <c r="W148" s="5">
        <f t="shared" si="82"/>
        <v>1.4000000000000001</v>
      </c>
      <c r="X148" s="4">
        <f t="shared" si="82"/>
        <v>7.4999999999999997E-2</v>
      </c>
      <c r="Y148" s="4">
        <f t="shared" si="82"/>
        <v>1.4999999999999999E-2</v>
      </c>
      <c r="Z148" s="6">
        <f t="shared" si="78"/>
        <v>0.38600000000000001</v>
      </c>
      <c r="AA148" s="6">
        <f t="shared" si="78"/>
        <v>0.15666666666666665</v>
      </c>
      <c r="AB148" s="6">
        <f t="shared" si="78"/>
        <v>5.2333333333333334</v>
      </c>
      <c r="AC148" s="6">
        <f t="shared" si="78"/>
        <v>4.68</v>
      </c>
      <c r="AD148" s="7">
        <f t="shared" si="78"/>
        <v>1.4000000000000001</v>
      </c>
      <c r="AE148" s="6">
        <f t="shared" si="78"/>
        <v>7.4999999999999997E-2</v>
      </c>
      <c r="AF148" s="6">
        <f t="shared" si="79"/>
        <v>-8.119543704721595</v>
      </c>
      <c r="AG148" s="52">
        <f t="shared" si="68"/>
        <v>0.54449375646834342</v>
      </c>
      <c r="AH148" s="53">
        <f t="shared" si="69"/>
        <v>5.2333333333333334</v>
      </c>
      <c r="AI148" s="54">
        <f t="shared" si="80"/>
        <v>0.29647345083300769</v>
      </c>
      <c r="AJ148" s="54">
        <f t="shared" si="80"/>
        <v>27.387777777777778</v>
      </c>
      <c r="AK148" s="55">
        <f t="shared" si="71"/>
        <v>3.720500720911823</v>
      </c>
      <c r="AL148" s="61" t="str">
        <f t="shared" si="81"/>
        <v>ringan</v>
      </c>
    </row>
    <row r="149" spans="1:38" ht="16.5" x14ac:dyDescent="0.3">
      <c r="A149" s="13">
        <v>148</v>
      </c>
      <c r="B149" s="14" t="s">
        <v>41</v>
      </c>
      <c r="C149" s="66" t="s">
        <v>42</v>
      </c>
      <c r="D149" s="67" t="s">
        <v>53</v>
      </c>
      <c r="E149" s="73">
        <v>33</v>
      </c>
      <c r="F149" s="71">
        <v>4.9000000000000004</v>
      </c>
      <c r="G149" s="71">
        <v>10</v>
      </c>
      <c r="H149" s="71">
        <v>64</v>
      </c>
      <c r="I149" s="71">
        <v>0.153</v>
      </c>
      <c r="J149" s="71">
        <v>210</v>
      </c>
      <c r="K149" s="71">
        <v>1100</v>
      </c>
      <c r="L149" s="48">
        <v>50</v>
      </c>
      <c r="M149" s="48">
        <v>4</v>
      </c>
      <c r="N149" s="48">
        <v>3</v>
      </c>
      <c r="O149" s="48">
        <v>25</v>
      </c>
      <c r="P149" s="48">
        <v>0.2</v>
      </c>
      <c r="Q149" s="48">
        <v>1000</v>
      </c>
      <c r="R149" s="48">
        <v>5000</v>
      </c>
      <c r="S149" s="4">
        <f t="shared" si="63"/>
        <v>0.66</v>
      </c>
      <c r="T149" s="4">
        <f t="shared" si="67"/>
        <v>0.17499999999999996</v>
      </c>
      <c r="U149" s="4">
        <f t="shared" si="82"/>
        <v>3.3333333333333335</v>
      </c>
      <c r="V149" s="4">
        <f t="shared" si="82"/>
        <v>2.56</v>
      </c>
      <c r="W149" s="5">
        <f t="shared" si="82"/>
        <v>0.7649999999999999</v>
      </c>
      <c r="X149" s="4">
        <f t="shared" si="82"/>
        <v>0.21</v>
      </c>
      <c r="Y149" s="4">
        <f t="shared" si="82"/>
        <v>0.22</v>
      </c>
      <c r="Z149" s="6">
        <f t="shared" si="78"/>
        <v>0.66</v>
      </c>
      <c r="AA149" s="6">
        <f t="shared" si="78"/>
        <v>0.17499999999999996</v>
      </c>
      <c r="AB149" s="6">
        <f t="shared" si="78"/>
        <v>3.3333333333333335</v>
      </c>
      <c r="AC149" s="6">
        <f t="shared" si="78"/>
        <v>2.56</v>
      </c>
      <c r="AD149" s="7">
        <f t="shared" si="78"/>
        <v>0.7649999999999999</v>
      </c>
      <c r="AE149" s="6">
        <f t="shared" si="78"/>
        <v>0.21</v>
      </c>
      <c r="AF149" s="6">
        <f t="shared" si="79"/>
        <v>-2.2878865958889687</v>
      </c>
      <c r="AG149" s="52">
        <f t="shared" si="68"/>
        <v>0.77363524820633778</v>
      </c>
      <c r="AH149" s="53">
        <f t="shared" si="69"/>
        <v>3.3333333333333335</v>
      </c>
      <c r="AI149" s="54">
        <f t="shared" si="80"/>
        <v>0.59851149726728181</v>
      </c>
      <c r="AJ149" s="54">
        <f t="shared" si="80"/>
        <v>11.111111111111112</v>
      </c>
      <c r="AK149" s="55">
        <f t="shared" si="71"/>
        <v>2.4196717347998256</v>
      </c>
      <c r="AL149" s="61" t="str">
        <f t="shared" si="81"/>
        <v>ringan</v>
      </c>
    </row>
    <row r="150" spans="1:38" ht="16.5" x14ac:dyDescent="0.3">
      <c r="A150" s="13">
        <v>149</v>
      </c>
      <c r="B150" s="14" t="s">
        <v>43</v>
      </c>
      <c r="C150" s="72" t="s">
        <v>44</v>
      </c>
      <c r="D150" s="67" t="s">
        <v>53</v>
      </c>
      <c r="E150" s="70">
        <v>59.8</v>
      </c>
      <c r="F150" s="71">
        <v>3.85</v>
      </c>
      <c r="G150" s="71">
        <v>18.2</v>
      </c>
      <c r="H150" s="71">
        <v>64.7</v>
      </c>
      <c r="I150" s="71">
        <v>0.19800000000000001</v>
      </c>
      <c r="J150" s="71">
        <v>75</v>
      </c>
      <c r="K150" s="71">
        <v>150</v>
      </c>
      <c r="L150" s="48">
        <v>50</v>
      </c>
      <c r="M150" s="48">
        <v>4</v>
      </c>
      <c r="N150" s="48">
        <v>3</v>
      </c>
      <c r="O150" s="48">
        <v>25</v>
      </c>
      <c r="P150" s="48">
        <v>0.2</v>
      </c>
      <c r="Q150" s="48">
        <v>1000</v>
      </c>
      <c r="R150" s="48">
        <v>5000</v>
      </c>
      <c r="S150" s="4">
        <f t="shared" si="63"/>
        <v>1.196</v>
      </c>
      <c r="T150" s="4">
        <f t="shared" si="67"/>
        <v>0.26250000000000001</v>
      </c>
      <c r="U150" s="4">
        <f t="shared" si="82"/>
        <v>6.0666666666666664</v>
      </c>
      <c r="V150" s="4">
        <f t="shared" si="82"/>
        <v>2.5880000000000001</v>
      </c>
      <c r="W150" s="5">
        <f t="shared" si="82"/>
        <v>0.99</v>
      </c>
      <c r="X150" s="4">
        <f t="shared" si="82"/>
        <v>7.4999999999999997E-2</v>
      </c>
      <c r="Y150" s="4">
        <f t="shared" si="82"/>
        <v>0.03</v>
      </c>
      <c r="Z150" s="6">
        <f t="shared" si="78"/>
        <v>1.196</v>
      </c>
      <c r="AA150" s="6">
        <f t="shared" si="78"/>
        <v>0.26250000000000001</v>
      </c>
      <c r="AB150" s="6">
        <f t="shared" si="78"/>
        <v>6.0666666666666664</v>
      </c>
      <c r="AC150" s="6">
        <f t="shared" si="78"/>
        <v>2.5880000000000001</v>
      </c>
      <c r="AD150" s="7">
        <f t="shared" si="78"/>
        <v>0.99</v>
      </c>
      <c r="AE150" s="6">
        <f t="shared" si="78"/>
        <v>7.4999999999999997E-2</v>
      </c>
      <c r="AF150" s="6">
        <f t="shared" si="79"/>
        <v>-6.6143937264016879</v>
      </c>
      <c r="AG150" s="52">
        <f t="shared" si="68"/>
        <v>0.65196756289499691</v>
      </c>
      <c r="AH150" s="53">
        <f t="shared" si="69"/>
        <v>6.0666666666666664</v>
      </c>
      <c r="AI150" s="54">
        <f t="shared" si="80"/>
        <v>0.42506170306724173</v>
      </c>
      <c r="AJ150" s="54">
        <f t="shared" si="80"/>
        <v>36.804444444444442</v>
      </c>
      <c r="AK150" s="55">
        <f t="shared" si="71"/>
        <v>4.314481785076377</v>
      </c>
      <c r="AL150" s="61" t="str">
        <f t="shared" si="81"/>
        <v>ringan</v>
      </c>
    </row>
    <row r="151" spans="1:38" ht="16.5" x14ac:dyDescent="0.3">
      <c r="A151" s="13">
        <v>150</v>
      </c>
      <c r="B151" s="14" t="s">
        <v>45</v>
      </c>
      <c r="C151" s="72" t="s">
        <v>46</v>
      </c>
      <c r="D151" s="67" t="s">
        <v>53</v>
      </c>
      <c r="E151" s="70">
        <v>59.3</v>
      </c>
      <c r="F151" s="71">
        <v>4.42</v>
      </c>
      <c r="G151" s="71">
        <v>4.6500000000000004</v>
      </c>
      <c r="H151" s="71">
        <v>39.6</v>
      </c>
      <c r="I151" s="71">
        <v>0.154</v>
      </c>
      <c r="J151" s="71">
        <v>93</v>
      </c>
      <c r="K151" s="71">
        <v>150</v>
      </c>
      <c r="L151" s="48">
        <v>50</v>
      </c>
      <c r="M151" s="48">
        <v>4</v>
      </c>
      <c r="N151" s="48">
        <v>3</v>
      </c>
      <c r="O151" s="48">
        <v>25</v>
      </c>
      <c r="P151" s="48">
        <v>0.2</v>
      </c>
      <c r="Q151" s="48">
        <v>1000</v>
      </c>
      <c r="R151" s="48">
        <v>5000</v>
      </c>
      <c r="S151" s="4">
        <f t="shared" si="63"/>
        <v>1.1859999999999999</v>
      </c>
      <c r="T151" s="4">
        <f t="shared" si="67"/>
        <v>0.215</v>
      </c>
      <c r="U151" s="4">
        <f t="shared" si="82"/>
        <v>1.55</v>
      </c>
      <c r="V151" s="4">
        <f t="shared" si="82"/>
        <v>1.5840000000000001</v>
      </c>
      <c r="W151" s="5">
        <f t="shared" si="82"/>
        <v>0.76999999999999991</v>
      </c>
      <c r="X151" s="4">
        <f t="shared" si="82"/>
        <v>9.2999999999999999E-2</v>
      </c>
      <c r="Y151" s="4">
        <f t="shared" si="82"/>
        <v>0.03</v>
      </c>
      <c r="Z151" s="6">
        <f t="shared" si="78"/>
        <v>1.1859999999999999</v>
      </c>
      <c r="AA151" s="6">
        <f t="shared" si="78"/>
        <v>0.215</v>
      </c>
      <c r="AB151" s="6">
        <f t="shared" si="78"/>
        <v>1.55</v>
      </c>
      <c r="AC151" s="6">
        <f t="shared" si="78"/>
        <v>1.5840000000000001</v>
      </c>
      <c r="AD151" s="7">
        <f t="shared" si="78"/>
        <v>0.76999999999999991</v>
      </c>
      <c r="AE151" s="6">
        <f t="shared" si="78"/>
        <v>9.2999999999999999E-2</v>
      </c>
      <c r="AF151" s="6">
        <f t="shared" si="79"/>
        <v>-6.6143937264016879</v>
      </c>
      <c r="AG151" s="52">
        <f t="shared" si="68"/>
        <v>-0.17377053234309831</v>
      </c>
      <c r="AH151" s="53">
        <f t="shared" si="69"/>
        <v>1.5840000000000001</v>
      </c>
      <c r="AI151" s="54">
        <f t="shared" si="80"/>
        <v>3.0196197910803774E-2</v>
      </c>
      <c r="AJ151" s="54">
        <f t="shared" si="80"/>
        <v>2.5090560000000002</v>
      </c>
      <c r="AK151" s="55">
        <f t="shared" si="71"/>
        <v>1.1267768629837063</v>
      </c>
      <c r="AL151" s="61" t="str">
        <f t="shared" si="81"/>
        <v>ringan</v>
      </c>
    </row>
    <row r="152" spans="1:38" ht="16.5" x14ac:dyDescent="0.3">
      <c r="A152" s="13">
        <v>151</v>
      </c>
      <c r="B152" s="14" t="s">
        <v>17</v>
      </c>
      <c r="C152" s="66" t="s">
        <v>18</v>
      </c>
      <c r="D152" s="67" t="s">
        <v>54</v>
      </c>
      <c r="E152" s="73">
        <v>24</v>
      </c>
      <c r="F152" s="71">
        <v>2</v>
      </c>
      <c r="G152" s="71">
        <v>2.4</v>
      </c>
      <c r="H152" s="71">
        <v>31</v>
      </c>
      <c r="I152" s="71"/>
      <c r="J152" s="71">
        <v>75</v>
      </c>
      <c r="K152" s="71">
        <v>1100</v>
      </c>
      <c r="L152" s="48">
        <v>50</v>
      </c>
      <c r="M152" s="48">
        <v>4</v>
      </c>
      <c r="N152" s="48">
        <v>3</v>
      </c>
      <c r="O152" s="48">
        <v>25</v>
      </c>
      <c r="P152" s="48">
        <v>0.2</v>
      </c>
      <c r="Q152" s="48">
        <v>1000</v>
      </c>
      <c r="R152" s="48">
        <v>5000</v>
      </c>
      <c r="S152" s="4">
        <f t="shared" si="63"/>
        <v>0.48</v>
      </c>
      <c r="T152" s="4">
        <f t="shared" si="67"/>
        <v>0.41666666666666669</v>
      </c>
      <c r="U152" s="4">
        <f t="shared" si="82"/>
        <v>0.79999999999999993</v>
      </c>
      <c r="V152" s="4">
        <f t="shared" si="82"/>
        <v>1.24</v>
      </c>
      <c r="W152" s="5">
        <f t="shared" si="82"/>
        <v>0</v>
      </c>
      <c r="X152" s="4">
        <f t="shared" si="82"/>
        <v>7.4999999999999997E-2</v>
      </c>
      <c r="Y152" s="4">
        <f t="shared" si="82"/>
        <v>0.22</v>
      </c>
      <c r="Z152" s="6">
        <f t="shared" si="78"/>
        <v>0.48</v>
      </c>
      <c r="AA152" s="6">
        <f t="shared" si="78"/>
        <v>0.41666666666666669</v>
      </c>
      <c r="AB152" s="6">
        <f t="shared" si="78"/>
        <v>0.79999999999999993</v>
      </c>
      <c r="AC152" s="6">
        <f t="shared" si="78"/>
        <v>1.24</v>
      </c>
      <c r="AD152" s="7">
        <f t="shared" si="78"/>
        <v>0</v>
      </c>
      <c r="AE152" s="6">
        <f t="shared" si="78"/>
        <v>7.4999999999999997E-2</v>
      </c>
      <c r="AF152" s="6">
        <f t="shared" si="79"/>
        <v>-2.2878865958889687</v>
      </c>
      <c r="AG152" s="52">
        <f t="shared" si="68"/>
        <v>0.10339715296824258</v>
      </c>
      <c r="AH152" s="53">
        <f t="shared" si="69"/>
        <v>1.24</v>
      </c>
      <c r="AI152" s="54">
        <f t="shared" si="80"/>
        <v>1.0690971241938154E-2</v>
      </c>
      <c r="AJ152" s="54">
        <f t="shared" si="80"/>
        <v>1.5376000000000001</v>
      </c>
      <c r="AK152" s="55">
        <f t="shared" si="71"/>
        <v>0.87985537767349531</v>
      </c>
      <c r="AL152" s="61" t="str">
        <f t="shared" si="81"/>
        <v>memenuhi</v>
      </c>
    </row>
    <row r="153" spans="1:38" ht="16.5" x14ac:dyDescent="0.3">
      <c r="A153" s="13">
        <v>152</v>
      </c>
      <c r="B153" s="14" t="s">
        <v>19</v>
      </c>
      <c r="C153" s="66" t="s">
        <v>47</v>
      </c>
      <c r="D153" s="67" t="s">
        <v>54</v>
      </c>
      <c r="E153" s="73">
        <v>76</v>
      </c>
      <c r="F153" s="71">
        <v>7</v>
      </c>
      <c r="G153" s="71">
        <v>12.8</v>
      </c>
      <c r="H153" s="71">
        <v>26</v>
      </c>
      <c r="I153" s="71"/>
      <c r="J153" s="71">
        <v>75</v>
      </c>
      <c r="K153" s="71">
        <v>1100</v>
      </c>
      <c r="L153" s="48">
        <v>50</v>
      </c>
      <c r="M153" s="48">
        <v>4</v>
      </c>
      <c r="N153" s="48">
        <v>3</v>
      </c>
      <c r="O153" s="48">
        <v>25</v>
      </c>
      <c r="P153" s="48">
        <v>0.2</v>
      </c>
      <c r="Q153" s="48">
        <v>1000</v>
      </c>
      <c r="R153" s="48">
        <v>5000</v>
      </c>
      <c r="S153" s="4">
        <f t="shared" si="63"/>
        <v>1.52</v>
      </c>
      <c r="T153" s="4">
        <f t="shared" si="67"/>
        <v>0</v>
      </c>
      <c r="U153" s="4">
        <f t="shared" si="82"/>
        <v>4.2666666666666666</v>
      </c>
      <c r="V153" s="4">
        <f t="shared" si="82"/>
        <v>1.04</v>
      </c>
      <c r="W153" s="5">
        <f t="shared" si="82"/>
        <v>0</v>
      </c>
      <c r="X153" s="4">
        <f t="shared" si="82"/>
        <v>7.4999999999999997E-2</v>
      </c>
      <c r="Y153" s="4">
        <f t="shared" si="82"/>
        <v>0.22</v>
      </c>
      <c r="Z153" s="6">
        <f t="shared" ref="Z153:AF168" si="83">S153</f>
        <v>1.52</v>
      </c>
      <c r="AA153" s="6">
        <f t="shared" si="83"/>
        <v>0</v>
      </c>
      <c r="AB153" s="6">
        <f t="shared" si="83"/>
        <v>4.2666666666666666</v>
      </c>
      <c r="AC153" s="6">
        <f t="shared" si="83"/>
        <v>1.04</v>
      </c>
      <c r="AD153" s="7">
        <f t="shared" si="83"/>
        <v>0</v>
      </c>
      <c r="AE153" s="6">
        <f t="shared" si="83"/>
        <v>7.4999999999999997E-2</v>
      </c>
      <c r="AF153" s="6">
        <f t="shared" si="79"/>
        <v>-2.2878865958889687</v>
      </c>
      <c r="AG153" s="52">
        <f t="shared" si="68"/>
        <v>0.65911143868252842</v>
      </c>
      <c r="AH153" s="53">
        <f t="shared" si="69"/>
        <v>4.2666666666666666</v>
      </c>
      <c r="AI153" s="54">
        <f t="shared" si="80"/>
        <v>0.43442788860215242</v>
      </c>
      <c r="AJ153" s="54">
        <f t="shared" si="80"/>
        <v>18.204444444444444</v>
      </c>
      <c r="AK153" s="55">
        <f t="shared" si="71"/>
        <v>3.0527751582000429</v>
      </c>
      <c r="AL153" s="61" t="str">
        <f t="shared" si="81"/>
        <v>ringan</v>
      </c>
    </row>
    <row r="154" spans="1:38" ht="16.5" x14ac:dyDescent="0.3">
      <c r="A154" s="13">
        <v>153</v>
      </c>
      <c r="B154" s="14" t="s">
        <v>21</v>
      </c>
      <c r="C154" s="66" t="s">
        <v>22</v>
      </c>
      <c r="D154" s="67" t="s">
        <v>54</v>
      </c>
      <c r="E154" s="73">
        <v>102</v>
      </c>
      <c r="F154" s="71">
        <v>5</v>
      </c>
      <c r="G154" s="71">
        <v>11</v>
      </c>
      <c r="H154" s="71">
        <v>30</v>
      </c>
      <c r="I154" s="71"/>
      <c r="J154" s="71">
        <v>460</v>
      </c>
      <c r="K154" s="71">
        <v>1100</v>
      </c>
      <c r="L154" s="48">
        <v>50</v>
      </c>
      <c r="M154" s="48">
        <v>4</v>
      </c>
      <c r="N154" s="48">
        <v>3</v>
      </c>
      <c r="O154" s="48">
        <v>25</v>
      </c>
      <c r="P154" s="48">
        <v>0.2</v>
      </c>
      <c r="Q154" s="48">
        <v>1000</v>
      </c>
      <c r="R154" s="48">
        <v>5000</v>
      </c>
      <c r="S154" s="4">
        <f t="shared" si="63"/>
        <v>2.04</v>
      </c>
      <c r="T154" s="4">
        <f t="shared" si="67"/>
        <v>0.16666666666666666</v>
      </c>
      <c r="U154" s="4">
        <f t="shared" si="82"/>
        <v>3.6666666666666665</v>
      </c>
      <c r="V154" s="4">
        <f t="shared" si="82"/>
        <v>1.2</v>
      </c>
      <c r="W154" s="5">
        <f t="shared" si="82"/>
        <v>0</v>
      </c>
      <c r="X154" s="4">
        <f t="shared" si="82"/>
        <v>0.46</v>
      </c>
      <c r="Y154" s="4">
        <f t="shared" si="82"/>
        <v>0.22</v>
      </c>
      <c r="Z154" s="6">
        <f t="shared" si="83"/>
        <v>2.04</v>
      </c>
      <c r="AA154" s="6">
        <f t="shared" si="83"/>
        <v>0.16666666666666666</v>
      </c>
      <c r="AB154" s="6">
        <f t="shared" si="83"/>
        <v>3.6666666666666665</v>
      </c>
      <c r="AC154" s="6">
        <f t="shared" si="83"/>
        <v>1.2</v>
      </c>
      <c r="AD154" s="7">
        <f t="shared" si="83"/>
        <v>0</v>
      </c>
      <c r="AE154" s="6">
        <f t="shared" si="83"/>
        <v>0.46</v>
      </c>
      <c r="AF154" s="6">
        <f t="shared" si="79"/>
        <v>-2.2878865958889687</v>
      </c>
      <c r="AG154" s="52">
        <f t="shared" si="68"/>
        <v>0.74934953392062353</v>
      </c>
      <c r="AH154" s="53">
        <f t="shared" si="69"/>
        <v>3.6666666666666665</v>
      </c>
      <c r="AI154" s="54">
        <f t="shared" si="80"/>
        <v>0.56152472398705577</v>
      </c>
      <c r="AJ154" s="54">
        <f t="shared" si="80"/>
        <v>13.444444444444443</v>
      </c>
      <c r="AK154" s="55">
        <f t="shared" si="71"/>
        <v>2.6463152843559192</v>
      </c>
      <c r="AL154" s="61" t="str">
        <f t="shared" si="81"/>
        <v>ringan</v>
      </c>
    </row>
    <row r="155" spans="1:38" ht="16.5" x14ac:dyDescent="0.3">
      <c r="A155" s="13">
        <v>154</v>
      </c>
      <c r="B155" s="14" t="s">
        <v>23</v>
      </c>
      <c r="C155" s="72" t="s">
        <v>24</v>
      </c>
      <c r="D155" s="67" t="s">
        <v>54</v>
      </c>
      <c r="E155" s="73">
        <v>36</v>
      </c>
      <c r="F155" s="71">
        <v>4.4000000000000004</v>
      </c>
      <c r="G155" s="71">
        <v>9</v>
      </c>
      <c r="H155" s="71">
        <v>50.3</v>
      </c>
      <c r="I155" s="71"/>
      <c r="J155" s="71">
        <v>1100</v>
      </c>
      <c r="K155" s="71">
        <v>1100</v>
      </c>
      <c r="L155" s="48">
        <v>50</v>
      </c>
      <c r="M155" s="48">
        <v>4</v>
      </c>
      <c r="N155" s="48">
        <v>3</v>
      </c>
      <c r="O155" s="48">
        <v>25</v>
      </c>
      <c r="P155" s="48">
        <v>0.2</v>
      </c>
      <c r="Q155" s="48">
        <v>1000</v>
      </c>
      <c r="R155" s="48">
        <v>5000</v>
      </c>
      <c r="S155" s="4">
        <f t="shared" si="63"/>
        <v>0.72</v>
      </c>
      <c r="T155" s="4">
        <f t="shared" si="67"/>
        <v>0.21666666666666665</v>
      </c>
      <c r="U155" s="4">
        <f t="shared" si="82"/>
        <v>3</v>
      </c>
      <c r="V155" s="4">
        <f t="shared" si="82"/>
        <v>2.012</v>
      </c>
      <c r="W155" s="5">
        <f t="shared" si="82"/>
        <v>0</v>
      </c>
      <c r="X155" s="4">
        <f t="shared" si="82"/>
        <v>1.1000000000000001</v>
      </c>
      <c r="Y155" s="4">
        <f t="shared" si="82"/>
        <v>0.22</v>
      </c>
      <c r="Z155" s="6">
        <f t="shared" si="83"/>
        <v>0.72</v>
      </c>
      <c r="AA155" s="6">
        <f t="shared" si="83"/>
        <v>0.21666666666666665</v>
      </c>
      <c r="AB155" s="6">
        <f t="shared" si="83"/>
        <v>3</v>
      </c>
      <c r="AC155" s="6">
        <f t="shared" si="83"/>
        <v>2.012</v>
      </c>
      <c r="AD155" s="7">
        <f t="shared" si="83"/>
        <v>0</v>
      </c>
      <c r="AE155" s="6">
        <f t="shared" si="83"/>
        <v>1.1000000000000001</v>
      </c>
      <c r="AF155" s="6">
        <f t="shared" si="79"/>
        <v>-2.2878865958889687</v>
      </c>
      <c r="AG155" s="52">
        <f t="shared" si="68"/>
        <v>0.6801114386825281</v>
      </c>
      <c r="AH155" s="53">
        <f t="shared" si="69"/>
        <v>3</v>
      </c>
      <c r="AI155" s="54">
        <f t="shared" si="80"/>
        <v>0.46255156902681821</v>
      </c>
      <c r="AJ155" s="54">
        <f t="shared" si="80"/>
        <v>9</v>
      </c>
      <c r="AK155" s="55">
        <f t="shared" si="71"/>
        <v>2.1751496004903683</v>
      </c>
      <c r="AL155" s="61" t="str">
        <f t="shared" si="81"/>
        <v>ringan</v>
      </c>
    </row>
    <row r="156" spans="1:38" ht="16.5" x14ac:dyDescent="0.3">
      <c r="A156" s="13">
        <v>155</v>
      </c>
      <c r="B156" s="14" t="s">
        <v>25</v>
      </c>
      <c r="C156" s="66" t="s">
        <v>26</v>
      </c>
      <c r="D156" s="67" t="s">
        <v>54</v>
      </c>
      <c r="E156" s="73">
        <v>82</v>
      </c>
      <c r="F156" s="71">
        <v>3.4</v>
      </c>
      <c r="G156" s="71">
        <v>18</v>
      </c>
      <c r="H156" s="71">
        <v>74</v>
      </c>
      <c r="I156" s="71"/>
      <c r="J156" s="71">
        <v>210</v>
      </c>
      <c r="K156" s="71">
        <v>1100</v>
      </c>
      <c r="L156" s="48">
        <v>50</v>
      </c>
      <c r="M156" s="48">
        <v>4</v>
      </c>
      <c r="N156" s="48">
        <v>3</v>
      </c>
      <c r="O156" s="48">
        <v>25</v>
      </c>
      <c r="P156" s="48">
        <v>0.2</v>
      </c>
      <c r="Q156" s="48">
        <v>1000</v>
      </c>
      <c r="R156" s="48">
        <v>5000</v>
      </c>
      <c r="S156" s="4">
        <f t="shared" si="63"/>
        <v>1.64</v>
      </c>
      <c r="T156" s="4">
        <f t="shared" si="67"/>
        <v>0.3</v>
      </c>
      <c r="U156" s="4">
        <f t="shared" si="82"/>
        <v>6</v>
      </c>
      <c r="V156" s="4">
        <f t="shared" si="82"/>
        <v>2.96</v>
      </c>
      <c r="W156" s="5">
        <f t="shared" si="82"/>
        <v>0</v>
      </c>
      <c r="X156" s="4">
        <f t="shared" si="82"/>
        <v>0.21</v>
      </c>
      <c r="Y156" s="4">
        <f t="shared" si="82"/>
        <v>0.22</v>
      </c>
      <c r="Z156" s="6">
        <f t="shared" si="83"/>
        <v>1.64</v>
      </c>
      <c r="AA156" s="6">
        <f t="shared" si="83"/>
        <v>0.3</v>
      </c>
      <c r="AB156" s="6">
        <f t="shared" si="83"/>
        <v>6</v>
      </c>
      <c r="AC156" s="6">
        <f t="shared" si="83"/>
        <v>2.96</v>
      </c>
      <c r="AD156" s="7">
        <f t="shared" si="83"/>
        <v>0</v>
      </c>
      <c r="AE156" s="6">
        <f t="shared" si="83"/>
        <v>0.21</v>
      </c>
      <c r="AF156" s="6">
        <f t="shared" si="79"/>
        <v>-2.2878865958889687</v>
      </c>
      <c r="AG156" s="52">
        <f t="shared" si="68"/>
        <v>1.2603019148730044</v>
      </c>
      <c r="AH156" s="53">
        <f t="shared" si="69"/>
        <v>6</v>
      </c>
      <c r="AI156" s="54">
        <f t="shared" si="80"/>
        <v>1.5883609166325616</v>
      </c>
      <c r="AJ156" s="54">
        <f t="shared" si="80"/>
        <v>36</v>
      </c>
      <c r="AK156" s="55">
        <f t="shared" si="71"/>
        <v>4.3352255371913788</v>
      </c>
      <c r="AL156" s="61" t="str">
        <f t="shared" si="81"/>
        <v>ringan</v>
      </c>
    </row>
    <row r="157" spans="1:38" ht="16.5" x14ac:dyDescent="0.3">
      <c r="A157" s="13">
        <v>156</v>
      </c>
      <c r="B157" s="14" t="s">
        <v>27</v>
      </c>
      <c r="C157" s="66" t="s">
        <v>28</v>
      </c>
      <c r="D157" s="67" t="s">
        <v>54</v>
      </c>
      <c r="E157" s="73">
        <v>17</v>
      </c>
      <c r="F157" s="71">
        <v>0.2</v>
      </c>
      <c r="G157" s="71">
        <v>28</v>
      </c>
      <c r="H157" s="71">
        <v>96</v>
      </c>
      <c r="I157" s="71"/>
      <c r="J157" s="71">
        <v>1100</v>
      </c>
      <c r="K157" s="71">
        <v>1100</v>
      </c>
      <c r="L157" s="48">
        <v>50</v>
      </c>
      <c r="M157" s="48">
        <v>4</v>
      </c>
      <c r="N157" s="48">
        <v>3</v>
      </c>
      <c r="O157" s="48">
        <v>25</v>
      </c>
      <c r="P157" s="48">
        <v>0.2</v>
      </c>
      <c r="Q157" s="48">
        <v>1000</v>
      </c>
      <c r="R157" s="48">
        <v>5000</v>
      </c>
      <c r="S157" s="4">
        <f t="shared" si="63"/>
        <v>0.34</v>
      </c>
      <c r="T157" s="4">
        <f t="shared" si="67"/>
        <v>0.56666666666666665</v>
      </c>
      <c r="U157" s="4">
        <f t="shared" si="82"/>
        <v>9.3333333333333339</v>
      </c>
      <c r="V157" s="4">
        <f t="shared" si="82"/>
        <v>3.84</v>
      </c>
      <c r="W157" s="5">
        <f t="shared" si="82"/>
        <v>0</v>
      </c>
      <c r="X157" s="4">
        <f t="shared" si="82"/>
        <v>1.1000000000000001</v>
      </c>
      <c r="Y157" s="4">
        <f t="shared" si="82"/>
        <v>0.22</v>
      </c>
      <c r="Z157" s="6">
        <f t="shared" si="83"/>
        <v>0.34</v>
      </c>
      <c r="AA157" s="6">
        <f t="shared" si="83"/>
        <v>0.56666666666666665</v>
      </c>
      <c r="AB157" s="6">
        <f t="shared" si="83"/>
        <v>9.3333333333333339</v>
      </c>
      <c r="AC157" s="6">
        <f t="shared" si="83"/>
        <v>3.84</v>
      </c>
      <c r="AD157" s="7">
        <f t="shared" si="83"/>
        <v>0</v>
      </c>
      <c r="AE157" s="6">
        <f t="shared" si="83"/>
        <v>1.1000000000000001</v>
      </c>
      <c r="AF157" s="6">
        <f t="shared" si="79"/>
        <v>-2.2878865958889687</v>
      </c>
      <c r="AG157" s="52">
        <f t="shared" si="68"/>
        <v>1.8417304863015758</v>
      </c>
      <c r="AH157" s="53">
        <f t="shared" si="69"/>
        <v>9.3333333333333339</v>
      </c>
      <c r="AI157" s="54">
        <f t="shared" si="80"/>
        <v>3.3919711841726388</v>
      </c>
      <c r="AJ157" s="54">
        <f t="shared" si="80"/>
        <v>87.111111111111128</v>
      </c>
      <c r="AK157" s="55">
        <f t="shared" si="71"/>
        <v>6.7269265751635698</v>
      </c>
      <c r="AL157" s="61" t="str">
        <f t="shared" si="81"/>
        <v>sedang</v>
      </c>
    </row>
    <row r="158" spans="1:38" ht="16.5" x14ac:dyDescent="0.3">
      <c r="A158" s="13">
        <v>157</v>
      </c>
      <c r="B158" s="14" t="s">
        <v>29</v>
      </c>
      <c r="C158" s="72" t="s">
        <v>30</v>
      </c>
      <c r="D158" s="67" t="s">
        <v>54</v>
      </c>
      <c r="E158" s="73">
        <v>21</v>
      </c>
      <c r="F158" s="71">
        <v>7</v>
      </c>
      <c r="G158" s="71">
        <v>17</v>
      </c>
      <c r="H158" s="71">
        <v>66</v>
      </c>
      <c r="I158" s="71"/>
      <c r="J158" s="71">
        <v>1100</v>
      </c>
      <c r="K158" s="71">
        <v>1100</v>
      </c>
      <c r="L158" s="48">
        <v>50</v>
      </c>
      <c r="M158" s="48">
        <v>4</v>
      </c>
      <c r="N158" s="48">
        <v>3</v>
      </c>
      <c r="O158" s="48">
        <v>25</v>
      </c>
      <c r="P158" s="48">
        <v>0.2</v>
      </c>
      <c r="Q158" s="48">
        <v>1000</v>
      </c>
      <c r="R158" s="48">
        <v>5000</v>
      </c>
      <c r="S158" s="4">
        <f t="shared" si="63"/>
        <v>0.42</v>
      </c>
      <c r="T158" s="4">
        <f t="shared" si="67"/>
        <v>0</v>
      </c>
      <c r="U158" s="4">
        <f t="shared" si="82"/>
        <v>5.666666666666667</v>
      </c>
      <c r="V158" s="4">
        <f t="shared" si="82"/>
        <v>2.64</v>
      </c>
      <c r="W158" s="5">
        <f t="shared" si="82"/>
        <v>0</v>
      </c>
      <c r="X158" s="4">
        <f t="shared" si="82"/>
        <v>1.1000000000000001</v>
      </c>
      <c r="Y158" s="4">
        <f t="shared" si="82"/>
        <v>0.22</v>
      </c>
      <c r="Z158" s="6">
        <f t="shared" si="83"/>
        <v>0.42</v>
      </c>
      <c r="AA158" s="6">
        <f t="shared" si="83"/>
        <v>0</v>
      </c>
      <c r="AB158" s="6">
        <f t="shared" si="83"/>
        <v>5.666666666666667</v>
      </c>
      <c r="AC158" s="6">
        <f t="shared" si="83"/>
        <v>2.64</v>
      </c>
      <c r="AD158" s="7">
        <f t="shared" si="83"/>
        <v>0</v>
      </c>
      <c r="AE158" s="6">
        <f t="shared" si="83"/>
        <v>1.1000000000000001</v>
      </c>
      <c r="AF158" s="6">
        <f t="shared" si="79"/>
        <v>-2.2878865958889687</v>
      </c>
      <c r="AG158" s="52">
        <f t="shared" si="68"/>
        <v>1.076968581539671</v>
      </c>
      <c r="AH158" s="53">
        <f t="shared" si="69"/>
        <v>5.666666666666667</v>
      </c>
      <c r="AI158" s="54">
        <f t="shared" si="80"/>
        <v>1.159861325623571</v>
      </c>
      <c r="AJ158" s="54">
        <f t="shared" si="80"/>
        <v>32.111111111111114</v>
      </c>
      <c r="AK158" s="55">
        <f t="shared" si="71"/>
        <v>4.0786623074688766</v>
      </c>
      <c r="AL158" s="61" t="str">
        <f t="shared" si="81"/>
        <v>ringan</v>
      </c>
    </row>
    <row r="159" spans="1:38" ht="16.5" x14ac:dyDescent="0.3">
      <c r="A159" s="13">
        <v>158</v>
      </c>
      <c r="B159" s="14" t="s">
        <v>31</v>
      </c>
      <c r="C159" s="72" t="s">
        <v>32</v>
      </c>
      <c r="D159" s="67" t="s">
        <v>54</v>
      </c>
      <c r="E159" s="73">
        <v>122</v>
      </c>
      <c r="F159" s="71">
        <v>1</v>
      </c>
      <c r="G159" s="71">
        <v>148</v>
      </c>
      <c r="H159" s="71">
        <v>362</v>
      </c>
      <c r="I159" s="71"/>
      <c r="J159" s="71">
        <v>120</v>
      </c>
      <c r="K159" s="71">
        <v>1100</v>
      </c>
      <c r="L159" s="48">
        <v>50</v>
      </c>
      <c r="M159" s="48">
        <v>4</v>
      </c>
      <c r="N159" s="48">
        <v>3</v>
      </c>
      <c r="O159" s="48">
        <v>25</v>
      </c>
      <c r="P159" s="48">
        <v>0.2</v>
      </c>
      <c r="Q159" s="48">
        <v>1000</v>
      </c>
      <c r="R159" s="48">
        <v>5000</v>
      </c>
      <c r="S159" s="4">
        <f t="shared" si="63"/>
        <v>2.44</v>
      </c>
      <c r="T159" s="4">
        <f t="shared" si="67"/>
        <v>0.5</v>
      </c>
      <c r="U159" s="4">
        <f t="shared" si="82"/>
        <v>49.333333333333336</v>
      </c>
      <c r="V159" s="4">
        <f t="shared" si="82"/>
        <v>14.48</v>
      </c>
      <c r="W159" s="5">
        <f t="shared" si="82"/>
        <v>0</v>
      </c>
      <c r="X159" s="4">
        <f t="shared" si="82"/>
        <v>0.12</v>
      </c>
      <c r="Y159" s="4">
        <f t="shared" si="82"/>
        <v>0.22</v>
      </c>
      <c r="Z159" s="6">
        <f t="shared" si="83"/>
        <v>2.44</v>
      </c>
      <c r="AA159" s="6">
        <f t="shared" si="83"/>
        <v>0.5</v>
      </c>
      <c r="AB159" s="6">
        <f t="shared" si="83"/>
        <v>49.333333333333336</v>
      </c>
      <c r="AC159" s="6">
        <f t="shared" si="83"/>
        <v>14.48</v>
      </c>
      <c r="AD159" s="7">
        <f t="shared" si="83"/>
        <v>0</v>
      </c>
      <c r="AE159" s="6">
        <f t="shared" si="83"/>
        <v>0.12</v>
      </c>
      <c r="AF159" s="6">
        <f t="shared" si="79"/>
        <v>-2.2878865958889687</v>
      </c>
      <c r="AG159" s="52">
        <f t="shared" si="68"/>
        <v>9.2264923910634824</v>
      </c>
      <c r="AH159" s="53">
        <f t="shared" si="69"/>
        <v>49.333333333333336</v>
      </c>
      <c r="AI159" s="54">
        <f t="shared" si="80"/>
        <v>85.128161842352341</v>
      </c>
      <c r="AJ159" s="54">
        <f t="shared" si="80"/>
        <v>2433.7777777777778</v>
      </c>
      <c r="AK159" s="55">
        <f t="shared" si="71"/>
        <v>35.488772447213009</v>
      </c>
      <c r="AL159" s="61" t="str">
        <f t="shared" si="81"/>
        <v>berat</v>
      </c>
    </row>
    <row r="160" spans="1:38" ht="16.5" x14ac:dyDescent="0.3">
      <c r="A160" s="13">
        <v>159</v>
      </c>
      <c r="B160" s="14" t="s">
        <v>33</v>
      </c>
      <c r="C160" s="66" t="s">
        <v>34</v>
      </c>
      <c r="D160" s="67" t="s">
        <v>54</v>
      </c>
      <c r="E160" s="73">
        <v>49</v>
      </c>
      <c r="F160" s="71"/>
      <c r="G160" s="71">
        <v>109</v>
      </c>
      <c r="H160" s="71">
        <v>385</v>
      </c>
      <c r="I160" s="71"/>
      <c r="J160" s="71">
        <v>1100</v>
      </c>
      <c r="K160" s="71">
        <v>1100</v>
      </c>
      <c r="L160" s="48">
        <v>50</v>
      </c>
      <c r="M160" s="48">
        <v>4</v>
      </c>
      <c r="N160" s="48">
        <v>3</v>
      </c>
      <c r="O160" s="48">
        <v>25</v>
      </c>
      <c r="P160" s="48">
        <v>0.2</v>
      </c>
      <c r="Q160" s="48">
        <v>1000</v>
      </c>
      <c r="R160" s="48">
        <v>5000</v>
      </c>
      <c r="S160" s="4">
        <f t="shared" ref="S160:S223" si="84">E160/L160</f>
        <v>0.98</v>
      </c>
      <c r="T160" s="4">
        <f t="shared" si="67"/>
        <v>0.58333333333333337</v>
      </c>
      <c r="U160" s="4">
        <f t="shared" ref="U160:Y175" si="85">G160/N160</f>
        <v>36.333333333333336</v>
      </c>
      <c r="V160" s="4">
        <f t="shared" si="85"/>
        <v>15.4</v>
      </c>
      <c r="W160" s="5">
        <f t="shared" si="85"/>
        <v>0</v>
      </c>
      <c r="X160" s="4">
        <f t="shared" si="85"/>
        <v>1.1000000000000001</v>
      </c>
      <c r="Y160" s="4">
        <f t="shared" si="85"/>
        <v>0.22</v>
      </c>
      <c r="Z160" s="6">
        <f t="shared" si="83"/>
        <v>0.98</v>
      </c>
      <c r="AA160" s="6">
        <f t="shared" si="83"/>
        <v>0.58333333333333337</v>
      </c>
      <c r="AB160" s="6">
        <f t="shared" si="83"/>
        <v>36.333333333333336</v>
      </c>
      <c r="AC160" s="6">
        <f t="shared" si="83"/>
        <v>15.4</v>
      </c>
      <c r="AD160" s="7">
        <f t="shared" si="83"/>
        <v>0</v>
      </c>
      <c r="AE160" s="6">
        <f t="shared" si="83"/>
        <v>1.1000000000000001</v>
      </c>
      <c r="AF160" s="6">
        <f t="shared" si="79"/>
        <v>-2.2878865958889687</v>
      </c>
      <c r="AG160" s="52">
        <f t="shared" si="68"/>
        <v>7.444111438682528</v>
      </c>
      <c r="AH160" s="53">
        <f t="shared" si="69"/>
        <v>36.333333333333336</v>
      </c>
      <c r="AI160" s="54">
        <f t="shared" si="80"/>
        <v>55.414795111524057</v>
      </c>
      <c r="AJ160" s="54">
        <f t="shared" si="80"/>
        <v>1320.1111111111113</v>
      </c>
      <c r="AK160" s="55">
        <f t="shared" si="71"/>
        <v>26.225235043967054</v>
      </c>
      <c r="AL160" s="61" t="str">
        <f t="shared" si="81"/>
        <v>berat</v>
      </c>
    </row>
    <row r="161" spans="1:38" ht="16.5" x14ac:dyDescent="0.3">
      <c r="A161" s="13">
        <v>160</v>
      </c>
      <c r="B161" s="14" t="s">
        <v>35</v>
      </c>
      <c r="C161" s="72" t="s">
        <v>36</v>
      </c>
      <c r="D161" s="67" t="s">
        <v>54</v>
      </c>
      <c r="E161" s="73">
        <v>31</v>
      </c>
      <c r="F161" s="71">
        <v>5</v>
      </c>
      <c r="G161" s="71">
        <v>8</v>
      </c>
      <c r="H161" s="71">
        <v>31</v>
      </c>
      <c r="I161" s="71"/>
      <c r="J161" s="71">
        <v>460</v>
      </c>
      <c r="K161" s="71">
        <v>1100</v>
      </c>
      <c r="L161" s="48">
        <v>50</v>
      </c>
      <c r="M161" s="48">
        <v>4</v>
      </c>
      <c r="N161" s="48">
        <v>3</v>
      </c>
      <c r="O161" s="48">
        <v>25</v>
      </c>
      <c r="P161" s="48">
        <v>0.2</v>
      </c>
      <c r="Q161" s="48">
        <v>1000</v>
      </c>
      <c r="R161" s="48">
        <v>5000</v>
      </c>
      <c r="S161" s="4">
        <f t="shared" si="84"/>
        <v>0.62</v>
      </c>
      <c r="T161" s="4">
        <f t="shared" si="67"/>
        <v>0.16666666666666666</v>
      </c>
      <c r="U161" s="4">
        <f t="shared" si="85"/>
        <v>2.6666666666666665</v>
      </c>
      <c r="V161" s="4">
        <f t="shared" si="85"/>
        <v>1.24</v>
      </c>
      <c r="W161" s="5">
        <f t="shared" si="85"/>
        <v>0</v>
      </c>
      <c r="X161" s="4">
        <f t="shared" si="85"/>
        <v>0.46</v>
      </c>
      <c r="Y161" s="4">
        <f t="shared" si="85"/>
        <v>0.22</v>
      </c>
      <c r="Z161" s="6">
        <f t="shared" si="83"/>
        <v>0.62</v>
      </c>
      <c r="AA161" s="6">
        <f t="shared" si="83"/>
        <v>0.16666666666666666</v>
      </c>
      <c r="AB161" s="6">
        <f t="shared" si="83"/>
        <v>2.6666666666666665</v>
      </c>
      <c r="AC161" s="6">
        <f t="shared" si="83"/>
        <v>1.24</v>
      </c>
      <c r="AD161" s="7">
        <f t="shared" si="83"/>
        <v>0</v>
      </c>
      <c r="AE161" s="6">
        <f t="shared" si="83"/>
        <v>0.46</v>
      </c>
      <c r="AF161" s="6">
        <f t="shared" si="79"/>
        <v>-2.2878865958889687</v>
      </c>
      <c r="AG161" s="52">
        <f t="shared" si="68"/>
        <v>0.40934953392062351</v>
      </c>
      <c r="AH161" s="53">
        <f t="shared" si="69"/>
        <v>2.6666666666666665</v>
      </c>
      <c r="AI161" s="54">
        <f t="shared" si="80"/>
        <v>0.1675670409210317</v>
      </c>
      <c r="AJ161" s="54">
        <f t="shared" si="80"/>
        <v>7.1111111111111107</v>
      </c>
      <c r="AK161" s="55">
        <f t="shared" si="71"/>
        <v>1.9077051858230274</v>
      </c>
      <c r="AL161" s="61" t="str">
        <f t="shared" si="81"/>
        <v>ringan</v>
      </c>
    </row>
    <row r="162" spans="1:38" ht="16.5" x14ac:dyDescent="0.3">
      <c r="A162" s="13">
        <v>161</v>
      </c>
      <c r="B162" s="14" t="s">
        <v>37</v>
      </c>
      <c r="C162" s="72" t="s">
        <v>38</v>
      </c>
      <c r="D162" s="67" t="s">
        <v>54</v>
      </c>
      <c r="E162" s="73">
        <v>49</v>
      </c>
      <c r="F162" s="71">
        <v>2.4</v>
      </c>
      <c r="G162" s="71">
        <v>76</v>
      </c>
      <c r="H162" s="71">
        <v>196</v>
      </c>
      <c r="I162" s="71"/>
      <c r="J162" s="71">
        <v>1100</v>
      </c>
      <c r="K162" s="71">
        <v>1100</v>
      </c>
      <c r="L162" s="48">
        <v>50</v>
      </c>
      <c r="M162" s="48">
        <v>4</v>
      </c>
      <c r="N162" s="48">
        <v>3</v>
      </c>
      <c r="O162" s="48">
        <v>25</v>
      </c>
      <c r="P162" s="48">
        <v>0.2</v>
      </c>
      <c r="Q162" s="48">
        <v>1000</v>
      </c>
      <c r="R162" s="48">
        <v>5000</v>
      </c>
      <c r="S162" s="4">
        <f t="shared" si="84"/>
        <v>0.98</v>
      </c>
      <c r="T162" s="4">
        <f t="shared" si="67"/>
        <v>0.3833333333333333</v>
      </c>
      <c r="U162" s="4">
        <f t="shared" si="85"/>
        <v>25.333333333333332</v>
      </c>
      <c r="V162" s="4">
        <f t="shared" si="85"/>
        <v>7.84</v>
      </c>
      <c r="W162" s="5">
        <f t="shared" si="85"/>
        <v>0</v>
      </c>
      <c r="X162" s="4">
        <f t="shared" si="85"/>
        <v>1.1000000000000001</v>
      </c>
      <c r="Y162" s="4">
        <f t="shared" si="85"/>
        <v>0.22</v>
      </c>
      <c r="Z162" s="6">
        <f t="shared" si="83"/>
        <v>0.98</v>
      </c>
      <c r="AA162" s="6">
        <f t="shared" si="83"/>
        <v>0.3833333333333333</v>
      </c>
      <c r="AB162" s="6">
        <f t="shared" si="83"/>
        <v>25.333333333333332</v>
      </c>
      <c r="AC162" s="6">
        <f t="shared" si="83"/>
        <v>7.84</v>
      </c>
      <c r="AD162" s="7">
        <f t="shared" si="83"/>
        <v>0</v>
      </c>
      <c r="AE162" s="6">
        <f t="shared" si="83"/>
        <v>1.1000000000000001</v>
      </c>
      <c r="AF162" s="6">
        <f t="shared" si="79"/>
        <v>-2.2878865958889687</v>
      </c>
      <c r="AG162" s="52">
        <f t="shared" si="68"/>
        <v>4.7641114386825274</v>
      </c>
      <c r="AH162" s="53">
        <f t="shared" si="69"/>
        <v>25.333333333333332</v>
      </c>
      <c r="AI162" s="54">
        <f t="shared" si="80"/>
        <v>22.696757800185701</v>
      </c>
      <c r="AJ162" s="54">
        <f t="shared" si="80"/>
        <v>641.77777777777771</v>
      </c>
      <c r="AK162" s="55">
        <f t="shared" si="71"/>
        <v>18.227376876253523</v>
      </c>
      <c r="AL162" s="61" t="str">
        <f t="shared" si="81"/>
        <v>berat</v>
      </c>
    </row>
    <row r="163" spans="1:38" ht="16.5" x14ac:dyDescent="0.3">
      <c r="A163" s="13">
        <v>162</v>
      </c>
      <c r="B163" s="14" t="s">
        <v>39</v>
      </c>
      <c r="C163" s="66" t="s">
        <v>40</v>
      </c>
      <c r="D163" s="67" t="s">
        <v>54</v>
      </c>
      <c r="E163" s="73">
        <v>39</v>
      </c>
      <c r="F163" s="71">
        <v>0.3</v>
      </c>
      <c r="G163" s="71">
        <v>76</v>
      </c>
      <c r="H163" s="71">
        <v>270</v>
      </c>
      <c r="I163" s="71"/>
      <c r="J163" s="71">
        <v>210</v>
      </c>
      <c r="K163" s="71">
        <v>1100</v>
      </c>
      <c r="L163" s="48">
        <v>50</v>
      </c>
      <c r="M163" s="48">
        <v>4</v>
      </c>
      <c r="N163" s="48">
        <v>3</v>
      </c>
      <c r="O163" s="48">
        <v>25</v>
      </c>
      <c r="P163" s="48">
        <v>0.2</v>
      </c>
      <c r="Q163" s="48">
        <v>1000</v>
      </c>
      <c r="R163" s="48">
        <v>5000</v>
      </c>
      <c r="S163" s="4">
        <f t="shared" si="84"/>
        <v>0.78</v>
      </c>
      <c r="T163" s="4">
        <f t="shared" si="67"/>
        <v>0.55833333333333335</v>
      </c>
      <c r="U163" s="4">
        <f t="shared" si="85"/>
        <v>25.333333333333332</v>
      </c>
      <c r="V163" s="4">
        <f t="shared" si="85"/>
        <v>10.8</v>
      </c>
      <c r="W163" s="5">
        <f t="shared" si="85"/>
        <v>0</v>
      </c>
      <c r="X163" s="4">
        <f t="shared" si="85"/>
        <v>0.21</v>
      </c>
      <c r="Y163" s="4">
        <f t="shared" si="85"/>
        <v>0.22</v>
      </c>
      <c r="Z163" s="6">
        <f t="shared" si="83"/>
        <v>0.78</v>
      </c>
      <c r="AA163" s="6">
        <f t="shared" si="83"/>
        <v>0.55833333333333335</v>
      </c>
      <c r="AB163" s="6">
        <f t="shared" si="83"/>
        <v>25.333333333333332</v>
      </c>
      <c r="AC163" s="6">
        <f t="shared" si="83"/>
        <v>10.8</v>
      </c>
      <c r="AD163" s="7">
        <f t="shared" si="83"/>
        <v>0</v>
      </c>
      <c r="AE163" s="6">
        <f t="shared" si="83"/>
        <v>0.21</v>
      </c>
      <c r="AF163" s="6">
        <f t="shared" si="79"/>
        <v>-2.2878865958889687</v>
      </c>
      <c r="AG163" s="52">
        <f t="shared" si="68"/>
        <v>5.0562542958253847</v>
      </c>
      <c r="AH163" s="53">
        <f t="shared" si="69"/>
        <v>25.333333333333332</v>
      </c>
      <c r="AI163" s="54">
        <f t="shared" si="80"/>
        <v>25.565707504052657</v>
      </c>
      <c r="AJ163" s="54">
        <f t="shared" si="80"/>
        <v>641.77777777777771</v>
      </c>
      <c r="AK163" s="55">
        <f t="shared" si="71"/>
        <v>18.266683953058234</v>
      </c>
      <c r="AL163" s="61" t="str">
        <f t="shared" si="81"/>
        <v>berat</v>
      </c>
    </row>
    <row r="164" spans="1:38" ht="16.5" x14ac:dyDescent="0.3">
      <c r="A164" s="13">
        <v>163</v>
      </c>
      <c r="B164" s="14" t="s">
        <v>41</v>
      </c>
      <c r="C164" s="66" t="s">
        <v>42</v>
      </c>
      <c r="D164" s="67" t="s">
        <v>54</v>
      </c>
      <c r="E164" s="73">
        <v>33</v>
      </c>
      <c r="F164" s="71">
        <v>4.9000000000000004</v>
      </c>
      <c r="G164" s="71">
        <v>10</v>
      </c>
      <c r="H164" s="71">
        <v>64</v>
      </c>
      <c r="I164" s="71"/>
      <c r="J164" s="71">
        <v>210</v>
      </c>
      <c r="K164" s="71">
        <v>1100</v>
      </c>
      <c r="L164" s="48">
        <v>50</v>
      </c>
      <c r="M164" s="48">
        <v>4</v>
      </c>
      <c r="N164" s="48">
        <v>3</v>
      </c>
      <c r="O164" s="48">
        <v>25</v>
      </c>
      <c r="P164" s="48">
        <v>0.2</v>
      </c>
      <c r="Q164" s="48">
        <v>1000</v>
      </c>
      <c r="R164" s="48">
        <v>5000</v>
      </c>
      <c r="S164" s="4">
        <f t="shared" si="84"/>
        <v>0.66</v>
      </c>
      <c r="T164" s="4">
        <f t="shared" si="67"/>
        <v>0.17499999999999996</v>
      </c>
      <c r="U164" s="4">
        <f t="shared" si="85"/>
        <v>3.3333333333333335</v>
      </c>
      <c r="V164" s="4">
        <f t="shared" si="85"/>
        <v>2.56</v>
      </c>
      <c r="W164" s="5">
        <f t="shared" si="85"/>
        <v>0</v>
      </c>
      <c r="X164" s="4">
        <f t="shared" si="85"/>
        <v>0.21</v>
      </c>
      <c r="Y164" s="4">
        <f t="shared" si="85"/>
        <v>0.22</v>
      </c>
      <c r="Z164" s="6">
        <f t="shared" si="83"/>
        <v>0.66</v>
      </c>
      <c r="AA164" s="6">
        <f t="shared" si="83"/>
        <v>0.17499999999999996</v>
      </c>
      <c r="AB164" s="6">
        <f t="shared" si="83"/>
        <v>3.3333333333333335</v>
      </c>
      <c r="AC164" s="6">
        <f t="shared" si="83"/>
        <v>2.56</v>
      </c>
      <c r="AD164" s="7">
        <f t="shared" si="83"/>
        <v>0</v>
      </c>
      <c r="AE164" s="6">
        <f t="shared" si="83"/>
        <v>0.21</v>
      </c>
      <c r="AF164" s="6">
        <f t="shared" si="79"/>
        <v>-2.2878865958889687</v>
      </c>
      <c r="AG164" s="52">
        <f t="shared" si="68"/>
        <v>0.66434953392062357</v>
      </c>
      <c r="AH164" s="53">
        <f t="shared" si="69"/>
        <v>3.3333333333333335</v>
      </c>
      <c r="AI164" s="54">
        <f t="shared" si="80"/>
        <v>0.44136030322054975</v>
      </c>
      <c r="AJ164" s="54">
        <f t="shared" si="80"/>
        <v>11.111111111111112</v>
      </c>
      <c r="AK164" s="55">
        <f t="shared" si="71"/>
        <v>2.4033800588266998</v>
      </c>
      <c r="AL164" s="61" t="str">
        <f t="shared" si="81"/>
        <v>ringan</v>
      </c>
    </row>
    <row r="165" spans="1:38" ht="16.5" x14ac:dyDescent="0.3">
      <c r="A165" s="13">
        <v>164</v>
      </c>
      <c r="B165" s="14" t="s">
        <v>43</v>
      </c>
      <c r="C165" s="72" t="s">
        <v>44</v>
      </c>
      <c r="D165" s="67" t="s">
        <v>54</v>
      </c>
      <c r="E165" s="73">
        <v>72</v>
      </c>
      <c r="F165" s="71">
        <v>5</v>
      </c>
      <c r="G165" s="71">
        <v>11</v>
      </c>
      <c r="H165" s="71">
        <v>45</v>
      </c>
      <c r="I165" s="71"/>
      <c r="J165" s="71">
        <v>1100</v>
      </c>
      <c r="K165" s="71">
        <v>1100</v>
      </c>
      <c r="L165" s="48">
        <v>50</v>
      </c>
      <c r="M165" s="48">
        <v>4</v>
      </c>
      <c r="N165" s="48">
        <v>3</v>
      </c>
      <c r="O165" s="48">
        <v>25</v>
      </c>
      <c r="P165" s="48">
        <v>0.2</v>
      </c>
      <c r="Q165" s="48">
        <v>1000</v>
      </c>
      <c r="R165" s="48">
        <v>5000</v>
      </c>
      <c r="S165" s="4">
        <f t="shared" si="84"/>
        <v>1.44</v>
      </c>
      <c r="T165" s="4">
        <f t="shared" si="67"/>
        <v>0.16666666666666666</v>
      </c>
      <c r="U165" s="4">
        <f t="shared" si="85"/>
        <v>3.6666666666666665</v>
      </c>
      <c r="V165" s="4">
        <f t="shared" si="85"/>
        <v>1.8</v>
      </c>
      <c r="W165" s="5">
        <f t="shared" si="85"/>
        <v>0</v>
      </c>
      <c r="X165" s="4">
        <f t="shared" si="85"/>
        <v>1.1000000000000001</v>
      </c>
      <c r="Y165" s="4">
        <f t="shared" si="85"/>
        <v>0.22</v>
      </c>
      <c r="Z165" s="6">
        <f t="shared" si="83"/>
        <v>1.44</v>
      </c>
      <c r="AA165" s="6">
        <f t="shared" si="83"/>
        <v>0.16666666666666666</v>
      </c>
      <c r="AB165" s="6">
        <f t="shared" si="83"/>
        <v>3.6666666666666665</v>
      </c>
      <c r="AC165" s="6">
        <f t="shared" si="83"/>
        <v>1.8</v>
      </c>
      <c r="AD165" s="7">
        <f t="shared" si="83"/>
        <v>0</v>
      </c>
      <c r="AE165" s="6">
        <f t="shared" si="83"/>
        <v>1.1000000000000001</v>
      </c>
      <c r="AF165" s="6">
        <f t="shared" si="79"/>
        <v>-2.2878865958889687</v>
      </c>
      <c r="AG165" s="52">
        <f t="shared" si="68"/>
        <v>0.84077810534919506</v>
      </c>
      <c r="AH165" s="53">
        <f t="shared" si="69"/>
        <v>3.6666666666666665</v>
      </c>
      <c r="AI165" s="54">
        <f t="shared" si="80"/>
        <v>0.70690782243458217</v>
      </c>
      <c r="AJ165" s="54">
        <f t="shared" si="80"/>
        <v>13.444444444444443</v>
      </c>
      <c r="AK165" s="55">
        <f t="shared" si="71"/>
        <v>2.6600143107584051</v>
      </c>
      <c r="AL165" s="61" t="str">
        <f t="shared" si="81"/>
        <v>ringan</v>
      </c>
    </row>
    <row r="166" spans="1:38" ht="17.25" thickBot="1" x14ac:dyDescent="0.35">
      <c r="A166" s="13">
        <v>165</v>
      </c>
      <c r="B166" s="14" t="s">
        <v>45</v>
      </c>
      <c r="C166" s="72" t="s">
        <v>48</v>
      </c>
      <c r="D166" s="67" t="s">
        <v>54</v>
      </c>
      <c r="E166" s="73">
        <v>17</v>
      </c>
      <c r="F166" s="71">
        <v>3.5</v>
      </c>
      <c r="G166" s="71">
        <v>20</v>
      </c>
      <c r="H166" s="71">
        <v>61</v>
      </c>
      <c r="I166" s="71"/>
      <c r="J166" s="71">
        <v>460</v>
      </c>
      <c r="K166" s="71">
        <v>1100</v>
      </c>
      <c r="L166" s="48">
        <v>50</v>
      </c>
      <c r="M166" s="48">
        <v>4</v>
      </c>
      <c r="N166" s="48">
        <v>3</v>
      </c>
      <c r="O166" s="48">
        <v>25</v>
      </c>
      <c r="P166" s="48">
        <v>0.2</v>
      </c>
      <c r="Q166" s="48">
        <v>1000</v>
      </c>
      <c r="R166" s="48">
        <v>5000</v>
      </c>
      <c r="S166" s="4">
        <f t="shared" si="84"/>
        <v>0.34</v>
      </c>
      <c r="T166" s="4">
        <f t="shared" si="67"/>
        <v>0.29166666666666669</v>
      </c>
      <c r="U166" s="4">
        <f t="shared" si="85"/>
        <v>6.666666666666667</v>
      </c>
      <c r="V166" s="4">
        <f t="shared" si="85"/>
        <v>2.44</v>
      </c>
      <c r="W166" s="5">
        <f t="shared" si="85"/>
        <v>0</v>
      </c>
      <c r="X166" s="4">
        <f t="shared" si="85"/>
        <v>0.46</v>
      </c>
      <c r="Y166" s="4">
        <f t="shared" si="85"/>
        <v>0.22</v>
      </c>
      <c r="Z166" s="6">
        <f t="shared" si="83"/>
        <v>0.34</v>
      </c>
      <c r="AA166" s="6">
        <f t="shared" si="83"/>
        <v>0.29166666666666669</v>
      </c>
      <c r="AB166" s="6">
        <f t="shared" si="83"/>
        <v>6.666666666666667</v>
      </c>
      <c r="AC166" s="6">
        <f t="shared" si="83"/>
        <v>2.44</v>
      </c>
      <c r="AD166" s="7">
        <f t="shared" si="83"/>
        <v>0</v>
      </c>
      <c r="AE166" s="6">
        <f t="shared" si="83"/>
        <v>0.46</v>
      </c>
      <c r="AF166" s="6">
        <f t="shared" si="79"/>
        <v>-2.2878865958889687</v>
      </c>
      <c r="AG166" s="52">
        <f t="shared" si="68"/>
        <v>1.1300638196349093</v>
      </c>
      <c r="AH166" s="53">
        <f t="shared" si="69"/>
        <v>6.666666666666667</v>
      </c>
      <c r="AI166" s="54">
        <f t="shared" si="80"/>
        <v>1.2770442364478409</v>
      </c>
      <c r="AJ166" s="54">
        <f t="shared" si="80"/>
        <v>44.44444444444445</v>
      </c>
      <c r="AK166" s="55">
        <f t="shared" si="71"/>
        <v>4.7812910746414659</v>
      </c>
      <c r="AL166" s="61" t="str">
        <f t="shared" si="81"/>
        <v>ringan</v>
      </c>
    </row>
    <row r="167" spans="1:38" ht="17.25" thickBot="1" x14ac:dyDescent="0.35">
      <c r="A167" s="13">
        <v>166</v>
      </c>
      <c r="B167" s="74" t="s">
        <v>17</v>
      </c>
      <c r="C167" s="74"/>
      <c r="D167" s="75">
        <v>42991</v>
      </c>
      <c r="E167" s="76">
        <v>30</v>
      </c>
      <c r="F167" s="77">
        <v>6</v>
      </c>
      <c r="G167" s="77">
        <v>4</v>
      </c>
      <c r="H167" s="77">
        <v>17</v>
      </c>
      <c r="I167" s="77">
        <v>0.1</v>
      </c>
      <c r="J167" s="77">
        <v>1200</v>
      </c>
      <c r="K167" s="77">
        <v>1500</v>
      </c>
      <c r="L167" s="77">
        <v>50</v>
      </c>
      <c r="M167" s="77">
        <v>4</v>
      </c>
      <c r="N167" s="77">
        <v>3</v>
      </c>
      <c r="O167" s="77">
        <v>25</v>
      </c>
      <c r="P167" s="77">
        <v>0.2</v>
      </c>
      <c r="Q167" s="77">
        <v>1000</v>
      </c>
      <c r="R167" s="77">
        <v>5000</v>
      </c>
      <c r="S167" s="78">
        <f t="shared" si="84"/>
        <v>0.6</v>
      </c>
      <c r="T167" s="78">
        <f t="shared" si="67"/>
        <v>8.3333333333333329E-2</v>
      </c>
      <c r="U167" s="78">
        <f t="shared" si="85"/>
        <v>1.3333333333333333</v>
      </c>
      <c r="V167" s="78">
        <f t="shared" si="85"/>
        <v>0.68</v>
      </c>
      <c r="W167" s="79">
        <f t="shared" si="85"/>
        <v>0.5</v>
      </c>
      <c r="X167" s="78">
        <f t="shared" si="85"/>
        <v>1.2</v>
      </c>
      <c r="Y167" s="78">
        <f t="shared" si="85"/>
        <v>0.3</v>
      </c>
      <c r="Z167" s="78">
        <f>S167</f>
        <v>0.6</v>
      </c>
      <c r="AA167" s="78">
        <f t="shared" si="83"/>
        <v>8.3333333333333329E-2</v>
      </c>
      <c r="AB167" s="78">
        <f>1+(5*(LOG10(G167/N167)))</f>
        <v>1.6246936830414995</v>
      </c>
      <c r="AC167" s="78">
        <f t="shared" si="83"/>
        <v>0.68</v>
      </c>
      <c r="AD167" s="78">
        <f t="shared" si="83"/>
        <v>0.5</v>
      </c>
      <c r="AE167" s="78">
        <f t="shared" ref="AE167:AF196" si="86">1+(5*(LOG10(J167/Q167)))</f>
        <v>1.3959062302381242</v>
      </c>
      <c r="AF167" s="78">
        <f t="shared" si="83"/>
        <v>0.3</v>
      </c>
      <c r="AG167" s="80">
        <f>AVERAGE(Z167:AF167)</f>
        <v>0.74056189237327963</v>
      </c>
      <c r="AH167" s="81">
        <f>MAX(Z167:AG167)</f>
        <v>1.6246936830414995</v>
      </c>
      <c r="AI167" s="82">
        <f>POWER(AG167,2)</f>
        <v>0.54843191643549305</v>
      </c>
      <c r="AJ167" s="82">
        <f>POWER(AH167,2)</f>
        <v>2.6396295637149527</v>
      </c>
      <c r="AK167" s="83">
        <f>SQRT((AI167+AJ167)/2)</f>
        <v>1.2625493020374385</v>
      </c>
      <c r="AL167" s="84" t="str">
        <f>IF(ISNUMBER(AK167),IF(AK167&lt;=1,"memenuhi",IF(AK167&lt;=5,"ringan",IF(AK167&lt;=10,"sedang","berat"))),"")</f>
        <v>ringan</v>
      </c>
    </row>
    <row r="168" spans="1:38" ht="17.25" thickBot="1" x14ac:dyDescent="0.35">
      <c r="A168" s="13">
        <v>167</v>
      </c>
      <c r="B168" s="14" t="s">
        <v>49</v>
      </c>
      <c r="C168" s="14"/>
      <c r="D168" s="49">
        <v>42989</v>
      </c>
      <c r="E168" s="73">
        <v>28</v>
      </c>
      <c r="F168" s="71">
        <v>3</v>
      </c>
      <c r="G168" s="71">
        <v>6</v>
      </c>
      <c r="H168" s="71">
        <v>25</v>
      </c>
      <c r="I168" s="71">
        <v>0.4</v>
      </c>
      <c r="J168" s="71">
        <v>3100</v>
      </c>
      <c r="K168" s="71">
        <v>4300</v>
      </c>
      <c r="L168" s="48">
        <v>50</v>
      </c>
      <c r="M168" s="48">
        <v>4</v>
      </c>
      <c r="N168" s="48">
        <v>3</v>
      </c>
      <c r="O168" s="48">
        <v>25</v>
      </c>
      <c r="P168" s="48">
        <v>0.2</v>
      </c>
      <c r="Q168" s="48">
        <v>1000</v>
      </c>
      <c r="R168" s="48">
        <v>5000</v>
      </c>
      <c r="S168" s="4">
        <f t="shared" si="84"/>
        <v>0.56000000000000005</v>
      </c>
      <c r="T168" s="4">
        <f t="shared" si="67"/>
        <v>0.33333333333333331</v>
      </c>
      <c r="U168" s="4">
        <f t="shared" si="85"/>
        <v>2</v>
      </c>
      <c r="V168" s="4">
        <f t="shared" si="85"/>
        <v>1</v>
      </c>
      <c r="W168" s="5">
        <f t="shared" si="85"/>
        <v>2</v>
      </c>
      <c r="X168" s="4">
        <f t="shared" si="85"/>
        <v>3.1</v>
      </c>
      <c r="Y168" s="4">
        <f t="shared" si="85"/>
        <v>0.86</v>
      </c>
      <c r="Z168" s="6">
        <f t="shared" si="83"/>
        <v>0.56000000000000005</v>
      </c>
      <c r="AA168" s="6">
        <f t="shared" si="83"/>
        <v>0.33333333333333331</v>
      </c>
      <c r="AB168" s="6">
        <f t="shared" ref="AB168:AC183" si="87">1+(5*(LOG10(G168/N168)))</f>
        <v>2.5051499783199063</v>
      </c>
      <c r="AC168" s="6">
        <f>1+(5*(LOG10(H168/O168)))</f>
        <v>1</v>
      </c>
      <c r="AD168" s="6">
        <f>1+(5*(LOG10(I168/P168)))</f>
        <v>2.5051499783199063</v>
      </c>
      <c r="AE168" s="6">
        <f t="shared" si="86"/>
        <v>3.4568084691713636</v>
      </c>
      <c r="AF168" s="6">
        <f t="shared" si="86"/>
        <v>0.67249225621783859</v>
      </c>
      <c r="AG168" s="52">
        <f t="shared" ref="AG168:AG196" si="88">AVERAGE(Z168:AF168)</f>
        <v>1.5761334307660497</v>
      </c>
      <c r="AH168" s="53">
        <f t="shared" ref="AH168:AH196" si="89">MAX(Z168:AG168)</f>
        <v>3.4568084691713636</v>
      </c>
      <c r="AI168" s="54">
        <f t="shared" ref="AI168:AJ196" si="90">POWER(AG168,2)</f>
        <v>2.4841965915783581</v>
      </c>
      <c r="AJ168" s="54">
        <f t="shared" si="90"/>
        <v>11.949524792534866</v>
      </c>
      <c r="AK168" s="55">
        <f t="shared" ref="AK168:AK196" si="91">SQRT((AI168+AJ168)/2)</f>
        <v>2.6864215402755787</v>
      </c>
      <c r="AL168" s="56" t="str">
        <f>IF(ISNUMBER(AK168),IF(AK168&lt;=1,"memenuhi",IF(AK168&lt;=5,"ringan",IF(AK168&lt;=10,"sedang","berat"))),"")</f>
        <v>ringan</v>
      </c>
    </row>
    <row r="169" spans="1:38" ht="17.25" thickBot="1" x14ac:dyDescent="0.35">
      <c r="A169" s="13">
        <v>168</v>
      </c>
      <c r="B169" s="14" t="s">
        <v>50</v>
      </c>
      <c r="C169" s="14"/>
      <c r="D169" s="49">
        <v>42989</v>
      </c>
      <c r="E169" s="73">
        <v>164</v>
      </c>
      <c r="F169" s="71">
        <v>0.9</v>
      </c>
      <c r="G169" s="71">
        <v>46</v>
      </c>
      <c r="H169" s="71">
        <v>139</v>
      </c>
      <c r="I169" s="71">
        <v>0.03</v>
      </c>
      <c r="J169" s="71">
        <v>130000</v>
      </c>
      <c r="K169" s="71">
        <v>240000</v>
      </c>
      <c r="L169" s="48">
        <v>50</v>
      </c>
      <c r="M169" s="48">
        <v>4</v>
      </c>
      <c r="N169" s="48">
        <v>3</v>
      </c>
      <c r="O169" s="48">
        <v>25</v>
      </c>
      <c r="P169" s="48">
        <v>0.2</v>
      </c>
      <c r="Q169" s="48">
        <v>1000</v>
      </c>
      <c r="R169" s="48">
        <v>5000</v>
      </c>
      <c r="S169" s="4">
        <f t="shared" si="84"/>
        <v>3.28</v>
      </c>
      <c r="T169" s="4">
        <f t="shared" si="67"/>
        <v>0.5083333333333333</v>
      </c>
      <c r="U169" s="4">
        <f t="shared" si="85"/>
        <v>15.333333333333334</v>
      </c>
      <c r="V169" s="4">
        <f t="shared" si="85"/>
        <v>5.56</v>
      </c>
      <c r="W169" s="5">
        <f t="shared" si="85"/>
        <v>0.15</v>
      </c>
      <c r="X169" s="4">
        <f t="shared" si="85"/>
        <v>130</v>
      </c>
      <c r="Y169" s="4">
        <f t="shared" si="85"/>
        <v>48</v>
      </c>
      <c r="Z169" s="6">
        <f>1+(5*(LOG10(E169/L169)))</f>
        <v>3.5793692185583956</v>
      </c>
      <c r="AA169" s="6">
        <f t="shared" ref="Z169:AD184" si="92">T169</f>
        <v>0.5083333333333333</v>
      </c>
      <c r="AB169" s="6">
        <f t="shared" si="87"/>
        <v>6.9281828848095586</v>
      </c>
      <c r="AC169" s="6">
        <f t="shared" si="87"/>
        <v>4.7253739579102874</v>
      </c>
      <c r="AD169" s="6">
        <f t="shared" si="92"/>
        <v>0.15</v>
      </c>
      <c r="AE169" s="6">
        <f t="shared" si="86"/>
        <v>11.569716761534185</v>
      </c>
      <c r="AF169" s="6">
        <f t="shared" si="86"/>
        <v>9.4062061868779363</v>
      </c>
      <c r="AG169" s="52">
        <f t="shared" si="88"/>
        <v>5.2667403347176718</v>
      </c>
      <c r="AH169" s="53">
        <f t="shared" si="89"/>
        <v>11.569716761534185</v>
      </c>
      <c r="AI169" s="54">
        <f t="shared" si="90"/>
        <v>27.738553753342014</v>
      </c>
      <c r="AJ169" s="54">
        <f t="shared" si="90"/>
        <v>133.85834594212506</v>
      </c>
      <c r="AK169" s="55">
        <f t="shared" si="91"/>
        <v>8.9887957951960136</v>
      </c>
      <c r="AL169" s="59" t="str">
        <f>IF(ISNUMBER(AK169),IF(AK169&lt;=1,"memenuhi",IF(AK169&lt;=5,"ringan",IF(AK169&lt;=10,"sedang","berat"))),"")</f>
        <v>sedang</v>
      </c>
    </row>
    <row r="170" spans="1:38" ht="17.25" thickBot="1" x14ac:dyDescent="0.35">
      <c r="A170" s="13">
        <v>169</v>
      </c>
      <c r="B170" s="14" t="s">
        <v>29</v>
      </c>
      <c r="C170" s="14"/>
      <c r="D170" s="49">
        <v>42990</v>
      </c>
      <c r="E170" s="73">
        <v>27</v>
      </c>
      <c r="F170" s="71">
        <v>4</v>
      </c>
      <c r="G170" s="71">
        <v>11</v>
      </c>
      <c r="H170" s="71">
        <v>45</v>
      </c>
      <c r="I170" s="71">
        <v>0.18</v>
      </c>
      <c r="J170" s="71">
        <v>4900</v>
      </c>
      <c r="K170" s="71">
        <v>7900</v>
      </c>
      <c r="L170" s="48">
        <v>50</v>
      </c>
      <c r="M170" s="48">
        <v>4</v>
      </c>
      <c r="N170" s="48">
        <v>3</v>
      </c>
      <c r="O170" s="48">
        <v>25</v>
      </c>
      <c r="P170" s="48">
        <v>0.2</v>
      </c>
      <c r="Q170" s="48">
        <v>1000</v>
      </c>
      <c r="R170" s="48">
        <v>5000</v>
      </c>
      <c r="S170" s="4">
        <f t="shared" si="84"/>
        <v>0.54</v>
      </c>
      <c r="T170" s="4">
        <f t="shared" si="67"/>
        <v>0.25</v>
      </c>
      <c r="U170" s="4">
        <f t="shared" si="85"/>
        <v>3.6666666666666665</v>
      </c>
      <c r="V170" s="4">
        <f t="shared" si="85"/>
        <v>1.8</v>
      </c>
      <c r="W170" s="5">
        <f t="shared" si="85"/>
        <v>0.89999999999999991</v>
      </c>
      <c r="X170" s="4">
        <f t="shared" si="85"/>
        <v>4.9000000000000004</v>
      </c>
      <c r="Y170" s="4">
        <f t="shared" si="85"/>
        <v>1.58</v>
      </c>
      <c r="Z170" s="6">
        <f t="shared" si="92"/>
        <v>0.54</v>
      </c>
      <c r="AA170" s="6">
        <f t="shared" si="92"/>
        <v>0.25</v>
      </c>
      <c r="AB170" s="6">
        <f t="shared" si="87"/>
        <v>3.8213571521928129</v>
      </c>
      <c r="AC170" s="6">
        <f t="shared" si="87"/>
        <v>2.2763625255165305</v>
      </c>
      <c r="AD170" s="6">
        <f t="shared" si="92"/>
        <v>0.89999999999999991</v>
      </c>
      <c r="AE170" s="6">
        <f t="shared" si="86"/>
        <v>4.4509804001425692</v>
      </c>
      <c r="AF170" s="6">
        <f t="shared" si="86"/>
        <v>1.9932854347721132</v>
      </c>
      <c r="AG170" s="52">
        <f t="shared" si="88"/>
        <v>2.0331407875177181</v>
      </c>
      <c r="AH170" s="53">
        <f t="shared" si="89"/>
        <v>4.4509804001425692</v>
      </c>
      <c r="AI170" s="54">
        <f t="shared" si="90"/>
        <v>4.1336614618681669</v>
      </c>
      <c r="AJ170" s="54">
        <f t="shared" si="90"/>
        <v>19.811226522453307</v>
      </c>
      <c r="AK170" s="55">
        <f t="shared" si="91"/>
        <v>3.460121962035549</v>
      </c>
      <c r="AL170" s="56" t="str">
        <f>IF(ISNUMBER(AK170),IF(AK170&lt;=1,"memenuhi",IF(AK170&lt;=5,"ringan",IF(AK170&lt;=10,"sedang","berat"))),"")</f>
        <v>ringan</v>
      </c>
    </row>
    <row r="171" spans="1:38" ht="17.25" thickBot="1" x14ac:dyDescent="0.35">
      <c r="A171" s="13">
        <v>170</v>
      </c>
      <c r="B171" s="14" t="s">
        <v>31</v>
      </c>
      <c r="C171" s="14"/>
      <c r="D171" s="49">
        <v>42990</v>
      </c>
      <c r="E171" s="73">
        <v>119</v>
      </c>
      <c r="F171" s="71">
        <v>2</v>
      </c>
      <c r="G171" s="71">
        <v>33</v>
      </c>
      <c r="H171" s="71">
        <v>104</v>
      </c>
      <c r="I171" s="71">
        <v>1</v>
      </c>
      <c r="J171" s="71">
        <v>13000</v>
      </c>
      <c r="K171" s="71">
        <v>24000</v>
      </c>
      <c r="L171" s="48">
        <v>50</v>
      </c>
      <c r="M171" s="48">
        <v>4</v>
      </c>
      <c r="N171" s="48">
        <v>3</v>
      </c>
      <c r="O171" s="48">
        <v>25</v>
      </c>
      <c r="P171" s="48">
        <v>0.2</v>
      </c>
      <c r="Q171" s="48">
        <v>1000</v>
      </c>
      <c r="R171" s="48">
        <v>5000</v>
      </c>
      <c r="S171" s="4">
        <f t="shared" si="84"/>
        <v>2.38</v>
      </c>
      <c r="T171" s="4">
        <f t="shared" si="67"/>
        <v>0.41666666666666669</v>
      </c>
      <c r="U171" s="4">
        <f t="shared" si="85"/>
        <v>11</v>
      </c>
      <c r="V171" s="4">
        <f t="shared" si="85"/>
        <v>4.16</v>
      </c>
      <c r="W171" s="5">
        <f t="shared" si="85"/>
        <v>5</v>
      </c>
      <c r="X171" s="4">
        <f t="shared" si="85"/>
        <v>13</v>
      </c>
      <c r="Y171" s="4">
        <f t="shared" si="85"/>
        <v>4.8</v>
      </c>
      <c r="Z171" s="6">
        <f>1+(5*(LOG10(E171/L171)))</f>
        <v>2.8828847852825596</v>
      </c>
      <c r="AA171" s="6">
        <f t="shared" si="92"/>
        <v>0.41666666666666669</v>
      </c>
      <c r="AB171" s="6">
        <f t="shared" si="87"/>
        <v>6.2069634257911259</v>
      </c>
      <c r="AC171" s="6">
        <f t="shared" si="87"/>
        <v>4.0954666531337143</v>
      </c>
      <c r="AD171" s="6">
        <f>1+(5*(LOG10(I171/P171)))</f>
        <v>4.4948500216800937</v>
      </c>
      <c r="AE171" s="6">
        <f t="shared" si="86"/>
        <v>6.5697167615341838</v>
      </c>
      <c r="AF171" s="6">
        <f t="shared" si="86"/>
        <v>4.4062061868779363</v>
      </c>
      <c r="AG171" s="52">
        <f t="shared" si="88"/>
        <v>4.1532506429951832</v>
      </c>
      <c r="AH171" s="53">
        <f t="shared" si="89"/>
        <v>6.5697167615341838</v>
      </c>
      <c r="AI171" s="54">
        <f t="shared" si="90"/>
        <v>17.249490903539904</v>
      </c>
      <c r="AJ171" s="54">
        <f t="shared" si="90"/>
        <v>43.161178326783201</v>
      </c>
      <c r="AK171" s="55">
        <f t="shared" si="91"/>
        <v>5.4959380104911624</v>
      </c>
      <c r="AL171" s="59" t="str">
        <f>IF(ISNUMBER(AK171),IF(AK171&lt;=1,"memenuhi",IF(AK171&lt;=5,"ringan",IF(AK171&lt;=10,"sedang","berat"))),"")</f>
        <v>sedang</v>
      </c>
    </row>
    <row r="172" spans="1:38" ht="17.25" thickBot="1" x14ac:dyDescent="0.35">
      <c r="A172" s="13">
        <v>171</v>
      </c>
      <c r="B172" s="14" t="s">
        <v>33</v>
      </c>
      <c r="C172" s="14"/>
      <c r="D172" s="49">
        <v>42990</v>
      </c>
      <c r="E172" s="73">
        <v>72</v>
      </c>
      <c r="F172" s="71">
        <v>2</v>
      </c>
      <c r="G172" s="71">
        <v>78</v>
      </c>
      <c r="H172" s="71">
        <v>269</v>
      </c>
      <c r="I172" s="71">
        <v>0.5</v>
      </c>
      <c r="J172" s="71">
        <v>280000</v>
      </c>
      <c r="K172" s="71">
        <v>350000</v>
      </c>
      <c r="L172" s="48">
        <v>50</v>
      </c>
      <c r="M172" s="48">
        <v>4</v>
      </c>
      <c r="N172" s="48">
        <v>3</v>
      </c>
      <c r="O172" s="48">
        <v>25</v>
      </c>
      <c r="P172" s="48">
        <v>0.2</v>
      </c>
      <c r="Q172" s="48">
        <v>1000</v>
      </c>
      <c r="R172" s="48">
        <v>5000</v>
      </c>
      <c r="S172" s="4">
        <f t="shared" si="84"/>
        <v>1.44</v>
      </c>
      <c r="T172" s="4">
        <f t="shared" ref="T172:T196" si="93">((7-F172)/(7-M172))/M172</f>
        <v>0.41666666666666669</v>
      </c>
      <c r="U172" s="4">
        <f t="shared" si="85"/>
        <v>26</v>
      </c>
      <c r="V172" s="4">
        <f t="shared" si="85"/>
        <v>10.76</v>
      </c>
      <c r="W172" s="5">
        <f t="shared" si="85"/>
        <v>2.5</v>
      </c>
      <c r="X172" s="4">
        <f t="shared" si="85"/>
        <v>280</v>
      </c>
      <c r="Y172" s="4">
        <f t="shared" si="85"/>
        <v>70</v>
      </c>
      <c r="Z172" s="6">
        <f>1+(5*(LOG10(E172/L172)))</f>
        <v>1.7918124604762482</v>
      </c>
      <c r="AA172" s="6">
        <f t="shared" si="92"/>
        <v>0.41666666666666669</v>
      </c>
      <c r="AB172" s="6">
        <f t="shared" si="87"/>
        <v>8.074866739854091</v>
      </c>
      <c r="AC172" s="6">
        <f t="shared" si="87"/>
        <v>6.1590613566518515</v>
      </c>
      <c r="AD172" s="6">
        <f>1+(5*(LOG10(I172/P172)))</f>
        <v>2.9897000433601879</v>
      </c>
      <c r="AE172" s="6">
        <f t="shared" si="86"/>
        <v>13.235790156711097</v>
      </c>
      <c r="AF172" s="6">
        <f t="shared" si="86"/>
        <v>10.225490200071285</v>
      </c>
      <c r="AG172" s="52">
        <f t="shared" si="88"/>
        <v>6.1276268033987753</v>
      </c>
      <c r="AH172" s="53">
        <f t="shared" si="89"/>
        <v>13.235790156711097</v>
      </c>
      <c r="AI172" s="54">
        <f t="shared" si="90"/>
        <v>37.547810241731092</v>
      </c>
      <c r="AJ172" s="54">
        <f t="shared" si="90"/>
        <v>175.18614107249036</v>
      </c>
      <c r="AK172" s="55">
        <f t="shared" si="91"/>
        <v>10.313436655989639</v>
      </c>
      <c r="AL172" s="57" t="str">
        <f t="shared" ref="AL172:AL196" si="94">IF(ISNUMBER(AK172),IF(AK172&lt;=1,"memenuhi",IF(AK172&lt;=5,"ringan",IF(AK172&lt;=10,"sedang","berat"))),"")</f>
        <v>berat</v>
      </c>
    </row>
    <row r="173" spans="1:38" ht="17.25" thickBot="1" x14ac:dyDescent="0.35">
      <c r="A173" s="13">
        <v>172</v>
      </c>
      <c r="B173" s="14" t="s">
        <v>41</v>
      </c>
      <c r="C173" s="14"/>
      <c r="D173" s="49">
        <v>42990</v>
      </c>
      <c r="E173" s="73">
        <v>141</v>
      </c>
      <c r="F173" s="71">
        <v>6</v>
      </c>
      <c r="G173" s="71">
        <v>23</v>
      </c>
      <c r="H173" s="71">
        <v>72</v>
      </c>
      <c r="I173" s="71">
        <v>0.7</v>
      </c>
      <c r="J173" s="71">
        <v>13000</v>
      </c>
      <c r="K173" s="71">
        <v>24000</v>
      </c>
      <c r="L173" s="48">
        <v>50</v>
      </c>
      <c r="M173" s="48">
        <v>4</v>
      </c>
      <c r="N173" s="48">
        <v>3</v>
      </c>
      <c r="O173" s="48">
        <v>25</v>
      </c>
      <c r="P173" s="48">
        <v>0.2</v>
      </c>
      <c r="Q173" s="48">
        <v>1000</v>
      </c>
      <c r="R173" s="48">
        <v>5000</v>
      </c>
      <c r="S173" s="4">
        <f t="shared" si="84"/>
        <v>2.82</v>
      </c>
      <c r="T173" s="4">
        <f t="shared" si="93"/>
        <v>8.3333333333333329E-2</v>
      </c>
      <c r="U173" s="4">
        <f t="shared" si="85"/>
        <v>7.666666666666667</v>
      </c>
      <c r="V173" s="4">
        <f t="shared" si="85"/>
        <v>2.88</v>
      </c>
      <c r="W173" s="5">
        <f t="shared" si="85"/>
        <v>3.4999999999999996</v>
      </c>
      <c r="X173" s="4">
        <f t="shared" si="85"/>
        <v>13</v>
      </c>
      <c r="Y173" s="4">
        <f t="shared" si="85"/>
        <v>4.8</v>
      </c>
      <c r="Z173" s="6">
        <f>1+(5*(LOG10(E173/L173)))</f>
        <v>3.2512455415968051</v>
      </c>
      <c r="AA173" s="6">
        <f t="shared" si="92"/>
        <v>8.3333333333333329E-2</v>
      </c>
      <c r="AB173" s="6">
        <f t="shared" si="87"/>
        <v>5.4230329064896523</v>
      </c>
      <c r="AC173" s="6">
        <f t="shared" si="87"/>
        <v>3.2969624387961542</v>
      </c>
      <c r="AD173" s="6">
        <f>1+(5*(LOG10(I173/P173)))</f>
        <v>3.7203402217513779</v>
      </c>
      <c r="AE173" s="6">
        <f t="shared" si="86"/>
        <v>6.5697167615341838</v>
      </c>
      <c r="AF173" s="6">
        <f t="shared" si="86"/>
        <v>4.4062061868779363</v>
      </c>
      <c r="AG173" s="52">
        <f t="shared" si="88"/>
        <v>3.821548198625635</v>
      </c>
      <c r="AH173" s="53">
        <f t="shared" si="89"/>
        <v>6.5697167615341838</v>
      </c>
      <c r="AI173" s="54">
        <f t="shared" si="90"/>
        <v>14.604230634418835</v>
      </c>
      <c r="AJ173" s="54">
        <f t="shared" si="90"/>
        <v>43.161178326783201</v>
      </c>
      <c r="AK173" s="55">
        <f t="shared" si="91"/>
        <v>5.3742631569919439</v>
      </c>
      <c r="AL173" s="59" t="str">
        <f t="shared" si="94"/>
        <v>sedang</v>
      </c>
    </row>
    <row r="174" spans="1:38" ht="17.25" thickBot="1" x14ac:dyDescent="0.35">
      <c r="A174" s="13">
        <v>173</v>
      </c>
      <c r="B174" s="14" t="s">
        <v>43</v>
      </c>
      <c r="C174" s="14"/>
      <c r="D174" s="49">
        <v>42990</v>
      </c>
      <c r="E174" s="73">
        <v>98</v>
      </c>
      <c r="F174" s="71">
        <v>4</v>
      </c>
      <c r="G174" s="71">
        <v>50</v>
      </c>
      <c r="H174" s="71">
        <v>156</v>
      </c>
      <c r="I174" s="71">
        <v>0.1</v>
      </c>
      <c r="J174" s="71">
        <v>22000</v>
      </c>
      <c r="K174" s="71">
        <v>28000</v>
      </c>
      <c r="L174" s="48">
        <v>50</v>
      </c>
      <c r="M174" s="48">
        <v>4</v>
      </c>
      <c r="N174" s="48">
        <v>3</v>
      </c>
      <c r="O174" s="48">
        <v>25</v>
      </c>
      <c r="P174" s="48">
        <v>0.2</v>
      </c>
      <c r="Q174" s="48">
        <v>1000</v>
      </c>
      <c r="R174" s="48">
        <v>5000</v>
      </c>
      <c r="S174" s="4">
        <f t="shared" si="84"/>
        <v>1.96</v>
      </c>
      <c r="T174" s="4">
        <f t="shared" si="93"/>
        <v>0.25</v>
      </c>
      <c r="U174" s="4">
        <f t="shared" si="85"/>
        <v>16.666666666666668</v>
      </c>
      <c r="V174" s="4">
        <f t="shared" si="85"/>
        <v>6.24</v>
      </c>
      <c r="W174" s="5">
        <f t="shared" si="85"/>
        <v>0.5</v>
      </c>
      <c r="X174" s="4">
        <f t="shared" si="85"/>
        <v>22</v>
      </c>
      <c r="Y174" s="4">
        <f t="shared" si="85"/>
        <v>5.6</v>
      </c>
      <c r="Z174" s="6">
        <f>1+(5*(LOG10(E174/L174)))</f>
        <v>2.46128035678238</v>
      </c>
      <c r="AA174" s="6">
        <f t="shared" si="92"/>
        <v>0.25</v>
      </c>
      <c r="AB174" s="6">
        <f t="shared" si="87"/>
        <v>7.1092437480817816</v>
      </c>
      <c r="AC174" s="6">
        <f t="shared" si="87"/>
        <v>4.9759229484121201</v>
      </c>
      <c r="AD174" s="6">
        <f t="shared" si="92"/>
        <v>0.5</v>
      </c>
      <c r="AE174" s="6">
        <f t="shared" si="86"/>
        <v>7.7121134041110313</v>
      </c>
      <c r="AF174" s="6">
        <f t="shared" si="86"/>
        <v>4.7409401350310016</v>
      </c>
      <c r="AG174" s="52">
        <f t="shared" si="88"/>
        <v>3.9642143703454735</v>
      </c>
      <c r="AH174" s="53">
        <f t="shared" si="89"/>
        <v>7.7121134041110313</v>
      </c>
      <c r="AI174" s="54">
        <f t="shared" si="90"/>
        <v>15.714995574053559</v>
      </c>
      <c r="AJ174" s="54">
        <f t="shared" si="90"/>
        <v>59.476693157869036</v>
      </c>
      <c r="AK174" s="55">
        <f t="shared" si="91"/>
        <v>6.1315450227460042</v>
      </c>
      <c r="AL174" s="59" t="str">
        <f t="shared" si="94"/>
        <v>sedang</v>
      </c>
    </row>
    <row r="175" spans="1:38" ht="17.25" thickBot="1" x14ac:dyDescent="0.35">
      <c r="A175" s="13">
        <v>174</v>
      </c>
      <c r="B175" s="14" t="s">
        <v>45</v>
      </c>
      <c r="C175" s="14"/>
      <c r="D175" s="49">
        <v>42990</v>
      </c>
      <c r="E175" s="73">
        <v>38</v>
      </c>
      <c r="F175" s="71">
        <v>3</v>
      </c>
      <c r="G175" s="71">
        <v>20</v>
      </c>
      <c r="H175" s="71">
        <v>77</v>
      </c>
      <c r="I175" s="71">
        <v>0.17</v>
      </c>
      <c r="J175" s="71">
        <v>28000</v>
      </c>
      <c r="K175" s="71">
        <v>35000</v>
      </c>
      <c r="L175" s="48">
        <v>50</v>
      </c>
      <c r="M175" s="48">
        <v>4</v>
      </c>
      <c r="N175" s="48">
        <v>3</v>
      </c>
      <c r="O175" s="48">
        <v>25</v>
      </c>
      <c r="P175" s="48">
        <v>0.2</v>
      </c>
      <c r="Q175" s="48">
        <v>1000</v>
      </c>
      <c r="R175" s="48">
        <v>5000</v>
      </c>
      <c r="S175" s="4">
        <f t="shared" si="84"/>
        <v>0.76</v>
      </c>
      <c r="T175" s="4">
        <f t="shared" si="93"/>
        <v>0.33333333333333331</v>
      </c>
      <c r="U175" s="4">
        <f t="shared" si="85"/>
        <v>6.666666666666667</v>
      </c>
      <c r="V175" s="4">
        <f t="shared" si="85"/>
        <v>3.08</v>
      </c>
      <c r="W175" s="5">
        <f t="shared" si="85"/>
        <v>0.85</v>
      </c>
      <c r="X175" s="4">
        <f t="shared" si="85"/>
        <v>28</v>
      </c>
      <c r="Y175" s="4">
        <f t="shared" si="85"/>
        <v>7</v>
      </c>
      <c r="Z175" s="6">
        <f t="shared" si="92"/>
        <v>0.76</v>
      </c>
      <c r="AA175" s="6">
        <f t="shared" si="92"/>
        <v>0.33333333333333331</v>
      </c>
      <c r="AB175" s="6">
        <f t="shared" si="87"/>
        <v>5.1195437047215941</v>
      </c>
      <c r="AC175" s="6">
        <f t="shared" si="87"/>
        <v>3.4427535825022213</v>
      </c>
      <c r="AD175" s="6">
        <f t="shared" si="92"/>
        <v>0.85</v>
      </c>
      <c r="AE175" s="6">
        <f t="shared" si="86"/>
        <v>8.2357901567110972</v>
      </c>
      <c r="AF175" s="6">
        <f t="shared" si="86"/>
        <v>5.2254902000712837</v>
      </c>
      <c r="AG175" s="52">
        <f t="shared" si="88"/>
        <v>3.4238444253342188</v>
      </c>
      <c r="AH175" s="53">
        <f t="shared" si="89"/>
        <v>8.2357901567110972</v>
      </c>
      <c r="AI175" s="54">
        <f t="shared" si="90"/>
        <v>11.722710648892207</v>
      </c>
      <c r="AJ175" s="54">
        <f t="shared" si="90"/>
        <v>67.8282395053794</v>
      </c>
      <c r="AK175" s="55">
        <f t="shared" si="91"/>
        <v>6.3067800879003064</v>
      </c>
      <c r="AL175" s="59" t="str">
        <f t="shared" si="94"/>
        <v>sedang</v>
      </c>
    </row>
    <row r="176" spans="1:38" ht="17.25" thickBot="1" x14ac:dyDescent="0.35">
      <c r="A176" s="13">
        <v>175</v>
      </c>
      <c r="B176" s="14" t="s">
        <v>23</v>
      </c>
      <c r="C176" s="14"/>
      <c r="D176" s="49">
        <v>42991</v>
      </c>
      <c r="E176" s="73">
        <v>42</v>
      </c>
      <c r="F176" s="71">
        <v>5</v>
      </c>
      <c r="G176" s="71">
        <v>21</v>
      </c>
      <c r="H176" s="71">
        <v>28</v>
      </c>
      <c r="I176" s="71">
        <v>0.9</v>
      </c>
      <c r="J176" s="71">
        <v>13000</v>
      </c>
      <c r="K176" s="71">
        <v>24000</v>
      </c>
      <c r="L176" s="48">
        <v>50</v>
      </c>
      <c r="M176" s="48">
        <v>4</v>
      </c>
      <c r="N176" s="48">
        <v>3</v>
      </c>
      <c r="O176" s="48">
        <v>25</v>
      </c>
      <c r="P176" s="48">
        <v>0.2</v>
      </c>
      <c r="Q176" s="48">
        <v>1000</v>
      </c>
      <c r="R176" s="48">
        <v>5000</v>
      </c>
      <c r="S176" s="4">
        <f t="shared" si="84"/>
        <v>0.84</v>
      </c>
      <c r="T176" s="4">
        <f t="shared" si="93"/>
        <v>0.16666666666666666</v>
      </c>
      <c r="U176" s="4">
        <f t="shared" ref="U176:Y191" si="95">G176/N176</f>
        <v>7</v>
      </c>
      <c r="V176" s="4">
        <f t="shared" si="95"/>
        <v>1.1200000000000001</v>
      </c>
      <c r="W176" s="5">
        <f t="shared" si="95"/>
        <v>4.5</v>
      </c>
      <c r="X176" s="4">
        <f t="shared" si="95"/>
        <v>13</v>
      </c>
      <c r="Y176" s="4">
        <f t="shared" si="95"/>
        <v>4.8</v>
      </c>
      <c r="Z176" s="6">
        <f t="shared" si="92"/>
        <v>0.84</v>
      </c>
      <c r="AA176" s="6">
        <f t="shared" si="92"/>
        <v>0.16666666666666666</v>
      </c>
      <c r="AB176" s="6">
        <f t="shared" si="87"/>
        <v>5.2254902000712837</v>
      </c>
      <c r="AC176" s="6">
        <f t="shared" si="87"/>
        <v>1.2460901133509084</v>
      </c>
      <c r="AD176" s="6">
        <f>1+(5*(LOG10(I176/P176)))</f>
        <v>4.2660625688767189</v>
      </c>
      <c r="AE176" s="6">
        <f t="shared" si="86"/>
        <v>6.5697167615341838</v>
      </c>
      <c r="AF176" s="6">
        <f t="shared" si="86"/>
        <v>4.4062061868779363</v>
      </c>
      <c r="AG176" s="52">
        <f t="shared" si="88"/>
        <v>3.2457474996253857</v>
      </c>
      <c r="AH176" s="53">
        <f>MAX(Z176:AG176)</f>
        <v>6.5697167615341838</v>
      </c>
      <c r="AI176" s="54">
        <f t="shared" si="90"/>
        <v>10.534876831324443</v>
      </c>
      <c r="AJ176" s="54">
        <f t="shared" si="90"/>
        <v>43.161178326783201</v>
      </c>
      <c r="AK176" s="55">
        <f t="shared" si="91"/>
        <v>5.181508234004248</v>
      </c>
      <c r="AL176" s="59" t="str">
        <f t="shared" si="94"/>
        <v>sedang</v>
      </c>
    </row>
    <row r="177" spans="1:38" ht="17.25" thickBot="1" x14ac:dyDescent="0.35">
      <c r="A177" s="13">
        <v>176</v>
      </c>
      <c r="B177" s="14" t="s">
        <v>25</v>
      </c>
      <c r="C177" s="14"/>
      <c r="D177" s="49">
        <v>42991</v>
      </c>
      <c r="E177" s="73">
        <v>40</v>
      </c>
      <c r="F177" s="71">
        <v>2</v>
      </c>
      <c r="G177" s="71">
        <v>28</v>
      </c>
      <c r="H177" s="71">
        <v>109</v>
      </c>
      <c r="I177" s="71">
        <v>3</v>
      </c>
      <c r="J177" s="71">
        <v>130000</v>
      </c>
      <c r="K177" s="71">
        <v>240000</v>
      </c>
      <c r="L177" s="48">
        <v>50</v>
      </c>
      <c r="M177" s="48">
        <v>4</v>
      </c>
      <c r="N177" s="48">
        <v>3</v>
      </c>
      <c r="O177" s="48">
        <v>25</v>
      </c>
      <c r="P177" s="48">
        <v>0.2</v>
      </c>
      <c r="Q177" s="48">
        <v>1000</v>
      </c>
      <c r="R177" s="48">
        <v>5000</v>
      </c>
      <c r="S177" s="4">
        <f t="shared" si="84"/>
        <v>0.8</v>
      </c>
      <c r="T177" s="4">
        <f t="shared" si="93"/>
        <v>0.41666666666666669</v>
      </c>
      <c r="U177" s="4">
        <f t="shared" si="95"/>
        <v>9.3333333333333339</v>
      </c>
      <c r="V177" s="4">
        <f t="shared" si="95"/>
        <v>4.3600000000000003</v>
      </c>
      <c r="W177" s="5">
        <f t="shared" si="95"/>
        <v>15</v>
      </c>
      <c r="X177" s="4">
        <f t="shared" si="95"/>
        <v>130</v>
      </c>
      <c r="Y177" s="4">
        <f t="shared" si="95"/>
        <v>48</v>
      </c>
      <c r="Z177" s="6">
        <f t="shared" si="92"/>
        <v>0.8</v>
      </c>
      <c r="AA177" s="6">
        <f t="shared" si="92"/>
        <v>0.41666666666666669</v>
      </c>
      <c r="AB177" s="6">
        <f t="shared" si="87"/>
        <v>5.8501838831127841</v>
      </c>
      <c r="AC177" s="6">
        <f t="shared" si="87"/>
        <v>4.1974324463429307</v>
      </c>
      <c r="AD177" s="6">
        <f>1+(5*(LOG10(I177/P177)))</f>
        <v>6.8804562952784067</v>
      </c>
      <c r="AE177" s="6">
        <f t="shared" si="86"/>
        <v>11.569716761534185</v>
      </c>
      <c r="AF177" s="6">
        <f t="shared" si="86"/>
        <v>9.4062061868779363</v>
      </c>
      <c r="AG177" s="52">
        <f t="shared" si="88"/>
        <v>5.5886660342589867</v>
      </c>
      <c r="AH177" s="53">
        <f t="shared" si="89"/>
        <v>11.569716761534185</v>
      </c>
      <c r="AI177" s="54">
        <f t="shared" si="90"/>
        <v>31.233188042480069</v>
      </c>
      <c r="AJ177" s="54">
        <f t="shared" si="90"/>
        <v>133.85834594212506</v>
      </c>
      <c r="AK177" s="55">
        <f t="shared" si="91"/>
        <v>9.0854701029887579</v>
      </c>
      <c r="AL177" s="59" t="str">
        <f t="shared" si="94"/>
        <v>sedang</v>
      </c>
    </row>
    <row r="178" spans="1:38" ht="17.25" thickBot="1" x14ac:dyDescent="0.35">
      <c r="A178" s="13">
        <v>177</v>
      </c>
      <c r="B178" s="14" t="s">
        <v>27</v>
      </c>
      <c r="C178" s="14"/>
      <c r="D178" s="49">
        <v>42990</v>
      </c>
      <c r="E178" s="73">
        <v>430</v>
      </c>
      <c r="F178" s="71">
        <v>0.4</v>
      </c>
      <c r="G178" s="71">
        <v>234</v>
      </c>
      <c r="H178" s="71">
        <v>668</v>
      </c>
      <c r="I178" s="71">
        <v>0.18</v>
      </c>
      <c r="J178" s="71">
        <v>130000</v>
      </c>
      <c r="K178" s="71">
        <v>240000</v>
      </c>
      <c r="L178" s="48">
        <v>50</v>
      </c>
      <c r="M178" s="48">
        <v>4</v>
      </c>
      <c r="N178" s="48">
        <v>3</v>
      </c>
      <c r="O178" s="48">
        <v>25</v>
      </c>
      <c r="P178" s="48">
        <v>0.2</v>
      </c>
      <c r="Q178" s="48">
        <v>1000</v>
      </c>
      <c r="R178" s="48">
        <v>5000</v>
      </c>
      <c r="S178" s="4">
        <f t="shared" si="84"/>
        <v>8.6</v>
      </c>
      <c r="T178" s="4">
        <f t="shared" si="93"/>
        <v>0.54999999999999993</v>
      </c>
      <c r="U178" s="4">
        <f t="shared" si="95"/>
        <v>78</v>
      </c>
      <c r="V178" s="4">
        <f t="shared" si="95"/>
        <v>26.72</v>
      </c>
      <c r="W178" s="5">
        <f t="shared" si="95"/>
        <v>0.89999999999999991</v>
      </c>
      <c r="X178" s="4">
        <f t="shared" si="95"/>
        <v>130</v>
      </c>
      <c r="Y178" s="4">
        <f t="shared" si="95"/>
        <v>48</v>
      </c>
      <c r="Z178" s="6">
        <f>1+(5*(LOG10(E178/L178)))</f>
        <v>5.6724922562178381</v>
      </c>
      <c r="AA178" s="6">
        <f t="shared" si="92"/>
        <v>0.54999999999999993</v>
      </c>
      <c r="AB178" s="6">
        <f t="shared" si="87"/>
        <v>10.460473013452402</v>
      </c>
      <c r="AC178" s="6">
        <f t="shared" si="87"/>
        <v>8.1341822690175398</v>
      </c>
      <c r="AD178" s="6">
        <f>W178</f>
        <v>0.89999999999999991</v>
      </c>
      <c r="AE178" s="6">
        <f t="shared" si="86"/>
        <v>11.569716761534185</v>
      </c>
      <c r="AF178" s="6">
        <f t="shared" si="86"/>
        <v>9.4062061868779363</v>
      </c>
      <c r="AG178" s="52">
        <f t="shared" si="88"/>
        <v>6.6704386410142718</v>
      </c>
      <c r="AH178" s="53">
        <f t="shared" si="89"/>
        <v>11.569716761534185</v>
      </c>
      <c r="AI178" s="54">
        <f t="shared" si="90"/>
        <v>44.494751663536327</v>
      </c>
      <c r="AJ178" s="54">
        <f t="shared" si="90"/>
        <v>133.85834594212506</v>
      </c>
      <c r="AK178" s="55">
        <f t="shared" si="91"/>
        <v>9.4433335640985749</v>
      </c>
      <c r="AL178" s="59" t="str">
        <f t="shared" si="94"/>
        <v>sedang</v>
      </c>
    </row>
    <row r="179" spans="1:38" ht="17.25" thickBot="1" x14ac:dyDescent="0.35">
      <c r="A179" s="13">
        <v>178</v>
      </c>
      <c r="B179" s="14" t="s">
        <v>35</v>
      </c>
      <c r="C179" s="14"/>
      <c r="D179" s="49">
        <v>42989</v>
      </c>
      <c r="E179" s="73">
        <v>13</v>
      </c>
      <c r="F179" s="71">
        <v>0.9</v>
      </c>
      <c r="G179" s="71">
        <v>8</v>
      </c>
      <c r="H179" s="71">
        <v>39</v>
      </c>
      <c r="I179" s="71">
        <v>0.3</v>
      </c>
      <c r="J179" s="71">
        <v>4900</v>
      </c>
      <c r="K179" s="71">
        <v>7000</v>
      </c>
      <c r="L179" s="48">
        <v>50</v>
      </c>
      <c r="M179" s="48">
        <v>4</v>
      </c>
      <c r="N179" s="48">
        <v>3</v>
      </c>
      <c r="O179" s="48">
        <v>25</v>
      </c>
      <c r="P179" s="48">
        <v>0.2</v>
      </c>
      <c r="Q179" s="48">
        <v>1000</v>
      </c>
      <c r="R179" s="48">
        <v>5000</v>
      </c>
      <c r="S179" s="4">
        <f t="shared" si="84"/>
        <v>0.26</v>
      </c>
      <c r="T179" s="4">
        <f t="shared" si="93"/>
        <v>0.5083333333333333</v>
      </c>
      <c r="U179" s="4">
        <f t="shared" si="95"/>
        <v>2.6666666666666665</v>
      </c>
      <c r="V179" s="4">
        <f t="shared" si="95"/>
        <v>1.56</v>
      </c>
      <c r="W179" s="5">
        <f t="shared" si="95"/>
        <v>1.4999999999999998</v>
      </c>
      <c r="X179" s="4">
        <f t="shared" si="95"/>
        <v>4.9000000000000004</v>
      </c>
      <c r="Y179" s="4">
        <f t="shared" si="95"/>
        <v>1.4</v>
      </c>
      <c r="Z179" s="6">
        <f t="shared" si="92"/>
        <v>0.26</v>
      </c>
      <c r="AA179" s="6">
        <f t="shared" si="92"/>
        <v>0.5083333333333333</v>
      </c>
      <c r="AB179" s="6">
        <f t="shared" si="87"/>
        <v>3.1298436613614053</v>
      </c>
      <c r="AC179" s="6">
        <f t="shared" si="87"/>
        <v>1.965622991772308</v>
      </c>
      <c r="AD179" s="6">
        <f>1+(5*(LOG10(I179/P179)))</f>
        <v>1.8804562952784059</v>
      </c>
      <c r="AE179" s="6">
        <f t="shared" si="86"/>
        <v>4.4509804001425692</v>
      </c>
      <c r="AF179" s="6">
        <f t="shared" si="86"/>
        <v>1.73064017839119</v>
      </c>
      <c r="AG179" s="52">
        <f t="shared" si="88"/>
        <v>1.9894109800398876</v>
      </c>
      <c r="AH179" s="53">
        <f t="shared" si="89"/>
        <v>4.4509804001425692</v>
      </c>
      <c r="AI179" s="54">
        <f t="shared" si="90"/>
        <v>3.957756047503266</v>
      </c>
      <c r="AJ179" s="54">
        <f t="shared" si="90"/>
        <v>19.811226522453307</v>
      </c>
      <c r="AK179" s="55">
        <f t="shared" si="91"/>
        <v>3.4473890533240206</v>
      </c>
      <c r="AL179" s="56" t="str">
        <f t="shared" si="94"/>
        <v>ringan</v>
      </c>
    </row>
    <row r="180" spans="1:38" ht="17.25" thickBot="1" x14ac:dyDescent="0.35">
      <c r="A180" s="13">
        <v>179</v>
      </c>
      <c r="B180" s="14" t="s">
        <v>37</v>
      </c>
      <c r="C180" s="14"/>
      <c r="D180" s="49">
        <v>42989</v>
      </c>
      <c r="E180" s="73">
        <v>161</v>
      </c>
      <c r="F180" s="71">
        <v>0.9</v>
      </c>
      <c r="G180" s="71">
        <v>28</v>
      </c>
      <c r="H180" s="71">
        <v>253</v>
      </c>
      <c r="I180" s="71">
        <v>0.5</v>
      </c>
      <c r="J180" s="71">
        <v>280000</v>
      </c>
      <c r="K180" s="71">
        <v>350000</v>
      </c>
      <c r="L180" s="48">
        <v>50</v>
      </c>
      <c r="M180" s="48">
        <v>4</v>
      </c>
      <c r="N180" s="48">
        <v>3</v>
      </c>
      <c r="O180" s="48">
        <v>25</v>
      </c>
      <c r="P180" s="48">
        <v>0.2</v>
      </c>
      <c r="Q180" s="48">
        <v>1000</v>
      </c>
      <c r="R180" s="48">
        <v>5000</v>
      </c>
      <c r="S180" s="4">
        <f t="shared" si="84"/>
        <v>3.22</v>
      </c>
      <c r="T180" s="4">
        <f t="shared" si="93"/>
        <v>0.5083333333333333</v>
      </c>
      <c r="U180" s="4">
        <f t="shared" si="95"/>
        <v>9.3333333333333339</v>
      </c>
      <c r="V180" s="4">
        <f t="shared" si="95"/>
        <v>10.119999999999999</v>
      </c>
      <c r="W180" s="5">
        <f t="shared" si="95"/>
        <v>2.5</v>
      </c>
      <c r="X180" s="4">
        <f t="shared" si="95"/>
        <v>280</v>
      </c>
      <c r="Y180" s="4">
        <f t="shared" si="95"/>
        <v>70</v>
      </c>
      <c r="Z180" s="6">
        <f t="shared" ref="Z180:Z185" si="96">1+(5*(LOG10(E180/L180)))</f>
        <v>3.5392793584791544</v>
      </c>
      <c r="AA180" s="6">
        <f t="shared" si="92"/>
        <v>0.5083333333333333</v>
      </c>
      <c r="AB180" s="6">
        <f t="shared" si="87"/>
        <v>5.8501838831127841</v>
      </c>
      <c r="AC180" s="6">
        <f t="shared" si="87"/>
        <v>6.0259025625189011</v>
      </c>
      <c r="AD180" s="6">
        <f>1+(5*(LOG10(I180/P180)))</f>
        <v>2.9897000433601879</v>
      </c>
      <c r="AE180" s="6">
        <f t="shared" si="86"/>
        <v>13.235790156711097</v>
      </c>
      <c r="AF180" s="6">
        <f t="shared" si="86"/>
        <v>10.225490200071285</v>
      </c>
      <c r="AG180" s="52">
        <f t="shared" si="88"/>
        <v>6.0535256482266773</v>
      </c>
      <c r="AH180" s="53">
        <f t="shared" si="89"/>
        <v>13.235790156711097</v>
      </c>
      <c r="AI180" s="54">
        <f t="shared" si="90"/>
        <v>36.64517277373821</v>
      </c>
      <c r="AJ180" s="54">
        <f t="shared" si="90"/>
        <v>175.18614107249036</v>
      </c>
      <c r="AK180" s="55">
        <f t="shared" si="91"/>
        <v>10.291533263956071</v>
      </c>
      <c r="AL180" s="57" t="str">
        <f t="shared" si="94"/>
        <v>berat</v>
      </c>
    </row>
    <row r="181" spans="1:38" ht="17.25" thickBot="1" x14ac:dyDescent="0.35">
      <c r="A181" s="13">
        <v>180</v>
      </c>
      <c r="B181" s="14" t="s">
        <v>51</v>
      </c>
      <c r="C181" s="14"/>
      <c r="D181" s="49">
        <v>42989</v>
      </c>
      <c r="E181" s="73">
        <v>730</v>
      </c>
      <c r="F181" s="71">
        <v>0.4</v>
      </c>
      <c r="G181" s="71">
        <v>275</v>
      </c>
      <c r="H181" s="71">
        <v>387</v>
      </c>
      <c r="I181" s="71">
        <v>0.8</v>
      </c>
      <c r="J181" s="71">
        <v>350000</v>
      </c>
      <c r="K181" s="71">
        <v>430000</v>
      </c>
      <c r="L181" s="48">
        <v>50</v>
      </c>
      <c r="M181" s="48">
        <v>4</v>
      </c>
      <c r="N181" s="48">
        <v>3</v>
      </c>
      <c r="O181" s="48">
        <v>25</v>
      </c>
      <c r="P181" s="48">
        <v>0.2</v>
      </c>
      <c r="Q181" s="48">
        <v>1000</v>
      </c>
      <c r="R181" s="48">
        <v>5000</v>
      </c>
      <c r="S181" s="4">
        <f t="shared" si="84"/>
        <v>14.6</v>
      </c>
      <c r="T181" s="4">
        <f t="shared" si="93"/>
        <v>0.54999999999999993</v>
      </c>
      <c r="U181" s="4">
        <f t="shared" si="95"/>
        <v>91.666666666666671</v>
      </c>
      <c r="V181" s="4">
        <f t="shared" si="95"/>
        <v>15.48</v>
      </c>
      <c r="W181" s="5">
        <f t="shared" si="95"/>
        <v>4</v>
      </c>
      <c r="X181" s="4">
        <f t="shared" si="95"/>
        <v>350</v>
      </c>
      <c r="Y181" s="4">
        <f t="shared" si="95"/>
        <v>86</v>
      </c>
      <c r="Z181" s="6">
        <f t="shared" si="96"/>
        <v>6.8217642789221857</v>
      </c>
      <c r="AA181" s="6">
        <f>T181</f>
        <v>0.54999999999999993</v>
      </c>
      <c r="AB181" s="6">
        <f t="shared" si="87"/>
        <v>10.811057195553001</v>
      </c>
      <c r="AC181" s="6">
        <f t="shared" si="87"/>
        <v>6.9488547817343695</v>
      </c>
      <c r="AD181" s="6">
        <f>1+(5*(LOG10(I181/P181)))</f>
        <v>4.0102999566398125</v>
      </c>
      <c r="AE181" s="6">
        <f t="shared" si="86"/>
        <v>13.720340221751378</v>
      </c>
      <c r="AF181" s="6">
        <f t="shared" si="86"/>
        <v>10.672492256217838</v>
      </c>
      <c r="AG181" s="52">
        <f t="shared" si="88"/>
        <v>7.6478298129740825</v>
      </c>
      <c r="AH181" s="53">
        <f t="shared" si="89"/>
        <v>13.720340221751378</v>
      </c>
      <c r="AI181" s="54">
        <f t="shared" si="90"/>
        <v>58.489300848215187</v>
      </c>
      <c r="AJ181" s="54">
        <f t="shared" si="90"/>
        <v>188.24773580060867</v>
      </c>
      <c r="AK181" s="55">
        <f t="shared" si="91"/>
        <v>11.107138169862294</v>
      </c>
      <c r="AL181" s="57" t="str">
        <f t="shared" si="94"/>
        <v>berat</v>
      </c>
    </row>
    <row r="182" spans="1:38" ht="17.25" thickBot="1" x14ac:dyDescent="0.35">
      <c r="A182" s="13">
        <v>181</v>
      </c>
      <c r="B182" s="14" t="s">
        <v>17</v>
      </c>
      <c r="C182" s="14"/>
      <c r="D182" s="49">
        <v>43067</v>
      </c>
      <c r="E182" s="73">
        <v>84.67</v>
      </c>
      <c r="F182" s="71">
        <v>4.53</v>
      </c>
      <c r="G182" s="71">
        <v>2.31</v>
      </c>
      <c r="H182" s="71">
        <v>85.65</v>
      </c>
      <c r="I182" s="71">
        <v>0.1</v>
      </c>
      <c r="J182" s="71">
        <v>20000</v>
      </c>
      <c r="K182" s="71">
        <v>220000</v>
      </c>
      <c r="L182" s="48">
        <v>50</v>
      </c>
      <c r="M182" s="48">
        <v>4</v>
      </c>
      <c r="N182" s="48">
        <v>3</v>
      </c>
      <c r="O182" s="48">
        <v>25</v>
      </c>
      <c r="P182" s="48">
        <v>0.2</v>
      </c>
      <c r="Q182" s="48">
        <v>1000</v>
      </c>
      <c r="R182" s="48">
        <v>5000</v>
      </c>
      <c r="S182" s="4">
        <f t="shared" si="84"/>
        <v>1.6934</v>
      </c>
      <c r="T182" s="4">
        <f t="shared" si="93"/>
        <v>0.20583333333333331</v>
      </c>
      <c r="U182" s="4">
        <f t="shared" si="95"/>
        <v>0.77</v>
      </c>
      <c r="V182" s="4">
        <f t="shared" si="95"/>
        <v>3.4260000000000002</v>
      </c>
      <c r="W182" s="5">
        <f t="shared" si="95"/>
        <v>0.5</v>
      </c>
      <c r="X182" s="4">
        <f t="shared" si="95"/>
        <v>20</v>
      </c>
      <c r="Y182" s="4">
        <f t="shared" si="95"/>
        <v>44</v>
      </c>
      <c r="Z182" s="6">
        <f t="shared" si="96"/>
        <v>2.1437977771781784</v>
      </c>
      <c r="AA182" s="6">
        <f>1+(5*(LOG10(F182/M182)))</f>
        <v>1.2701910534243475</v>
      </c>
      <c r="AB182" s="6">
        <f t="shared" si="92"/>
        <v>0.77</v>
      </c>
      <c r="AC182" s="6">
        <f t="shared" si="87"/>
        <v>3.6739367931474582</v>
      </c>
      <c r="AD182" s="6">
        <f t="shared" si="92"/>
        <v>0.5</v>
      </c>
      <c r="AE182" s="6">
        <f t="shared" si="86"/>
        <v>7.5051499783199063</v>
      </c>
      <c r="AF182" s="6">
        <f t="shared" si="86"/>
        <v>9.2172633824309376</v>
      </c>
      <c r="AG182" s="52">
        <f t="shared" si="88"/>
        <v>3.5829055692144038</v>
      </c>
      <c r="AH182" s="53">
        <f t="shared" si="89"/>
        <v>9.2172633824309376</v>
      </c>
      <c r="AI182" s="54">
        <f t="shared" si="90"/>
        <v>12.837212317907591</v>
      </c>
      <c r="AJ182" s="54">
        <f t="shared" si="90"/>
        <v>84.957944261102213</v>
      </c>
      <c r="AK182" s="55">
        <f t="shared" si="91"/>
        <v>6.9926803365737307</v>
      </c>
      <c r="AL182" s="59" t="str">
        <f t="shared" si="94"/>
        <v>sedang</v>
      </c>
    </row>
    <row r="183" spans="1:38" ht="17.25" thickBot="1" x14ac:dyDescent="0.35">
      <c r="A183" s="13">
        <v>182</v>
      </c>
      <c r="B183" s="14" t="s">
        <v>49</v>
      </c>
      <c r="C183" s="14"/>
      <c r="D183" s="49">
        <v>43067</v>
      </c>
      <c r="E183" s="73">
        <v>109.33</v>
      </c>
      <c r="F183" s="71">
        <v>3.77</v>
      </c>
      <c r="G183" s="71">
        <v>15.19</v>
      </c>
      <c r="H183" s="71">
        <v>39.28</v>
      </c>
      <c r="I183" s="71">
        <v>0.13</v>
      </c>
      <c r="J183" s="71">
        <v>710000</v>
      </c>
      <c r="K183" s="71">
        <v>4200000</v>
      </c>
      <c r="L183" s="48">
        <v>50</v>
      </c>
      <c r="M183" s="48">
        <v>4</v>
      </c>
      <c r="N183" s="48">
        <v>3</v>
      </c>
      <c r="O183" s="48">
        <v>25</v>
      </c>
      <c r="P183" s="48">
        <v>0.2</v>
      </c>
      <c r="Q183" s="48">
        <v>1000</v>
      </c>
      <c r="R183" s="48">
        <v>5000</v>
      </c>
      <c r="S183" s="4">
        <f t="shared" si="84"/>
        <v>2.1865999999999999</v>
      </c>
      <c r="T183" s="4">
        <f t="shared" si="93"/>
        <v>0.26916666666666667</v>
      </c>
      <c r="U183" s="4">
        <f t="shared" si="95"/>
        <v>5.0633333333333335</v>
      </c>
      <c r="V183" s="4">
        <f t="shared" si="95"/>
        <v>1.5712000000000002</v>
      </c>
      <c r="W183" s="5">
        <f t="shared" si="95"/>
        <v>0.65</v>
      </c>
      <c r="X183" s="4">
        <f t="shared" si="95"/>
        <v>710</v>
      </c>
      <c r="Y183" s="4">
        <f t="shared" si="95"/>
        <v>840</v>
      </c>
      <c r="Z183" s="6">
        <f t="shared" si="96"/>
        <v>2.6988467188436509</v>
      </c>
      <c r="AA183" s="6">
        <f t="shared" ref="Z183:AD196" si="97">T183</f>
        <v>0.26916666666666667</v>
      </c>
      <c r="AB183" s="6">
        <f t="shared" si="97"/>
        <v>5.0633333333333335</v>
      </c>
      <c r="AC183" s="6">
        <f t="shared" si="87"/>
        <v>1.9811573522143724</v>
      </c>
      <c r="AD183" s="6">
        <f t="shared" si="97"/>
        <v>0.65</v>
      </c>
      <c r="AE183" s="6">
        <f t="shared" si="86"/>
        <v>15.256291743595376</v>
      </c>
      <c r="AF183" s="6">
        <f t="shared" si="86"/>
        <v>15.621396430309408</v>
      </c>
      <c r="AG183" s="52">
        <f t="shared" si="88"/>
        <v>5.9343131778518297</v>
      </c>
      <c r="AH183" s="53">
        <f t="shared" si="89"/>
        <v>15.621396430309408</v>
      </c>
      <c r="AI183" s="54">
        <f t="shared" si="90"/>
        <v>35.216072892825878</v>
      </c>
      <c r="AJ183" s="54">
        <f t="shared" si="90"/>
        <v>244.02802643288354</v>
      </c>
      <c r="AK183" s="55">
        <f t="shared" si="91"/>
        <v>11.816177455626447</v>
      </c>
      <c r="AL183" s="57" t="str">
        <f t="shared" si="94"/>
        <v>berat</v>
      </c>
    </row>
    <row r="184" spans="1:38" ht="17.25" thickBot="1" x14ac:dyDescent="0.35">
      <c r="A184" s="13">
        <v>183</v>
      </c>
      <c r="B184" s="14" t="s">
        <v>50</v>
      </c>
      <c r="C184" s="14"/>
      <c r="D184" s="49">
        <v>43067</v>
      </c>
      <c r="E184" s="73">
        <v>147</v>
      </c>
      <c r="F184" s="71">
        <v>4.04</v>
      </c>
      <c r="G184" s="71">
        <v>15.28</v>
      </c>
      <c r="H184" s="71">
        <v>52.08</v>
      </c>
      <c r="I184" s="71">
        <v>0.09</v>
      </c>
      <c r="J184" s="71">
        <v>610000</v>
      </c>
      <c r="K184" s="71">
        <v>6600000</v>
      </c>
      <c r="L184" s="48">
        <v>50</v>
      </c>
      <c r="M184" s="48">
        <v>4</v>
      </c>
      <c r="N184" s="48">
        <v>3</v>
      </c>
      <c r="O184" s="48">
        <v>25</v>
      </c>
      <c r="P184" s="48">
        <v>0.2</v>
      </c>
      <c r="Q184" s="48">
        <v>1000</v>
      </c>
      <c r="R184" s="48">
        <v>5000</v>
      </c>
      <c r="S184" s="4">
        <f t="shared" si="84"/>
        <v>2.94</v>
      </c>
      <c r="T184" s="4">
        <f t="shared" si="93"/>
        <v>0.24666666666666667</v>
      </c>
      <c r="U184" s="4">
        <f t="shared" si="95"/>
        <v>5.0933333333333328</v>
      </c>
      <c r="V184" s="4">
        <f t="shared" si="95"/>
        <v>2.0831999999999997</v>
      </c>
      <c r="W184" s="5">
        <f t="shared" si="95"/>
        <v>0.44999999999999996</v>
      </c>
      <c r="X184" s="4">
        <f t="shared" si="95"/>
        <v>610</v>
      </c>
      <c r="Y184" s="4">
        <f t="shared" si="95"/>
        <v>1320</v>
      </c>
      <c r="Z184" s="6">
        <f t="shared" si="96"/>
        <v>3.3417366520607863</v>
      </c>
      <c r="AA184" s="6">
        <f t="shared" si="97"/>
        <v>0.24666666666666667</v>
      </c>
      <c r="AB184" s="6">
        <f t="shared" si="97"/>
        <v>5.0933333333333328</v>
      </c>
      <c r="AC184" s="6">
        <f t="shared" ref="AC184:AC185" si="98">1+(5*(LOG10(H184/O184)))</f>
        <v>2.5936548344404895</v>
      </c>
      <c r="AD184" s="6">
        <f t="shared" si="97"/>
        <v>0.44999999999999996</v>
      </c>
      <c r="AE184" s="6">
        <f t="shared" si="86"/>
        <v>14.926649175053836</v>
      </c>
      <c r="AF184" s="6">
        <f t="shared" si="86"/>
        <v>16.602869656029249</v>
      </c>
      <c r="AG184" s="52">
        <f t="shared" si="88"/>
        <v>6.1792729025120519</v>
      </c>
      <c r="AH184" s="53">
        <f t="shared" si="89"/>
        <v>16.602869656029249</v>
      </c>
      <c r="AI184" s="54">
        <f t="shared" si="90"/>
        <v>38.183413603719721</v>
      </c>
      <c r="AJ184" s="54">
        <f t="shared" si="90"/>
        <v>275.65528081509677</v>
      </c>
      <c r="AK184" s="55">
        <f t="shared" si="91"/>
        <v>12.52674527598483</v>
      </c>
      <c r="AL184" s="57" t="str">
        <f t="shared" si="94"/>
        <v>berat</v>
      </c>
    </row>
    <row r="185" spans="1:38" ht="17.25" thickBot="1" x14ac:dyDescent="0.35">
      <c r="A185" s="13">
        <v>184</v>
      </c>
      <c r="B185" s="14" t="s">
        <v>29</v>
      </c>
      <c r="C185" s="14"/>
      <c r="D185" s="49">
        <v>43066</v>
      </c>
      <c r="E185" s="73">
        <v>65.83</v>
      </c>
      <c r="F185" s="71">
        <v>3.05</v>
      </c>
      <c r="G185" s="71">
        <v>14.19</v>
      </c>
      <c r="H185" s="71">
        <v>24.99</v>
      </c>
      <c r="I185" s="71">
        <v>0.31</v>
      </c>
      <c r="J185" s="71">
        <v>230000</v>
      </c>
      <c r="K185" s="71">
        <v>2150000</v>
      </c>
      <c r="L185" s="48">
        <v>50</v>
      </c>
      <c r="M185" s="48">
        <v>4</v>
      </c>
      <c r="N185" s="48">
        <v>3</v>
      </c>
      <c r="O185" s="48">
        <v>25</v>
      </c>
      <c r="P185" s="48">
        <v>0.2</v>
      </c>
      <c r="Q185" s="48">
        <v>1000</v>
      </c>
      <c r="R185" s="48">
        <v>5000</v>
      </c>
      <c r="S185" s="4">
        <f t="shared" si="84"/>
        <v>1.3166</v>
      </c>
      <c r="T185" s="4">
        <f t="shared" si="93"/>
        <v>0.32916666666666666</v>
      </c>
      <c r="U185" s="4">
        <f t="shared" si="95"/>
        <v>4.7299999999999995</v>
      </c>
      <c r="V185" s="4">
        <f>H185/O185</f>
        <v>0.99959999999999993</v>
      </c>
      <c r="W185" s="5">
        <f t="shared" si="95"/>
        <v>1.5499999999999998</v>
      </c>
      <c r="X185" s="4">
        <f t="shared" si="95"/>
        <v>230</v>
      </c>
      <c r="Y185" s="4">
        <f t="shared" si="95"/>
        <v>430</v>
      </c>
      <c r="Z185" s="6">
        <f t="shared" si="96"/>
        <v>1.5972692537803002</v>
      </c>
      <c r="AA185" s="6">
        <f t="shared" si="97"/>
        <v>0.32916666666666666</v>
      </c>
      <c r="AB185" s="6">
        <f t="shared" si="97"/>
        <v>4.7299999999999995</v>
      </c>
      <c r="AC185" s="6">
        <f t="shared" si="97"/>
        <v>0.99959999999999993</v>
      </c>
      <c r="AD185" s="6">
        <f>1+(5*(LOG10(I185/P185)))</f>
        <v>1.9516584908514572</v>
      </c>
      <c r="AE185" s="6">
        <f t="shared" si="86"/>
        <v>12.808639180087965</v>
      </c>
      <c r="AF185" s="6">
        <f t="shared" si="86"/>
        <v>14.167342277897934</v>
      </c>
      <c r="AG185" s="52">
        <f t="shared" si="88"/>
        <v>5.2262394098977598</v>
      </c>
      <c r="AH185" s="53">
        <f t="shared" si="89"/>
        <v>14.167342277897934</v>
      </c>
      <c r="AI185" s="54">
        <f t="shared" si="90"/>
        <v>27.313578369568486</v>
      </c>
      <c r="AJ185" s="54">
        <f t="shared" si="90"/>
        <v>200.7135872191142</v>
      </c>
      <c r="AK185" s="55">
        <f t="shared" si="91"/>
        <v>10.677714305708939</v>
      </c>
      <c r="AL185" s="57" t="str">
        <f t="shared" si="94"/>
        <v>berat</v>
      </c>
    </row>
    <row r="186" spans="1:38" ht="17.25" thickBot="1" x14ac:dyDescent="0.35">
      <c r="A186" s="13">
        <v>185</v>
      </c>
      <c r="B186" s="14" t="s">
        <v>31</v>
      </c>
      <c r="C186" s="14"/>
      <c r="D186" s="49">
        <v>43066</v>
      </c>
      <c r="E186" s="73">
        <v>19.329999999999998</v>
      </c>
      <c r="F186" s="71">
        <v>1.9</v>
      </c>
      <c r="G186" s="71">
        <v>32.47</v>
      </c>
      <c r="H186" s="71">
        <v>98.71</v>
      </c>
      <c r="I186" s="71">
        <v>1</v>
      </c>
      <c r="J186" s="71">
        <v>5500000</v>
      </c>
      <c r="K186" s="71">
        <v>125000000</v>
      </c>
      <c r="L186" s="48">
        <v>50</v>
      </c>
      <c r="M186" s="48">
        <v>4</v>
      </c>
      <c r="N186" s="48">
        <v>3</v>
      </c>
      <c r="O186" s="48">
        <v>25</v>
      </c>
      <c r="P186" s="48">
        <v>0.2</v>
      </c>
      <c r="Q186" s="48">
        <v>1000</v>
      </c>
      <c r="R186" s="48">
        <v>5000</v>
      </c>
      <c r="S186" s="4">
        <f t="shared" si="84"/>
        <v>0.38659999999999994</v>
      </c>
      <c r="T186" s="4">
        <f t="shared" si="93"/>
        <v>0.42499999999999999</v>
      </c>
      <c r="U186" s="4">
        <f t="shared" si="95"/>
        <v>10.823333333333332</v>
      </c>
      <c r="V186" s="4">
        <f>H186/O186</f>
        <v>3.9483999999999999</v>
      </c>
      <c r="W186" s="5">
        <f t="shared" si="95"/>
        <v>5</v>
      </c>
      <c r="X186" s="4">
        <f t="shared" si="95"/>
        <v>5500</v>
      </c>
      <c r="Y186" s="4">
        <f t="shared" si="95"/>
        <v>25000</v>
      </c>
      <c r="Z186" s="6">
        <f t="shared" si="97"/>
        <v>0.38659999999999994</v>
      </c>
      <c r="AA186" s="6">
        <f t="shared" si="97"/>
        <v>0.42499999999999999</v>
      </c>
      <c r="AB186" s="6">
        <f t="shared" si="97"/>
        <v>10.823333333333332</v>
      </c>
      <c r="AC186" s="6">
        <f>1+(5*(LOG10(H186/O186)))</f>
        <v>3.982105716179817</v>
      </c>
      <c r="AD186" s="6">
        <f>1+(5*(LOG10(I186/P186)))</f>
        <v>4.4948500216800937</v>
      </c>
      <c r="AE186" s="6">
        <f t="shared" si="86"/>
        <v>19.701813447471217</v>
      </c>
      <c r="AF186" s="6">
        <f t="shared" si="86"/>
        <v>22.989700043360187</v>
      </c>
      <c r="AG186" s="52">
        <f t="shared" si="88"/>
        <v>8.9719146517178068</v>
      </c>
      <c r="AH186" s="53">
        <f t="shared" si="89"/>
        <v>22.989700043360187</v>
      </c>
      <c r="AI186" s="54">
        <f t="shared" si="90"/>
        <v>80.49525251770865</v>
      </c>
      <c r="AJ186" s="54">
        <f t="shared" si="90"/>
        <v>528.52630808367542</v>
      </c>
      <c r="AK186" s="55">
        <f t="shared" si="91"/>
        <v>17.450237256286577</v>
      </c>
      <c r="AL186" s="57" t="str">
        <f t="shared" si="94"/>
        <v>berat</v>
      </c>
    </row>
    <row r="187" spans="1:38" ht="17.25" thickBot="1" x14ac:dyDescent="0.35">
      <c r="A187" s="13">
        <v>186</v>
      </c>
      <c r="B187" s="14" t="s">
        <v>33</v>
      </c>
      <c r="C187" s="14"/>
      <c r="D187" s="49">
        <v>43066</v>
      </c>
      <c r="E187" s="73">
        <v>28.67</v>
      </c>
      <c r="F187" s="71">
        <v>1.59</v>
      </c>
      <c r="G187" s="71">
        <v>48.93</v>
      </c>
      <c r="H187" s="71">
        <v>1.6456</v>
      </c>
      <c r="I187" s="71">
        <v>0.56999999999999995</v>
      </c>
      <c r="J187" s="71">
        <v>6400000</v>
      </c>
      <c r="K187" s="71">
        <v>148000000</v>
      </c>
      <c r="L187" s="48">
        <v>50</v>
      </c>
      <c r="M187" s="48">
        <v>4</v>
      </c>
      <c r="N187" s="48">
        <v>3</v>
      </c>
      <c r="O187" s="48">
        <v>25</v>
      </c>
      <c r="P187" s="48">
        <v>0.2</v>
      </c>
      <c r="Q187" s="48">
        <v>1000</v>
      </c>
      <c r="R187" s="48">
        <v>5000</v>
      </c>
      <c r="S187" s="4">
        <f t="shared" si="84"/>
        <v>0.57340000000000002</v>
      </c>
      <c r="T187" s="4">
        <f t="shared" si="93"/>
        <v>0.45083333333333336</v>
      </c>
      <c r="U187" s="4">
        <f t="shared" si="95"/>
        <v>16.309999999999999</v>
      </c>
      <c r="V187" s="4">
        <f t="shared" si="95"/>
        <v>6.5823999999999994E-2</v>
      </c>
      <c r="W187" s="5">
        <f t="shared" si="95"/>
        <v>2.8499999999999996</v>
      </c>
      <c r="X187" s="4">
        <f t="shared" si="95"/>
        <v>6400</v>
      </c>
      <c r="Y187" s="4">
        <f t="shared" si="95"/>
        <v>29600</v>
      </c>
      <c r="Z187" s="6">
        <f t="shared" si="97"/>
        <v>0.57340000000000002</v>
      </c>
      <c r="AA187" s="6">
        <f t="shared" si="97"/>
        <v>0.45083333333333336</v>
      </c>
      <c r="AB187" s="6">
        <f t="shared" si="97"/>
        <v>16.309999999999999</v>
      </c>
      <c r="AC187" s="6">
        <f t="shared" si="97"/>
        <v>6.5823999999999994E-2</v>
      </c>
      <c r="AD187" s="6">
        <f>1+(5*(LOG10(I187/P187)))</f>
        <v>3.2742243000425506</v>
      </c>
      <c r="AE187" s="6">
        <f t="shared" si="86"/>
        <v>20.030899869919434</v>
      </c>
      <c r="AF187" s="6">
        <f t="shared" si="86"/>
        <v>23.356458555294694</v>
      </c>
      <c r="AG187" s="52">
        <f t="shared" si="88"/>
        <v>9.1516628655128596</v>
      </c>
      <c r="AH187" s="53">
        <f t="shared" si="89"/>
        <v>23.356458555294694</v>
      </c>
      <c r="AI187" s="54">
        <f t="shared" si="90"/>
        <v>83.75293320400705</v>
      </c>
      <c r="AJ187" s="54">
        <f t="shared" si="90"/>
        <v>545.5241562451987</v>
      </c>
      <c r="AK187" s="55">
        <f t="shared" si="91"/>
        <v>17.738053577678777</v>
      </c>
      <c r="AL187" s="57" t="str">
        <f t="shared" si="94"/>
        <v>berat</v>
      </c>
    </row>
    <row r="188" spans="1:38" ht="17.25" thickBot="1" x14ac:dyDescent="0.35">
      <c r="A188" s="13">
        <v>187</v>
      </c>
      <c r="B188" s="14" t="s">
        <v>41</v>
      </c>
      <c r="C188" s="14"/>
      <c r="D188" s="49">
        <v>43066</v>
      </c>
      <c r="E188" s="73">
        <v>122.67</v>
      </c>
      <c r="F188" s="71">
        <v>3.99</v>
      </c>
      <c r="G188" s="71">
        <v>15.09</v>
      </c>
      <c r="H188" s="71">
        <v>75.23</v>
      </c>
      <c r="I188" s="71">
        <v>0.1</v>
      </c>
      <c r="J188" s="71">
        <v>730000</v>
      </c>
      <c r="K188" s="71">
        <v>2350000</v>
      </c>
      <c r="L188" s="48">
        <v>50</v>
      </c>
      <c r="M188" s="48">
        <v>4</v>
      </c>
      <c r="N188" s="48">
        <v>3</v>
      </c>
      <c r="O188" s="48">
        <v>25</v>
      </c>
      <c r="P188" s="48">
        <v>0.2</v>
      </c>
      <c r="Q188" s="48">
        <v>1000</v>
      </c>
      <c r="R188" s="48">
        <v>5000</v>
      </c>
      <c r="S188" s="4">
        <f t="shared" si="84"/>
        <v>2.4534000000000002</v>
      </c>
      <c r="T188" s="4">
        <f t="shared" si="93"/>
        <v>0.2508333333333333</v>
      </c>
      <c r="U188" s="4">
        <f t="shared" si="95"/>
        <v>5.03</v>
      </c>
      <c r="V188" s="4">
        <f t="shared" si="95"/>
        <v>3.0092000000000003</v>
      </c>
      <c r="W188" s="5">
        <f t="shared" si="95"/>
        <v>0.5</v>
      </c>
      <c r="X188" s="4">
        <f t="shared" si="95"/>
        <v>730</v>
      </c>
      <c r="Y188" s="4">
        <f t="shared" si="95"/>
        <v>470</v>
      </c>
      <c r="Z188" s="6">
        <f>1+(5*(LOG10(E188/L188)))</f>
        <v>2.9488418046898985</v>
      </c>
      <c r="AA188" s="6">
        <f t="shared" si="97"/>
        <v>0.2508333333333333</v>
      </c>
      <c r="AB188" s="6">
        <f t="shared" si="97"/>
        <v>5.03</v>
      </c>
      <c r="AC188" s="6">
        <f t="shared" ref="AC188:AC196" si="99">1+(5*(LOG10(H188/O188)))</f>
        <v>3.3922552657357503</v>
      </c>
      <c r="AD188" s="6">
        <f t="shared" si="97"/>
        <v>0.5</v>
      </c>
      <c r="AE188" s="6">
        <f t="shared" si="86"/>
        <v>15.316614300602279</v>
      </c>
      <c r="AF188" s="6">
        <f t="shared" si="86"/>
        <v>14.360489289678588</v>
      </c>
      <c r="AG188" s="52">
        <f t="shared" si="88"/>
        <v>5.9712905705771222</v>
      </c>
      <c r="AH188" s="53">
        <f t="shared" si="89"/>
        <v>15.316614300602279</v>
      </c>
      <c r="AI188" s="54">
        <f t="shared" si="90"/>
        <v>35.656311078263251</v>
      </c>
      <c r="AJ188" s="54">
        <f t="shared" si="90"/>
        <v>234.59867363341422</v>
      </c>
      <c r="AK188" s="55">
        <f t="shared" si="91"/>
        <v>11.6244351413666</v>
      </c>
      <c r="AL188" s="57" t="str">
        <f t="shared" si="94"/>
        <v>berat</v>
      </c>
    </row>
    <row r="189" spans="1:38" ht="17.25" thickBot="1" x14ac:dyDescent="0.35">
      <c r="A189" s="13">
        <v>188</v>
      </c>
      <c r="B189" s="14" t="s">
        <v>43</v>
      </c>
      <c r="C189" s="14"/>
      <c r="D189" s="49">
        <v>43066</v>
      </c>
      <c r="E189" s="73">
        <v>97.67</v>
      </c>
      <c r="F189" s="71">
        <v>2.2000000000000002</v>
      </c>
      <c r="G189" s="71">
        <v>11.79</v>
      </c>
      <c r="H189" s="71">
        <v>61.97</v>
      </c>
      <c r="I189" s="71">
        <v>0.13</v>
      </c>
      <c r="J189" s="71">
        <v>35000</v>
      </c>
      <c r="K189" s="71">
        <v>2700000</v>
      </c>
      <c r="L189" s="48">
        <v>50</v>
      </c>
      <c r="M189" s="48">
        <v>4</v>
      </c>
      <c r="N189" s="48">
        <v>3</v>
      </c>
      <c r="O189" s="48">
        <v>25</v>
      </c>
      <c r="P189" s="48">
        <v>0.2</v>
      </c>
      <c r="Q189" s="48">
        <v>1000</v>
      </c>
      <c r="R189" s="48">
        <v>5000</v>
      </c>
      <c r="S189" s="4">
        <f t="shared" si="84"/>
        <v>1.9534</v>
      </c>
      <c r="T189" s="4">
        <f t="shared" si="93"/>
        <v>0.39999999999999997</v>
      </c>
      <c r="U189" s="4">
        <f t="shared" si="95"/>
        <v>3.9299999999999997</v>
      </c>
      <c r="V189" s="4">
        <f t="shared" si="95"/>
        <v>2.4788000000000001</v>
      </c>
      <c r="W189" s="5">
        <f t="shared" si="95"/>
        <v>0.65</v>
      </c>
      <c r="X189" s="4">
        <f t="shared" si="95"/>
        <v>35</v>
      </c>
      <c r="Y189" s="4">
        <f t="shared" si="95"/>
        <v>540</v>
      </c>
      <c r="Z189" s="6">
        <f>1+(5*(LOG10(E189/L189)))</f>
        <v>2.453955916913797</v>
      </c>
      <c r="AA189" s="6">
        <f t="shared" si="97"/>
        <v>0.39999999999999997</v>
      </c>
      <c r="AB189" s="6">
        <f t="shared" si="97"/>
        <v>3.9299999999999997</v>
      </c>
      <c r="AC189" s="6">
        <f t="shared" si="99"/>
        <v>2.9712074373882063</v>
      </c>
      <c r="AD189" s="6">
        <f t="shared" si="97"/>
        <v>0.65</v>
      </c>
      <c r="AE189" s="6">
        <f t="shared" si="86"/>
        <v>8.7203402217513784</v>
      </c>
      <c r="AF189" s="6">
        <f t="shared" si="86"/>
        <v>14.661968799114844</v>
      </c>
      <c r="AG189" s="52">
        <f t="shared" si="88"/>
        <v>4.8267817678811751</v>
      </c>
      <c r="AH189" s="53">
        <f t="shared" si="89"/>
        <v>14.661968799114844</v>
      </c>
      <c r="AI189" s="54">
        <f t="shared" si="90"/>
        <v>23.297822234750122</v>
      </c>
      <c r="AJ189" s="54">
        <f t="shared" si="90"/>
        <v>214.97332906621716</v>
      </c>
      <c r="AK189" s="55">
        <f t="shared" si="91"/>
        <v>10.914924445477562</v>
      </c>
      <c r="AL189" s="57" t="str">
        <f t="shared" si="94"/>
        <v>berat</v>
      </c>
    </row>
    <row r="190" spans="1:38" ht="17.25" thickBot="1" x14ac:dyDescent="0.35">
      <c r="A190" s="13">
        <v>189</v>
      </c>
      <c r="B190" s="14" t="s">
        <v>45</v>
      </c>
      <c r="C190" s="14"/>
      <c r="D190" s="49">
        <v>43067</v>
      </c>
      <c r="E190" s="73">
        <v>117.67</v>
      </c>
      <c r="F190" s="71">
        <v>3.56</v>
      </c>
      <c r="G190" s="85">
        <v>15</v>
      </c>
      <c r="H190" s="71">
        <v>68.38</v>
      </c>
      <c r="I190" s="71">
        <v>0.14000000000000001</v>
      </c>
      <c r="J190" s="71">
        <v>650000</v>
      </c>
      <c r="K190" s="71">
        <v>6600000</v>
      </c>
      <c r="L190" s="48">
        <v>50</v>
      </c>
      <c r="M190" s="48">
        <v>4</v>
      </c>
      <c r="N190" s="48">
        <v>3</v>
      </c>
      <c r="O190" s="48">
        <v>25</v>
      </c>
      <c r="P190" s="48">
        <v>0.2</v>
      </c>
      <c r="Q190" s="48">
        <v>1000</v>
      </c>
      <c r="R190" s="48">
        <v>5000</v>
      </c>
      <c r="S190" s="4">
        <f t="shared" si="84"/>
        <v>2.3534000000000002</v>
      </c>
      <c r="T190" s="4">
        <f t="shared" si="93"/>
        <v>0.28666666666666668</v>
      </c>
      <c r="U190" s="4">
        <f t="shared" si="95"/>
        <v>5</v>
      </c>
      <c r="V190" s="4">
        <f t="shared" si="95"/>
        <v>2.7351999999999999</v>
      </c>
      <c r="W190" s="5">
        <f t="shared" si="95"/>
        <v>0.70000000000000007</v>
      </c>
      <c r="X190" s="4">
        <f t="shared" si="95"/>
        <v>650</v>
      </c>
      <c r="Y190" s="4">
        <f t="shared" si="95"/>
        <v>1320</v>
      </c>
      <c r="Z190" s="6">
        <f>1+(5*(LOG10(E190/L190)))</f>
        <v>2.8584787455885454</v>
      </c>
      <c r="AA190" s="6">
        <f t="shared" si="97"/>
        <v>0.28666666666666668</v>
      </c>
      <c r="AB190" s="6">
        <f t="shared" si="97"/>
        <v>5</v>
      </c>
      <c r="AC190" s="6">
        <f t="shared" si="99"/>
        <v>3.184945438942691</v>
      </c>
      <c r="AD190" s="6">
        <f t="shared" si="97"/>
        <v>0.70000000000000007</v>
      </c>
      <c r="AE190" s="6">
        <f t="shared" si="86"/>
        <v>15.064566783214278</v>
      </c>
      <c r="AF190" s="6">
        <f t="shared" si="86"/>
        <v>16.602869656029249</v>
      </c>
      <c r="AG190" s="52">
        <f t="shared" si="88"/>
        <v>6.2425038986344896</v>
      </c>
      <c r="AH190" s="53">
        <f t="shared" si="89"/>
        <v>16.602869656029249</v>
      </c>
      <c r="AI190" s="54">
        <f t="shared" si="90"/>
        <v>38.968854924466804</v>
      </c>
      <c r="AJ190" s="54">
        <f t="shared" si="90"/>
        <v>275.65528081509677</v>
      </c>
      <c r="AK190" s="55">
        <f t="shared" si="91"/>
        <v>12.542410767862046</v>
      </c>
      <c r="AL190" s="57" t="str">
        <f t="shared" si="94"/>
        <v>berat</v>
      </c>
    </row>
    <row r="191" spans="1:38" ht="17.25" thickBot="1" x14ac:dyDescent="0.35">
      <c r="A191" s="13">
        <v>190</v>
      </c>
      <c r="B191" s="14" t="s">
        <v>23</v>
      </c>
      <c r="C191" s="14"/>
      <c r="D191" s="49">
        <v>43067</v>
      </c>
      <c r="E191" s="85">
        <v>21.33</v>
      </c>
      <c r="F191" s="71">
        <v>2.3199999999999998</v>
      </c>
      <c r="G191" s="71">
        <v>5.52</v>
      </c>
      <c r="H191" s="71">
        <v>26.32</v>
      </c>
      <c r="I191" s="71">
        <v>0.09</v>
      </c>
      <c r="J191" s="71">
        <v>2000000</v>
      </c>
      <c r="K191" s="71">
        <v>27000000</v>
      </c>
      <c r="L191" s="48">
        <v>50</v>
      </c>
      <c r="M191" s="48">
        <v>4</v>
      </c>
      <c r="N191" s="48">
        <v>3</v>
      </c>
      <c r="O191" s="48">
        <v>25</v>
      </c>
      <c r="P191" s="48">
        <v>0.2</v>
      </c>
      <c r="Q191" s="48">
        <v>1000</v>
      </c>
      <c r="R191" s="48">
        <v>5000</v>
      </c>
      <c r="S191" s="4">
        <f t="shared" si="84"/>
        <v>0.42659999999999998</v>
      </c>
      <c r="T191" s="4">
        <f t="shared" si="93"/>
        <v>0.38999999999999996</v>
      </c>
      <c r="U191" s="4">
        <f t="shared" si="95"/>
        <v>1.8399999999999999</v>
      </c>
      <c r="V191" s="4">
        <f t="shared" si="95"/>
        <v>1.0528</v>
      </c>
      <c r="W191" s="5">
        <f t="shared" si="95"/>
        <v>0.44999999999999996</v>
      </c>
      <c r="X191" s="4">
        <f t="shared" si="95"/>
        <v>2000</v>
      </c>
      <c r="Y191" s="4">
        <f t="shared" si="95"/>
        <v>5400</v>
      </c>
      <c r="Z191" s="6">
        <f t="shared" si="97"/>
        <v>0.42659999999999998</v>
      </c>
      <c r="AA191" s="6">
        <f t="shared" si="97"/>
        <v>0.38999999999999996</v>
      </c>
      <c r="AB191" s="6">
        <f t="shared" si="97"/>
        <v>1.8399999999999999</v>
      </c>
      <c r="AC191" s="6">
        <f t="shared" si="99"/>
        <v>1.1117293813494014</v>
      </c>
      <c r="AD191" s="6">
        <f t="shared" si="97"/>
        <v>0.44999999999999996</v>
      </c>
      <c r="AE191" s="6">
        <f t="shared" si="86"/>
        <v>17.505149978319906</v>
      </c>
      <c r="AF191" s="6">
        <f t="shared" si="86"/>
        <v>19.661968799114842</v>
      </c>
      <c r="AG191" s="52">
        <f t="shared" si="88"/>
        <v>5.9122068798263072</v>
      </c>
      <c r="AH191" s="53">
        <f t="shared" si="89"/>
        <v>19.661968799114842</v>
      </c>
      <c r="AI191" s="54">
        <f t="shared" si="90"/>
        <v>34.954190189865521</v>
      </c>
      <c r="AJ191" s="54">
        <f t="shared" si="90"/>
        <v>386.59301705736556</v>
      </c>
      <c r="AK191" s="55">
        <f t="shared" si="91"/>
        <v>14.518044070177481</v>
      </c>
      <c r="AL191" s="57" t="str">
        <f t="shared" si="94"/>
        <v>berat</v>
      </c>
    </row>
    <row r="192" spans="1:38" ht="17.25" thickBot="1" x14ac:dyDescent="0.35">
      <c r="A192" s="13">
        <v>191</v>
      </c>
      <c r="B192" s="14" t="s">
        <v>25</v>
      </c>
      <c r="C192" s="14"/>
      <c r="D192" s="49">
        <v>43067</v>
      </c>
      <c r="E192" s="73">
        <v>22.67</v>
      </c>
      <c r="F192" s="71">
        <v>2.14</v>
      </c>
      <c r="G192" s="71">
        <v>9.66</v>
      </c>
      <c r="H192" s="71">
        <v>34.15</v>
      </c>
      <c r="I192" s="71">
        <v>0.13</v>
      </c>
      <c r="J192" s="71">
        <v>1200000</v>
      </c>
      <c r="K192" s="71">
        <v>145000000</v>
      </c>
      <c r="L192" s="48">
        <v>50</v>
      </c>
      <c r="M192" s="48">
        <v>4</v>
      </c>
      <c r="N192" s="48">
        <v>3</v>
      </c>
      <c r="O192" s="48">
        <v>25</v>
      </c>
      <c r="P192" s="48">
        <v>0.2</v>
      </c>
      <c r="Q192" s="48">
        <v>1000</v>
      </c>
      <c r="R192" s="48">
        <v>5000</v>
      </c>
      <c r="S192" s="4">
        <f t="shared" si="84"/>
        <v>0.45340000000000003</v>
      </c>
      <c r="T192" s="4">
        <f t="shared" si="93"/>
        <v>0.40499999999999997</v>
      </c>
      <c r="U192" s="4">
        <f t="shared" ref="U192:Y207" si="100">G192/N192</f>
        <v>3.22</v>
      </c>
      <c r="V192" s="4">
        <f t="shared" si="100"/>
        <v>1.3659999999999999</v>
      </c>
      <c r="W192" s="5">
        <f t="shared" si="100"/>
        <v>0.65</v>
      </c>
      <c r="X192" s="4">
        <f t="shared" si="100"/>
        <v>1200</v>
      </c>
      <c r="Y192" s="4">
        <f t="shared" si="100"/>
        <v>29000</v>
      </c>
      <c r="Z192" s="6">
        <f t="shared" si="97"/>
        <v>0.45340000000000003</v>
      </c>
      <c r="AA192" s="6">
        <f t="shared" si="97"/>
        <v>0.40499999999999997</v>
      </c>
      <c r="AB192" s="6">
        <f t="shared" si="97"/>
        <v>3.22</v>
      </c>
      <c r="AC192" s="6">
        <f t="shared" si="99"/>
        <v>1.6772534967275685</v>
      </c>
      <c r="AD192" s="6">
        <f t="shared" si="97"/>
        <v>0.65</v>
      </c>
      <c r="AE192" s="6">
        <f t="shared" si="86"/>
        <v>16.395906230238126</v>
      </c>
      <c r="AF192" s="6">
        <f t="shared" si="86"/>
        <v>23.311989989494784</v>
      </c>
      <c r="AG192" s="52">
        <f t="shared" si="88"/>
        <v>6.5876499594943549</v>
      </c>
      <c r="AH192" s="53">
        <f t="shared" si="89"/>
        <v>23.311989989494784</v>
      </c>
      <c r="AI192" s="54">
        <f t="shared" si="90"/>
        <v>43.397131988825976</v>
      </c>
      <c r="AJ192" s="54">
        <f t="shared" si="90"/>
        <v>543.44887727030505</v>
      </c>
      <c r="AK192" s="55">
        <f t="shared" si="91"/>
        <v>17.129594409371329</v>
      </c>
      <c r="AL192" s="57" t="str">
        <f t="shared" si="94"/>
        <v>berat</v>
      </c>
    </row>
    <row r="193" spans="1:38" ht="17.25" thickBot="1" x14ac:dyDescent="0.35">
      <c r="A193" s="13">
        <v>192</v>
      </c>
      <c r="B193" s="14" t="s">
        <v>27</v>
      </c>
      <c r="C193" s="14"/>
      <c r="D193" s="49">
        <v>43067</v>
      </c>
      <c r="E193" s="73">
        <v>55.53</v>
      </c>
      <c r="F193" s="71">
        <v>2.21</v>
      </c>
      <c r="G193" s="71">
        <v>13.87</v>
      </c>
      <c r="H193" s="71">
        <v>56.51</v>
      </c>
      <c r="I193" s="71">
        <v>0.15</v>
      </c>
      <c r="J193" s="71">
        <v>3000000</v>
      </c>
      <c r="K193" s="71">
        <v>7200000</v>
      </c>
      <c r="L193" s="48">
        <v>50</v>
      </c>
      <c r="M193" s="48">
        <v>4</v>
      </c>
      <c r="N193" s="48">
        <v>3</v>
      </c>
      <c r="O193" s="48">
        <v>25</v>
      </c>
      <c r="P193" s="48">
        <v>0.2</v>
      </c>
      <c r="Q193" s="48">
        <v>1000</v>
      </c>
      <c r="R193" s="48">
        <v>5000</v>
      </c>
      <c r="S193" s="4">
        <f t="shared" si="84"/>
        <v>1.1106</v>
      </c>
      <c r="T193" s="4">
        <f t="shared" si="93"/>
        <v>0.39916666666666667</v>
      </c>
      <c r="U193" s="4">
        <f t="shared" si="100"/>
        <v>4.6233333333333331</v>
      </c>
      <c r="V193" s="4">
        <f t="shared" si="100"/>
        <v>2.2603999999999997</v>
      </c>
      <c r="W193" s="5">
        <f t="shared" si="100"/>
        <v>0.74999999999999989</v>
      </c>
      <c r="X193" s="4">
        <f t="shared" si="100"/>
        <v>3000</v>
      </c>
      <c r="Y193" s="4">
        <f t="shared" si="100"/>
        <v>1440</v>
      </c>
      <c r="Z193" s="6">
        <f>1+(5*(LOG10(E193/L193)))</f>
        <v>1.2277883456827388</v>
      </c>
      <c r="AA193" s="6">
        <f t="shared" si="97"/>
        <v>0.39916666666666667</v>
      </c>
      <c r="AB193" s="6">
        <f t="shared" si="97"/>
        <v>4.6233333333333331</v>
      </c>
      <c r="AC193" s="6">
        <f t="shared" si="99"/>
        <v>2.7709264931293029</v>
      </c>
      <c r="AD193" s="6">
        <f t="shared" si="97"/>
        <v>0.74999999999999989</v>
      </c>
      <c r="AE193" s="6">
        <f t="shared" si="86"/>
        <v>18.385606273598313</v>
      </c>
      <c r="AF193" s="6">
        <f t="shared" si="86"/>
        <v>16.791812460476251</v>
      </c>
      <c r="AG193" s="52">
        <f t="shared" si="88"/>
        <v>6.4212333675552298</v>
      </c>
      <c r="AH193" s="53">
        <f t="shared" si="89"/>
        <v>18.385606273598313</v>
      </c>
      <c r="AI193" s="54">
        <f t="shared" si="90"/>
        <v>41.232237960604678</v>
      </c>
      <c r="AJ193" s="54">
        <f t="shared" si="90"/>
        <v>338.03051804777766</v>
      </c>
      <c r="AK193" s="55">
        <f t="shared" si="91"/>
        <v>13.770670935150225</v>
      </c>
      <c r="AL193" s="57" t="str">
        <f t="shared" si="94"/>
        <v>berat</v>
      </c>
    </row>
    <row r="194" spans="1:38" ht="17.25" thickBot="1" x14ac:dyDescent="0.35">
      <c r="A194" s="13">
        <v>193</v>
      </c>
      <c r="B194" s="14" t="s">
        <v>35</v>
      </c>
      <c r="C194" s="14"/>
      <c r="D194" s="49">
        <v>43066</v>
      </c>
      <c r="E194" s="73">
        <v>20.67</v>
      </c>
      <c r="F194" s="71">
        <v>3.65</v>
      </c>
      <c r="G194" s="71">
        <v>19.32</v>
      </c>
      <c r="H194" s="71">
        <v>69.069999999999993</v>
      </c>
      <c r="I194" s="71">
        <v>0.27</v>
      </c>
      <c r="J194" s="71">
        <v>2000000</v>
      </c>
      <c r="K194" s="71">
        <v>3700000</v>
      </c>
      <c r="L194" s="48">
        <v>50</v>
      </c>
      <c r="M194" s="48">
        <v>4</v>
      </c>
      <c r="N194" s="48">
        <v>3</v>
      </c>
      <c r="O194" s="48">
        <v>25</v>
      </c>
      <c r="P194" s="48">
        <v>0.2</v>
      </c>
      <c r="Q194" s="48">
        <v>1000</v>
      </c>
      <c r="R194" s="48">
        <v>5000</v>
      </c>
      <c r="S194" s="4">
        <f t="shared" si="84"/>
        <v>0.41340000000000005</v>
      </c>
      <c r="T194" s="4">
        <f t="shared" si="93"/>
        <v>0.27916666666666667</v>
      </c>
      <c r="U194" s="4">
        <f t="shared" si="100"/>
        <v>6.44</v>
      </c>
      <c r="V194" s="4">
        <f t="shared" si="100"/>
        <v>2.7627999999999999</v>
      </c>
      <c r="W194" s="5">
        <f t="shared" si="100"/>
        <v>1.35</v>
      </c>
      <c r="X194" s="4">
        <f t="shared" si="100"/>
        <v>2000</v>
      </c>
      <c r="Y194" s="4">
        <f t="shared" si="100"/>
        <v>740</v>
      </c>
      <c r="Z194" s="6">
        <f t="shared" si="97"/>
        <v>0.41340000000000005</v>
      </c>
      <c r="AA194" s="6">
        <f t="shared" si="97"/>
        <v>0.27916666666666667</v>
      </c>
      <c r="AB194" s="6">
        <f t="shared" si="97"/>
        <v>6.44</v>
      </c>
      <c r="AC194" s="6">
        <f t="shared" si="99"/>
        <v>3.2067472366705463</v>
      </c>
      <c r="AD194" s="6">
        <f>1+(5*(LOG10(I194/P194)))</f>
        <v>1.6516688424750305</v>
      </c>
      <c r="AE194" s="6">
        <f t="shared" si="86"/>
        <v>17.505149978319906</v>
      </c>
      <c r="AF194" s="6">
        <f t="shared" si="86"/>
        <v>15.346158598654881</v>
      </c>
      <c r="AG194" s="52">
        <f t="shared" si="88"/>
        <v>6.4060416175410051</v>
      </c>
      <c r="AH194" s="53">
        <f t="shared" si="89"/>
        <v>17.505149978319906</v>
      </c>
      <c r="AI194" s="54">
        <f t="shared" si="90"/>
        <v>41.037369205667375</v>
      </c>
      <c r="AJ194" s="54">
        <f t="shared" si="90"/>
        <v>306.43027576347339</v>
      </c>
      <c r="AK194" s="55">
        <f t="shared" si="91"/>
        <v>13.180812664042016</v>
      </c>
      <c r="AL194" s="57" t="str">
        <f t="shared" si="94"/>
        <v>berat</v>
      </c>
    </row>
    <row r="195" spans="1:38" ht="17.25" thickBot="1" x14ac:dyDescent="0.35">
      <c r="A195" s="13">
        <v>194</v>
      </c>
      <c r="B195" s="14" t="s">
        <v>37</v>
      </c>
      <c r="C195" s="14"/>
      <c r="D195" s="49">
        <v>43066</v>
      </c>
      <c r="E195" s="73">
        <v>41.67</v>
      </c>
      <c r="F195" s="71">
        <v>1.58</v>
      </c>
      <c r="G195" s="71">
        <v>86.41</v>
      </c>
      <c r="H195" s="71">
        <v>233.42</v>
      </c>
      <c r="I195" s="71">
        <v>0.26</v>
      </c>
      <c r="J195" s="71">
        <v>7300000</v>
      </c>
      <c r="K195" s="71">
        <v>170000000</v>
      </c>
      <c r="L195" s="48">
        <v>50</v>
      </c>
      <c r="M195" s="48">
        <v>4</v>
      </c>
      <c r="N195" s="48">
        <v>3</v>
      </c>
      <c r="O195" s="48">
        <v>25</v>
      </c>
      <c r="P195" s="48">
        <v>0.2</v>
      </c>
      <c r="Q195" s="48">
        <v>1000</v>
      </c>
      <c r="R195" s="48">
        <v>5000</v>
      </c>
      <c r="S195" s="4">
        <f t="shared" si="84"/>
        <v>0.83340000000000003</v>
      </c>
      <c r="T195" s="4">
        <f t="shared" si="93"/>
        <v>0.45166666666666666</v>
      </c>
      <c r="U195" s="4">
        <f t="shared" si="100"/>
        <v>28.803333333333331</v>
      </c>
      <c r="V195" s="4">
        <f t="shared" si="100"/>
        <v>9.3368000000000002</v>
      </c>
      <c r="W195" s="5">
        <f t="shared" si="100"/>
        <v>1.3</v>
      </c>
      <c r="X195" s="4">
        <f t="shared" si="100"/>
        <v>7300</v>
      </c>
      <c r="Y195" s="4">
        <f t="shared" si="100"/>
        <v>34000</v>
      </c>
      <c r="Z195" s="6">
        <f t="shared" si="97"/>
        <v>0.83340000000000003</v>
      </c>
      <c r="AA195" s="6">
        <f t="shared" si="97"/>
        <v>0.45166666666666666</v>
      </c>
      <c r="AB195" s="6">
        <f t="shared" si="97"/>
        <v>28.803333333333331</v>
      </c>
      <c r="AC195" s="6">
        <f t="shared" si="99"/>
        <v>5.8509902802575464</v>
      </c>
      <c r="AD195" s="6">
        <f>1+(5*(LOG10(I195/P195)))</f>
        <v>1.5697167615341838</v>
      </c>
      <c r="AE195" s="6">
        <f t="shared" si="86"/>
        <v>20.316614300602279</v>
      </c>
      <c r="AF195" s="6">
        <f t="shared" si="86"/>
        <v>23.657394585211279</v>
      </c>
      <c r="AG195" s="52">
        <f t="shared" si="88"/>
        <v>11.64044513251504</v>
      </c>
      <c r="AH195" s="53">
        <f t="shared" si="89"/>
        <v>28.803333333333331</v>
      </c>
      <c r="AI195" s="54">
        <f t="shared" si="90"/>
        <v>135.4999628830931</v>
      </c>
      <c r="AJ195" s="54">
        <f t="shared" si="90"/>
        <v>829.63201111111096</v>
      </c>
      <c r="AK195" s="55">
        <f t="shared" si="91"/>
        <v>21.96738461895503</v>
      </c>
      <c r="AL195" s="57" t="str">
        <f t="shared" si="94"/>
        <v>berat</v>
      </c>
    </row>
    <row r="196" spans="1:38" ht="17.25" thickBot="1" x14ac:dyDescent="0.35">
      <c r="A196" s="13">
        <v>195</v>
      </c>
      <c r="B196" s="14" t="s">
        <v>51</v>
      </c>
      <c r="C196" s="14"/>
      <c r="D196" s="86">
        <v>43066</v>
      </c>
      <c r="E196" s="73">
        <v>171.33</v>
      </c>
      <c r="F196" s="71">
        <v>0.57999999999999996</v>
      </c>
      <c r="G196" s="71">
        <v>71.97</v>
      </c>
      <c r="H196" s="71">
        <v>280.01</v>
      </c>
      <c r="I196" s="71">
        <v>0.82</v>
      </c>
      <c r="J196" s="71">
        <v>6400000</v>
      </c>
      <c r="K196" s="71">
        <v>73000000</v>
      </c>
      <c r="L196" s="48">
        <v>50</v>
      </c>
      <c r="M196" s="48">
        <v>4</v>
      </c>
      <c r="N196" s="48">
        <v>3</v>
      </c>
      <c r="O196" s="48">
        <v>25</v>
      </c>
      <c r="P196" s="48">
        <v>0.2</v>
      </c>
      <c r="Q196" s="48">
        <v>1000</v>
      </c>
      <c r="R196" s="48">
        <v>5000</v>
      </c>
      <c r="S196" s="4">
        <f t="shared" si="84"/>
        <v>3.4266000000000001</v>
      </c>
      <c r="T196" s="4">
        <f t="shared" si="93"/>
        <v>0.53500000000000003</v>
      </c>
      <c r="U196" s="4">
        <f t="shared" si="100"/>
        <v>23.99</v>
      </c>
      <c r="V196" s="4">
        <f t="shared" si="100"/>
        <v>11.2004</v>
      </c>
      <c r="W196" s="5">
        <f t="shared" si="100"/>
        <v>4.0999999999999996</v>
      </c>
      <c r="X196" s="4">
        <f t="shared" si="100"/>
        <v>6400</v>
      </c>
      <c r="Y196" s="4">
        <f t="shared" si="100"/>
        <v>14600</v>
      </c>
      <c r="Z196" s="6">
        <f>1+(5*(LOG10(E196/L196)))</f>
        <v>3.6743170527420763</v>
      </c>
      <c r="AA196" s="6">
        <f t="shared" si="97"/>
        <v>0.53500000000000003</v>
      </c>
      <c r="AB196" s="6">
        <f t="shared" si="97"/>
        <v>23.99</v>
      </c>
      <c r="AC196" s="6">
        <f t="shared" si="99"/>
        <v>6.2461676645521269</v>
      </c>
      <c r="AD196" s="6">
        <f>1+(5*(LOG10(I196/P196)))</f>
        <v>4.0639192835986773</v>
      </c>
      <c r="AE196" s="6">
        <f t="shared" si="86"/>
        <v>20.030899869919434</v>
      </c>
      <c r="AF196" s="6">
        <f t="shared" si="86"/>
        <v>21.821764278922185</v>
      </c>
      <c r="AG196" s="52">
        <f t="shared" si="88"/>
        <v>11.480295449962071</v>
      </c>
      <c r="AH196" s="53">
        <f t="shared" si="89"/>
        <v>23.99</v>
      </c>
      <c r="AI196" s="54">
        <f t="shared" si="90"/>
        <v>131.79718361841984</v>
      </c>
      <c r="AJ196" s="54">
        <f t="shared" si="90"/>
        <v>575.52009999999996</v>
      </c>
      <c r="AK196" s="55">
        <f t="shared" si="91"/>
        <v>18.805814042715884</v>
      </c>
      <c r="AL196" s="57" t="str">
        <f t="shared" si="94"/>
        <v>berat</v>
      </c>
    </row>
    <row r="197" spans="1:38" ht="16.5" x14ac:dyDescent="0.3">
      <c r="A197" s="13">
        <v>196</v>
      </c>
      <c r="B197" s="14" t="s">
        <v>17</v>
      </c>
      <c r="C197" s="15" t="s">
        <v>18</v>
      </c>
      <c r="D197" s="16" t="s">
        <v>55</v>
      </c>
      <c r="E197" s="28">
        <v>4.33</v>
      </c>
      <c r="F197" s="28">
        <v>1.89</v>
      </c>
      <c r="G197" s="28">
        <v>0.5</v>
      </c>
      <c r="H197" s="28">
        <v>7.94</v>
      </c>
      <c r="I197" s="28">
        <v>0.14000000000000001</v>
      </c>
      <c r="J197" s="29">
        <f>4.3*1000</f>
        <v>4300</v>
      </c>
      <c r="K197" s="29">
        <f>2.9*10000</f>
        <v>29000</v>
      </c>
      <c r="L197" s="3">
        <v>50</v>
      </c>
      <c r="M197" s="3">
        <v>4</v>
      </c>
      <c r="N197" s="3">
        <v>3</v>
      </c>
      <c r="O197" s="3">
        <v>25</v>
      </c>
      <c r="P197" s="3">
        <v>0.2</v>
      </c>
      <c r="Q197" s="3">
        <v>1000</v>
      </c>
      <c r="R197" s="3">
        <v>5000</v>
      </c>
      <c r="S197" s="4">
        <f t="shared" si="84"/>
        <v>8.6599999999999996E-2</v>
      </c>
      <c r="T197" s="4">
        <f>((7-F197)/(7-M197))/M197</f>
        <v>0.42583333333333334</v>
      </c>
      <c r="U197" s="4">
        <f t="shared" si="100"/>
        <v>0.16666666666666666</v>
      </c>
      <c r="V197" s="4">
        <f t="shared" si="100"/>
        <v>0.31759999999999999</v>
      </c>
      <c r="W197" s="5">
        <f t="shared" si="100"/>
        <v>0.70000000000000007</v>
      </c>
      <c r="X197" s="4">
        <f t="shared" si="100"/>
        <v>4.3</v>
      </c>
      <c r="Y197" s="4">
        <f t="shared" si="100"/>
        <v>5.8</v>
      </c>
      <c r="Z197" s="6">
        <f t="shared" ref="Z197:AC226" si="101">1+(5*(LOG10(E197/L197)))</f>
        <v>-4.3124105399132668</v>
      </c>
      <c r="AA197" s="6">
        <f t="shared" si="101"/>
        <v>-0.62799093577359133</v>
      </c>
      <c r="AB197" s="6">
        <f t="shared" si="101"/>
        <v>-2.8907562519182184</v>
      </c>
      <c r="AC197" s="6">
        <f>1+(5*(LOG10(H197/O197)))</f>
        <v>-1.4905975312247066</v>
      </c>
      <c r="AD197" s="6">
        <f t="shared" ref="AA197:AF212" si="102">W197</f>
        <v>0.70000000000000007</v>
      </c>
      <c r="AE197" s="6">
        <f>X197</f>
        <v>4.3</v>
      </c>
      <c r="AF197" s="6">
        <f t="shared" si="102"/>
        <v>5.8</v>
      </c>
      <c r="AG197" s="21">
        <f>AVERAGE(Z197:AF197)</f>
        <v>0.2111778201671736</v>
      </c>
      <c r="AH197" s="22">
        <f>MAX(Z197:AG197)</f>
        <v>5.8</v>
      </c>
      <c r="AI197" s="23">
        <f>POWER(AG197,2)</f>
        <v>4.4596071730559114E-2</v>
      </c>
      <c r="AJ197" s="23">
        <f>POWER(AH197,2)</f>
        <v>33.64</v>
      </c>
      <c r="AK197" s="24">
        <f>SQRT((AI197+AJ197)/2)</f>
        <v>4.1039368947225885</v>
      </c>
      <c r="AL197" s="87" t="str">
        <f>IF(ISNUMBER(AK197),IF(AK197&lt;=1,"memenuhi",IF(AK197&lt;=5,"ringan",IF(AK197&lt;=10,"sedang","berat"))),"")</f>
        <v>ringan</v>
      </c>
    </row>
    <row r="198" spans="1:38" ht="16.5" x14ac:dyDescent="0.3">
      <c r="A198" s="13">
        <v>197</v>
      </c>
      <c r="B198" s="14" t="s">
        <v>19</v>
      </c>
      <c r="C198" s="26" t="s">
        <v>20</v>
      </c>
      <c r="D198" s="16" t="s">
        <v>56</v>
      </c>
      <c r="E198" s="28">
        <v>7.99</v>
      </c>
      <c r="F198" s="28">
        <v>1.21</v>
      </c>
      <c r="G198" s="28">
        <v>13.17</v>
      </c>
      <c r="H198" s="28">
        <v>57.15</v>
      </c>
      <c r="I198" s="28">
        <v>0.15</v>
      </c>
      <c r="J198" s="29">
        <f>5*10000</f>
        <v>50000</v>
      </c>
      <c r="K198" s="29">
        <f>4.1*1000000</f>
        <v>4099999.9999999995</v>
      </c>
      <c r="L198" s="3">
        <v>50</v>
      </c>
      <c r="M198" s="3">
        <v>4</v>
      </c>
      <c r="N198" s="3">
        <v>3</v>
      </c>
      <c r="O198" s="3">
        <v>25</v>
      </c>
      <c r="P198" s="3">
        <v>0.2</v>
      </c>
      <c r="Q198" s="3">
        <v>1000</v>
      </c>
      <c r="R198" s="3">
        <v>5000</v>
      </c>
      <c r="S198" s="4">
        <f t="shared" si="84"/>
        <v>0.1598</v>
      </c>
      <c r="T198" s="4">
        <f t="shared" ref="T198:T226" si="103">((7-F198)/(7-M198))/M198</f>
        <v>0.48249999999999998</v>
      </c>
      <c r="U198" s="4">
        <f t="shared" si="100"/>
        <v>4.3899999999999997</v>
      </c>
      <c r="V198" s="4">
        <f t="shared" si="100"/>
        <v>2.286</v>
      </c>
      <c r="W198" s="5">
        <f t="shared" si="100"/>
        <v>0.74999999999999989</v>
      </c>
      <c r="X198" s="4">
        <f t="shared" si="100"/>
        <v>50</v>
      </c>
      <c r="Y198" s="4">
        <f t="shared" si="100"/>
        <v>819.99999999999989</v>
      </c>
      <c r="Z198" s="6">
        <f t="shared" si="101"/>
        <v>-2.9821161251101374</v>
      </c>
      <c r="AA198" s="6">
        <f t="shared" si="102"/>
        <v>0.48249999999999998</v>
      </c>
      <c r="AB198" s="6">
        <f t="shared" si="101"/>
        <v>4.212322601210607</v>
      </c>
      <c r="AC198" s="6">
        <f t="shared" si="101"/>
        <v>2.7953811302963145</v>
      </c>
      <c r="AD198" s="6">
        <f t="shared" si="102"/>
        <v>0.74999999999999989</v>
      </c>
      <c r="AE198" s="6">
        <f t="shared" si="102"/>
        <v>50</v>
      </c>
      <c r="AF198" s="6">
        <f t="shared" si="102"/>
        <v>819.99999999999989</v>
      </c>
      <c r="AG198" s="21">
        <f t="shared" ref="AG198:AG226" si="104">AVERAGE(Z198:AF198)</f>
        <v>125.03686965805666</v>
      </c>
      <c r="AH198" s="22">
        <f t="shared" ref="AH198:AH226" si="105">MAX(Z198:AG198)</f>
        <v>819.99999999999989</v>
      </c>
      <c r="AI198" s="23">
        <f t="shared" ref="AI198:AJ226" si="106">POWER(AG198,2)</f>
        <v>15634.21877388585</v>
      </c>
      <c r="AJ198" s="23">
        <f t="shared" si="106"/>
        <v>672399.99999999977</v>
      </c>
      <c r="AK198" s="24">
        <f t="shared" ref="AK198:AK226" si="107">SQRT((AI198+AJ198)/2)</f>
        <v>586.52971739456029</v>
      </c>
      <c r="AL198" s="87" t="str">
        <f>IF(ISNUMBER(AK198),IF(AK198&lt;=1,"memenuhi",IF(AK198&lt;=5,"ringan",IF(AK198&lt;=10,"sedang","berat"))),"")</f>
        <v>berat</v>
      </c>
    </row>
    <row r="199" spans="1:38" ht="16.5" x14ac:dyDescent="0.3">
      <c r="A199" s="13">
        <v>198</v>
      </c>
      <c r="B199" s="14" t="s">
        <v>21</v>
      </c>
      <c r="C199" s="15" t="s">
        <v>22</v>
      </c>
      <c r="D199" s="16" t="s">
        <v>57</v>
      </c>
      <c r="E199" s="28">
        <v>31.96</v>
      </c>
      <c r="F199" s="28">
        <v>0.44</v>
      </c>
      <c r="G199" s="28">
        <v>25.5</v>
      </c>
      <c r="H199" s="28">
        <v>97.04</v>
      </c>
      <c r="I199" s="28">
        <v>0.17</v>
      </c>
      <c r="J199" s="29">
        <f>7.8*100000</f>
        <v>780000</v>
      </c>
      <c r="K199" s="29">
        <f>2.2*1000000</f>
        <v>2200000</v>
      </c>
      <c r="L199" s="3">
        <v>50</v>
      </c>
      <c r="M199" s="3">
        <v>4</v>
      </c>
      <c r="N199" s="3">
        <v>3</v>
      </c>
      <c r="O199" s="3">
        <v>25</v>
      </c>
      <c r="P199" s="3">
        <v>0.2</v>
      </c>
      <c r="Q199" s="3">
        <v>1000</v>
      </c>
      <c r="R199" s="3">
        <v>5000</v>
      </c>
      <c r="S199" s="4">
        <f t="shared" si="84"/>
        <v>0.63919999999999999</v>
      </c>
      <c r="T199" s="4">
        <f t="shared" si="103"/>
        <v>0.54666666666666663</v>
      </c>
      <c r="U199" s="4">
        <f t="shared" si="100"/>
        <v>8.5</v>
      </c>
      <c r="V199" s="4">
        <f t="shared" si="100"/>
        <v>3.8816000000000002</v>
      </c>
      <c r="W199" s="5">
        <f t="shared" si="100"/>
        <v>0.85</v>
      </c>
      <c r="X199" s="4">
        <f t="shared" si="100"/>
        <v>780</v>
      </c>
      <c r="Y199" s="4">
        <f t="shared" si="100"/>
        <v>440</v>
      </c>
      <c r="Z199" s="6">
        <f t="shared" si="101"/>
        <v>2.8183831529674852E-2</v>
      </c>
      <c r="AA199" s="6">
        <f t="shared" si="102"/>
        <v>0.54666666666666663</v>
      </c>
      <c r="AB199" s="6">
        <f t="shared" si="101"/>
        <v>5.6470946285714634</v>
      </c>
      <c r="AC199" s="6">
        <f t="shared" si="101"/>
        <v>3.9450538959323946</v>
      </c>
      <c r="AD199" s="6">
        <f t="shared" si="102"/>
        <v>0.85</v>
      </c>
      <c r="AE199" s="6">
        <f t="shared" si="102"/>
        <v>780</v>
      </c>
      <c r="AF199" s="6">
        <f t="shared" si="102"/>
        <v>440</v>
      </c>
      <c r="AG199" s="21">
        <f t="shared" si="104"/>
        <v>175.85957128895717</v>
      </c>
      <c r="AH199" s="22">
        <f t="shared" si="105"/>
        <v>780</v>
      </c>
      <c r="AI199" s="23">
        <f t="shared" si="106"/>
        <v>30926.58881393581</v>
      </c>
      <c r="AJ199" s="23">
        <f t="shared" si="106"/>
        <v>608400</v>
      </c>
      <c r="AK199" s="24">
        <f t="shared" si="107"/>
        <v>565.38773811161479</v>
      </c>
      <c r="AL199" s="87" t="str">
        <f>IF(ISNUMBER(AK199),IF(AK199&lt;=1,"memenuhi",IF(AK199&lt;=5,"ringan",IF(AK199&lt;=10,"sedang","berat"))),"")</f>
        <v>berat</v>
      </c>
    </row>
    <row r="200" spans="1:38" ht="16.5" x14ac:dyDescent="0.3">
      <c r="A200" s="13">
        <v>199</v>
      </c>
      <c r="B200" s="14" t="s">
        <v>23</v>
      </c>
      <c r="C200" s="27" t="s">
        <v>24</v>
      </c>
      <c r="D200" s="16" t="s">
        <v>56</v>
      </c>
      <c r="E200" s="28">
        <v>14.31</v>
      </c>
      <c r="F200" s="28">
        <v>0.96</v>
      </c>
      <c r="G200" s="28">
        <v>7.04</v>
      </c>
      <c r="H200" s="28">
        <v>36.28</v>
      </c>
      <c r="I200" s="28">
        <v>0.35</v>
      </c>
      <c r="J200" s="29">
        <f>2.1*100000</f>
        <v>210000</v>
      </c>
      <c r="K200" s="29">
        <f>2.7*10000000</f>
        <v>27000000</v>
      </c>
      <c r="L200" s="3">
        <v>50</v>
      </c>
      <c r="M200" s="3">
        <v>4</v>
      </c>
      <c r="N200" s="3">
        <v>3</v>
      </c>
      <c r="O200" s="3">
        <v>25</v>
      </c>
      <c r="P200" s="3">
        <v>0.2</v>
      </c>
      <c r="Q200" s="3">
        <v>1000</v>
      </c>
      <c r="R200" s="3">
        <v>5000</v>
      </c>
      <c r="S200" s="4">
        <f t="shared" si="84"/>
        <v>0.28620000000000001</v>
      </c>
      <c r="T200" s="4">
        <f t="shared" si="103"/>
        <v>0.5033333333333333</v>
      </c>
      <c r="U200" s="4">
        <f t="shared" si="100"/>
        <v>2.3466666666666667</v>
      </c>
      <c r="V200" s="4">
        <f t="shared" si="100"/>
        <v>1.4512</v>
      </c>
      <c r="W200" s="5">
        <f t="shared" si="100"/>
        <v>1.7499999999999998</v>
      </c>
      <c r="X200" s="4">
        <f t="shared" si="100"/>
        <v>210</v>
      </c>
      <c r="Y200" s="4">
        <f t="shared" si="100"/>
        <v>5400</v>
      </c>
      <c r="Z200" s="6">
        <f t="shared" si="101"/>
        <v>-1.7166518528812125</v>
      </c>
      <c r="AA200" s="6">
        <f t="shared" si="102"/>
        <v>0.5033333333333333</v>
      </c>
      <c r="AB200" s="6">
        <f t="shared" si="101"/>
        <v>2.8522570221122487</v>
      </c>
      <c r="AC200" s="6">
        <f t="shared" si="101"/>
        <v>1.8086363485801003</v>
      </c>
      <c r="AD200" s="6">
        <f t="shared" si="102"/>
        <v>1.7499999999999998</v>
      </c>
      <c r="AE200" s="6">
        <f t="shared" si="102"/>
        <v>210</v>
      </c>
      <c r="AF200" s="6">
        <f t="shared" si="102"/>
        <v>5400</v>
      </c>
      <c r="AG200" s="21">
        <f t="shared" si="104"/>
        <v>802.17108212159201</v>
      </c>
      <c r="AH200" s="22">
        <f t="shared" si="105"/>
        <v>5400</v>
      </c>
      <c r="AI200" s="23">
        <f t="shared" si="106"/>
        <v>643478.44499212597</v>
      </c>
      <c r="AJ200" s="23">
        <f t="shared" si="106"/>
        <v>29160000</v>
      </c>
      <c r="AK200" s="24">
        <f t="shared" si="107"/>
        <v>3860.2770914140428</v>
      </c>
      <c r="AL200" s="87" t="str">
        <f>IF(ISNUMBER(AK200),IF(AK200&lt;=1,"memenuhi",IF(AK200&lt;=5,"ringan",IF(AK200&lt;=10,"sedang","berat"))),"")</f>
        <v>berat</v>
      </c>
    </row>
    <row r="201" spans="1:38" ht="16.5" x14ac:dyDescent="0.3">
      <c r="A201" s="13">
        <v>200</v>
      </c>
      <c r="B201" s="14" t="s">
        <v>25</v>
      </c>
      <c r="C201" s="15" t="s">
        <v>26</v>
      </c>
      <c r="D201" s="16" t="s">
        <v>57</v>
      </c>
      <c r="E201" s="28">
        <v>46.94</v>
      </c>
      <c r="F201" s="28">
        <v>0.45</v>
      </c>
      <c r="G201" s="28">
        <v>52.35</v>
      </c>
      <c r="H201" s="28">
        <v>78.77</v>
      </c>
      <c r="I201" s="28">
        <v>0.48</v>
      </c>
      <c r="J201" s="29">
        <f>5.8*1000000</f>
        <v>5800000</v>
      </c>
      <c r="K201" s="29">
        <f>7.15*10000000</f>
        <v>71500000</v>
      </c>
      <c r="L201" s="3">
        <v>50</v>
      </c>
      <c r="M201" s="3">
        <v>4</v>
      </c>
      <c r="N201" s="3">
        <v>3</v>
      </c>
      <c r="O201" s="3">
        <v>25</v>
      </c>
      <c r="P201" s="3">
        <v>0.2</v>
      </c>
      <c r="Q201" s="3">
        <v>1000</v>
      </c>
      <c r="R201" s="3">
        <v>5000</v>
      </c>
      <c r="S201" s="4">
        <f t="shared" si="84"/>
        <v>0.93879999999999997</v>
      </c>
      <c r="T201" s="4">
        <f t="shared" si="103"/>
        <v>0.54583333333333328</v>
      </c>
      <c r="U201" s="4">
        <f t="shared" si="100"/>
        <v>17.45</v>
      </c>
      <c r="V201" s="4">
        <f t="shared" si="100"/>
        <v>3.1507999999999998</v>
      </c>
      <c r="W201" s="5">
        <f t="shared" si="100"/>
        <v>2.4</v>
      </c>
      <c r="X201" s="4">
        <f t="shared" si="100"/>
        <v>5800</v>
      </c>
      <c r="Y201" s="4">
        <f t="shared" si="100"/>
        <v>14300</v>
      </c>
      <c r="Z201" s="6">
        <f t="shared" si="101"/>
        <v>0.86286540463277472</v>
      </c>
      <c r="AA201" s="6">
        <f t="shared" si="102"/>
        <v>0.54583333333333328</v>
      </c>
      <c r="AB201" s="6">
        <f t="shared" si="101"/>
        <v>7.208977156475993</v>
      </c>
      <c r="AC201" s="6">
        <f t="shared" si="101"/>
        <v>3.4921041839863936</v>
      </c>
      <c r="AD201" s="6">
        <f t="shared" si="102"/>
        <v>2.4</v>
      </c>
      <c r="AE201" s="6">
        <f t="shared" si="102"/>
        <v>5800</v>
      </c>
      <c r="AF201" s="6">
        <f t="shared" si="102"/>
        <v>14300</v>
      </c>
      <c r="AG201" s="21">
        <f t="shared" si="104"/>
        <v>2873.5013971540611</v>
      </c>
      <c r="AH201" s="22">
        <f t="shared" si="105"/>
        <v>14300</v>
      </c>
      <c r="AI201" s="23">
        <f t="shared" si="106"/>
        <v>8257010.2794463411</v>
      </c>
      <c r="AJ201" s="23">
        <f t="shared" si="106"/>
        <v>204490000</v>
      </c>
      <c r="AK201" s="24">
        <f t="shared" si="107"/>
        <v>10313.753203355371</v>
      </c>
      <c r="AL201" s="87" t="str">
        <f>IF(ISNUMBER(AK201),IF(AK201&lt;=1,"memenuhi",IF(AK201&lt;=5,"ringan",IF(AK201&lt;=10,"sedang","berat"))),"")</f>
        <v>berat</v>
      </c>
    </row>
    <row r="202" spans="1:38" ht="16.5" x14ac:dyDescent="0.3">
      <c r="A202" s="13">
        <v>201</v>
      </c>
      <c r="B202" s="14" t="s">
        <v>27</v>
      </c>
      <c r="C202" s="15" t="s">
        <v>28</v>
      </c>
      <c r="D202" s="16" t="s">
        <v>57</v>
      </c>
      <c r="E202" s="28">
        <v>22.64</v>
      </c>
      <c r="F202" s="28">
        <v>0.38</v>
      </c>
      <c r="G202" s="28">
        <v>22.39</v>
      </c>
      <c r="H202" s="28">
        <v>92.96</v>
      </c>
      <c r="I202" s="28">
        <v>0.17</v>
      </c>
      <c r="J202" s="29">
        <f>3.8*100000</f>
        <v>380000</v>
      </c>
      <c r="K202" s="29">
        <f>2.5*1000000</f>
        <v>2500000</v>
      </c>
      <c r="L202" s="3">
        <v>50</v>
      </c>
      <c r="M202" s="3">
        <v>4</v>
      </c>
      <c r="N202" s="3">
        <v>3</v>
      </c>
      <c r="O202" s="3">
        <v>25</v>
      </c>
      <c r="P202" s="3">
        <v>0.2</v>
      </c>
      <c r="Q202" s="3">
        <v>1000</v>
      </c>
      <c r="R202" s="3">
        <v>5000</v>
      </c>
      <c r="S202" s="4">
        <f t="shared" si="84"/>
        <v>0.45280000000000004</v>
      </c>
      <c r="T202" s="4">
        <f t="shared" si="103"/>
        <v>0.55166666666666664</v>
      </c>
      <c r="U202" s="4">
        <f t="shared" si="100"/>
        <v>7.4633333333333338</v>
      </c>
      <c r="V202" s="4">
        <f t="shared" si="100"/>
        <v>3.7183999999999999</v>
      </c>
      <c r="W202" s="5">
        <f t="shared" si="100"/>
        <v>0.85</v>
      </c>
      <c r="X202" s="4">
        <f t="shared" si="100"/>
        <v>380</v>
      </c>
      <c r="Y202" s="4">
        <f t="shared" si="100"/>
        <v>500</v>
      </c>
      <c r="Z202" s="6">
        <f t="shared" si="101"/>
        <v>-0.72046790909892477</v>
      </c>
      <c r="AA202" s="6">
        <f t="shared" si="102"/>
        <v>0.55166666666666664</v>
      </c>
      <c r="AB202" s="6">
        <f t="shared" si="101"/>
        <v>5.3646641942968394</v>
      </c>
      <c r="AC202" s="6">
        <f t="shared" si="101"/>
        <v>3.8517805318710892</v>
      </c>
      <c r="AD202" s="6">
        <f t="shared" si="102"/>
        <v>0.85</v>
      </c>
      <c r="AE202" s="6">
        <f t="shared" si="102"/>
        <v>380</v>
      </c>
      <c r="AF202" s="6">
        <f t="shared" si="102"/>
        <v>500</v>
      </c>
      <c r="AG202" s="21">
        <f t="shared" si="104"/>
        <v>127.12823478339081</v>
      </c>
      <c r="AH202" s="22">
        <f t="shared" si="105"/>
        <v>500</v>
      </c>
      <c r="AI202" s="23">
        <f t="shared" si="106"/>
        <v>16161.588079140936</v>
      </c>
      <c r="AJ202" s="23">
        <f t="shared" si="106"/>
        <v>250000</v>
      </c>
      <c r="AK202" s="24">
        <f t="shared" si="107"/>
        <v>364.80240410333164</v>
      </c>
      <c r="AL202" s="87" t="str">
        <f t="shared" ref="AL202:AL226" si="108">IF(ISNUMBER(AK202),IF(AK202&lt;=1,"memenuhi",IF(AK202&lt;=5,"ringan",IF(AK202&lt;=10,"sedang","berat"))),"")</f>
        <v>berat</v>
      </c>
    </row>
    <row r="203" spans="1:38" ht="16.5" x14ac:dyDescent="0.3">
      <c r="A203" s="13">
        <v>202</v>
      </c>
      <c r="B203" s="14" t="s">
        <v>29</v>
      </c>
      <c r="C203" s="27" t="s">
        <v>30</v>
      </c>
      <c r="D203" s="16" t="s">
        <v>55</v>
      </c>
      <c r="E203" s="28">
        <v>12.32</v>
      </c>
      <c r="F203" s="28">
        <v>0.88</v>
      </c>
      <c r="G203" s="28">
        <v>54.14</v>
      </c>
      <c r="H203" s="28">
        <v>92.95</v>
      </c>
      <c r="I203" s="28">
        <v>1.18</v>
      </c>
      <c r="J203" s="29">
        <v>31000</v>
      </c>
      <c r="K203" s="29">
        <v>755000</v>
      </c>
      <c r="L203" s="3">
        <v>50</v>
      </c>
      <c r="M203" s="3">
        <v>4</v>
      </c>
      <c r="N203" s="3">
        <v>3</v>
      </c>
      <c r="O203" s="3">
        <v>25</v>
      </c>
      <c r="P203" s="3">
        <v>0.2</v>
      </c>
      <c r="Q203" s="3">
        <v>1000</v>
      </c>
      <c r="R203" s="3">
        <v>5000</v>
      </c>
      <c r="S203" s="4">
        <f t="shared" si="84"/>
        <v>0.24640000000000001</v>
      </c>
      <c r="T203" s="4">
        <f t="shared" si="103"/>
        <v>0.51</v>
      </c>
      <c r="U203" s="4">
        <f t="shared" si="100"/>
        <v>18.046666666666667</v>
      </c>
      <c r="V203" s="4">
        <f t="shared" si="100"/>
        <v>3.718</v>
      </c>
      <c r="W203" s="5">
        <f t="shared" si="100"/>
        <v>5.8999999999999995</v>
      </c>
      <c r="X203" s="4">
        <f t="shared" si="100"/>
        <v>31</v>
      </c>
      <c r="Y203" s="4">
        <f t="shared" si="100"/>
        <v>151</v>
      </c>
      <c r="Z203" s="6">
        <f t="shared" si="101"/>
        <v>-2.0417964825380608</v>
      </c>
      <c r="AA203" s="6">
        <f t="shared" si="102"/>
        <v>0.51</v>
      </c>
      <c r="AB203" s="6">
        <f t="shared" si="101"/>
        <v>7.2819849835741257</v>
      </c>
      <c r="AC203" s="6">
        <f t="shared" si="101"/>
        <v>3.8515469271793985</v>
      </c>
      <c r="AD203" s="6">
        <f t="shared" si="102"/>
        <v>5.8999999999999995</v>
      </c>
      <c r="AE203" s="6">
        <f t="shared" si="102"/>
        <v>31</v>
      </c>
      <c r="AF203" s="6">
        <f t="shared" si="102"/>
        <v>151</v>
      </c>
      <c r="AG203" s="21">
        <f t="shared" si="104"/>
        <v>28.214533632602208</v>
      </c>
      <c r="AH203" s="22">
        <f t="shared" si="105"/>
        <v>151</v>
      </c>
      <c r="AI203" s="23">
        <f t="shared" si="106"/>
        <v>796.05990810524111</v>
      </c>
      <c r="AJ203" s="23">
        <f t="shared" si="106"/>
        <v>22801</v>
      </c>
      <c r="AK203" s="24">
        <f t="shared" si="107"/>
        <v>108.62103826631663</v>
      </c>
      <c r="AL203" s="87" t="str">
        <f t="shared" si="108"/>
        <v>berat</v>
      </c>
    </row>
    <row r="204" spans="1:38" ht="16.5" x14ac:dyDescent="0.3">
      <c r="A204" s="13">
        <v>203</v>
      </c>
      <c r="B204" s="14" t="s">
        <v>31</v>
      </c>
      <c r="C204" s="27" t="s">
        <v>32</v>
      </c>
      <c r="D204" s="16" t="s">
        <v>55</v>
      </c>
      <c r="E204" s="28">
        <v>16.98</v>
      </c>
      <c r="F204" s="28">
        <v>0.56000000000000005</v>
      </c>
      <c r="G204" s="28">
        <v>41.87</v>
      </c>
      <c r="H204" s="28">
        <v>105.89</v>
      </c>
      <c r="I204" s="28">
        <v>2.37</v>
      </c>
      <c r="J204" s="29">
        <v>2000000</v>
      </c>
      <c r="K204" s="29">
        <v>23000000</v>
      </c>
      <c r="L204" s="3">
        <v>50</v>
      </c>
      <c r="M204" s="3">
        <v>4</v>
      </c>
      <c r="N204" s="3">
        <v>3</v>
      </c>
      <c r="O204" s="3">
        <v>25</v>
      </c>
      <c r="P204" s="3">
        <v>0.2</v>
      </c>
      <c r="Q204" s="3">
        <v>1000</v>
      </c>
      <c r="R204" s="3">
        <v>5000</v>
      </c>
      <c r="S204" s="4">
        <f t="shared" si="84"/>
        <v>0.33960000000000001</v>
      </c>
      <c r="T204" s="4">
        <f t="shared" si="103"/>
        <v>0.53666666666666663</v>
      </c>
      <c r="U204" s="4">
        <f t="shared" si="100"/>
        <v>13.956666666666665</v>
      </c>
      <c r="V204" s="4">
        <f t="shared" si="100"/>
        <v>4.2355999999999998</v>
      </c>
      <c r="W204" s="5">
        <f t="shared" si="100"/>
        <v>11.85</v>
      </c>
      <c r="X204" s="4">
        <f t="shared" si="100"/>
        <v>2000</v>
      </c>
      <c r="Y204" s="4">
        <f t="shared" si="100"/>
        <v>4600</v>
      </c>
      <c r="Z204" s="6">
        <f t="shared" si="101"/>
        <v>-1.3451615921404247</v>
      </c>
      <c r="AA204" s="6">
        <f t="shared" si="102"/>
        <v>0.53666666666666663</v>
      </c>
      <c r="AB204" s="6">
        <f>1+(5*(LOG10(G204/N204)))</f>
        <v>6.7239085308578392</v>
      </c>
      <c r="AC204" s="6">
        <f t="shared" si="101"/>
        <v>4.1345746981649008</v>
      </c>
      <c r="AD204" s="6">
        <f t="shared" si="102"/>
        <v>11.85</v>
      </c>
      <c r="AE204" s="6">
        <f t="shared" si="102"/>
        <v>2000</v>
      </c>
      <c r="AF204" s="6">
        <f t="shared" si="102"/>
        <v>4600</v>
      </c>
      <c r="AG204" s="21">
        <f t="shared" si="104"/>
        <v>945.98571261479265</v>
      </c>
      <c r="AH204" s="22">
        <f t="shared" si="105"/>
        <v>4600</v>
      </c>
      <c r="AI204" s="23">
        <f t="shared" si="106"/>
        <v>894888.96847131709</v>
      </c>
      <c r="AJ204" s="23">
        <f t="shared" si="106"/>
        <v>21160000</v>
      </c>
      <c r="AK204" s="24">
        <f t="shared" si="107"/>
        <v>3320.7596245792406</v>
      </c>
      <c r="AL204" s="87" t="str">
        <f t="shared" si="108"/>
        <v>berat</v>
      </c>
    </row>
    <row r="205" spans="1:38" ht="16.5" x14ac:dyDescent="0.3">
      <c r="A205" s="13">
        <v>204</v>
      </c>
      <c r="B205" s="14" t="s">
        <v>33</v>
      </c>
      <c r="C205" s="27" t="s">
        <v>34</v>
      </c>
      <c r="D205" s="16" t="s">
        <v>55</v>
      </c>
      <c r="E205" s="28">
        <v>31.96</v>
      </c>
      <c r="F205" s="28">
        <v>0.55000000000000004</v>
      </c>
      <c r="G205" s="28">
        <v>34.24</v>
      </c>
      <c r="H205" s="28">
        <v>99.52</v>
      </c>
      <c r="I205" s="28">
        <v>0.28000000000000003</v>
      </c>
      <c r="J205" s="29">
        <v>2400000</v>
      </c>
      <c r="K205" s="29">
        <v>70000000</v>
      </c>
      <c r="L205" s="3">
        <v>50</v>
      </c>
      <c r="M205" s="3">
        <v>4</v>
      </c>
      <c r="N205" s="3">
        <v>3</v>
      </c>
      <c r="O205" s="3">
        <v>25</v>
      </c>
      <c r="P205" s="3">
        <v>0.2</v>
      </c>
      <c r="Q205" s="3">
        <v>1000</v>
      </c>
      <c r="R205" s="3">
        <v>5000</v>
      </c>
      <c r="S205" s="4">
        <f t="shared" si="84"/>
        <v>0.63919999999999999</v>
      </c>
      <c r="T205" s="4">
        <f t="shared" si="103"/>
        <v>0.53749999999999998</v>
      </c>
      <c r="U205" s="4">
        <f t="shared" si="100"/>
        <v>11.413333333333334</v>
      </c>
      <c r="V205" s="4">
        <f t="shared" si="100"/>
        <v>3.9807999999999999</v>
      </c>
      <c r="W205" s="5">
        <f t="shared" si="100"/>
        <v>1.4000000000000001</v>
      </c>
      <c r="X205" s="4">
        <f t="shared" si="100"/>
        <v>2400</v>
      </c>
      <c r="Y205" s="4">
        <f t="shared" si="100"/>
        <v>14000</v>
      </c>
      <c r="Z205" s="6">
        <f t="shared" si="101"/>
        <v>2.8183831529674852E-2</v>
      </c>
      <c r="AA205" s="6">
        <f t="shared" si="102"/>
        <v>0.53749999999999998</v>
      </c>
      <c r="AB205" s="6">
        <f t="shared" si="101"/>
        <v>6.2870625064272661</v>
      </c>
      <c r="AC205" s="6">
        <f t="shared" si="101"/>
        <v>3.9998517933735291</v>
      </c>
      <c r="AD205" s="6">
        <f t="shared" si="102"/>
        <v>1.4000000000000001</v>
      </c>
      <c r="AE205" s="6">
        <f t="shared" si="102"/>
        <v>2400</v>
      </c>
      <c r="AF205" s="6">
        <f t="shared" si="102"/>
        <v>14000</v>
      </c>
      <c r="AG205" s="21">
        <f t="shared" si="104"/>
        <v>2344.6075140187613</v>
      </c>
      <c r="AH205" s="22">
        <f t="shared" si="105"/>
        <v>14000</v>
      </c>
      <c r="AI205" s="23">
        <f t="shared" si="106"/>
        <v>5497184.3947932357</v>
      </c>
      <c r="AJ205" s="23">
        <f t="shared" si="106"/>
        <v>196000000</v>
      </c>
      <c r="AK205" s="24">
        <f t="shared" si="107"/>
        <v>10037.359822054634</v>
      </c>
      <c r="AL205" s="87" t="str">
        <f t="shared" si="108"/>
        <v>berat</v>
      </c>
    </row>
    <row r="206" spans="1:38" ht="16.5" x14ac:dyDescent="0.3">
      <c r="A206" s="13">
        <v>205</v>
      </c>
      <c r="B206" s="14" t="s">
        <v>35</v>
      </c>
      <c r="C206" s="27" t="s">
        <v>36</v>
      </c>
      <c r="D206" s="16" t="s">
        <v>55</v>
      </c>
      <c r="E206" s="28">
        <v>27.63</v>
      </c>
      <c r="F206" s="28">
        <v>0.87</v>
      </c>
      <c r="G206" s="28">
        <v>23.51</v>
      </c>
      <c r="H206" s="28">
        <v>113.42</v>
      </c>
      <c r="I206" s="28">
        <v>0.99</v>
      </c>
      <c r="J206" s="29">
        <f>1.5*1000000</f>
        <v>1500000</v>
      </c>
      <c r="K206" s="29">
        <f>3.6*10000000</f>
        <v>36000000</v>
      </c>
      <c r="L206" s="3">
        <v>50</v>
      </c>
      <c r="M206" s="3">
        <v>4</v>
      </c>
      <c r="N206" s="3">
        <v>3</v>
      </c>
      <c r="O206" s="3">
        <v>25</v>
      </c>
      <c r="P206" s="3">
        <v>0.2</v>
      </c>
      <c r="Q206" s="3">
        <v>1000</v>
      </c>
      <c r="R206" s="3">
        <v>5000</v>
      </c>
      <c r="S206" s="4">
        <f t="shared" si="84"/>
        <v>0.55259999999999998</v>
      </c>
      <c r="T206" s="4">
        <f t="shared" si="103"/>
        <v>0.51083333333333336</v>
      </c>
      <c r="U206" s="4">
        <f t="shared" si="100"/>
        <v>7.8366666666666669</v>
      </c>
      <c r="V206" s="4">
        <f t="shared" si="100"/>
        <v>4.5368000000000004</v>
      </c>
      <c r="W206" s="5">
        <f t="shared" si="100"/>
        <v>4.9499999999999993</v>
      </c>
      <c r="X206" s="4">
        <f t="shared" si="100"/>
        <v>1500</v>
      </c>
      <c r="Y206" s="4">
        <f t="shared" si="100"/>
        <v>7200</v>
      </c>
      <c r="Z206" s="6">
        <f t="shared" si="101"/>
        <v>-0.28794559709753731</v>
      </c>
      <c r="AA206" s="6">
        <f t="shared" si="102"/>
        <v>0.51083333333333336</v>
      </c>
      <c r="AB206" s="6">
        <f t="shared" si="101"/>
        <v>5.4706568720263844</v>
      </c>
      <c r="AC206" s="6">
        <f t="shared" si="101"/>
        <v>4.2837481713897114</v>
      </c>
      <c r="AD206" s="6">
        <f t="shared" si="102"/>
        <v>4.9499999999999993</v>
      </c>
      <c r="AE206" s="6">
        <f t="shared" si="102"/>
        <v>1500</v>
      </c>
      <c r="AF206" s="6">
        <f t="shared" si="102"/>
        <v>7200</v>
      </c>
      <c r="AG206" s="21">
        <f t="shared" si="104"/>
        <v>1244.989613254236</v>
      </c>
      <c r="AH206" s="22">
        <f t="shared" si="105"/>
        <v>7200</v>
      </c>
      <c r="AI206" s="23">
        <f t="shared" si="106"/>
        <v>1549999.1371109323</v>
      </c>
      <c r="AJ206" s="23">
        <f t="shared" si="106"/>
        <v>51840000</v>
      </c>
      <c r="AK206" s="24">
        <f t="shared" si="107"/>
        <v>5166.7203880755405</v>
      </c>
      <c r="AL206" s="87" t="str">
        <f t="shared" si="108"/>
        <v>berat</v>
      </c>
    </row>
    <row r="207" spans="1:38" ht="16.5" x14ac:dyDescent="0.3">
      <c r="A207" s="13">
        <v>206</v>
      </c>
      <c r="B207" s="14" t="s">
        <v>37</v>
      </c>
      <c r="C207" s="27" t="s">
        <v>38</v>
      </c>
      <c r="D207" s="16" t="s">
        <v>56</v>
      </c>
      <c r="E207" s="28">
        <v>42.28</v>
      </c>
      <c r="F207" s="28">
        <v>0.65</v>
      </c>
      <c r="G207" s="28">
        <v>82.79</v>
      </c>
      <c r="H207" s="28">
        <v>145.13</v>
      </c>
      <c r="I207" s="28">
        <v>0.54</v>
      </c>
      <c r="J207" s="29">
        <f>3.2*1000000</f>
        <v>3200000</v>
      </c>
      <c r="K207" s="29">
        <f>2.4*10000000</f>
        <v>24000000</v>
      </c>
      <c r="L207" s="3">
        <v>50</v>
      </c>
      <c r="M207" s="3">
        <v>4</v>
      </c>
      <c r="N207" s="3">
        <v>3</v>
      </c>
      <c r="O207" s="3">
        <v>25</v>
      </c>
      <c r="P207" s="3">
        <v>0.2</v>
      </c>
      <c r="Q207" s="3">
        <v>1000</v>
      </c>
      <c r="R207" s="3">
        <v>5000</v>
      </c>
      <c r="S207" s="4">
        <f t="shared" si="84"/>
        <v>0.84560000000000002</v>
      </c>
      <c r="T207" s="4">
        <f t="shared" si="103"/>
        <v>0.52916666666666667</v>
      </c>
      <c r="U207" s="4">
        <f t="shared" si="100"/>
        <v>27.596666666666668</v>
      </c>
      <c r="V207" s="4">
        <f t="shared" si="100"/>
        <v>5.8052000000000001</v>
      </c>
      <c r="W207" s="5">
        <f t="shared" si="100"/>
        <v>2.7</v>
      </c>
      <c r="X207" s="4">
        <f t="shared" si="100"/>
        <v>3200</v>
      </c>
      <c r="Y207" s="4">
        <f t="shared" si="100"/>
        <v>4800</v>
      </c>
      <c r="Z207" s="6">
        <f t="shared" si="101"/>
        <v>0.6358248714968493</v>
      </c>
      <c r="AA207" s="6">
        <f t="shared" si="102"/>
        <v>0.52916666666666667</v>
      </c>
      <c r="AB207" s="6">
        <f t="shared" si="101"/>
        <v>8.204283139366229</v>
      </c>
      <c r="AC207" s="6">
        <f t="shared" si="101"/>
        <v>4.8190859329484477</v>
      </c>
      <c r="AD207" s="6">
        <f t="shared" si="102"/>
        <v>2.7</v>
      </c>
      <c r="AE207" s="6">
        <f t="shared" si="102"/>
        <v>3200</v>
      </c>
      <c r="AF207" s="6">
        <f t="shared" si="102"/>
        <v>4800</v>
      </c>
      <c r="AG207" s="21">
        <f t="shared" si="104"/>
        <v>1145.269765801497</v>
      </c>
      <c r="AH207" s="22">
        <f t="shared" si="105"/>
        <v>4800</v>
      </c>
      <c r="AI207" s="23">
        <f t="shared" si="106"/>
        <v>1311642.8364590157</v>
      </c>
      <c r="AJ207" s="23">
        <f t="shared" si="106"/>
        <v>23040000</v>
      </c>
      <c r="AK207" s="24">
        <f t="shared" si="107"/>
        <v>3489.3869688284085</v>
      </c>
      <c r="AL207" s="87" t="str">
        <f t="shared" si="108"/>
        <v>berat</v>
      </c>
    </row>
    <row r="208" spans="1:38" ht="16.5" x14ac:dyDescent="0.3">
      <c r="A208" s="13">
        <v>207</v>
      </c>
      <c r="B208" s="14" t="s">
        <v>39</v>
      </c>
      <c r="C208" s="27" t="s">
        <v>40</v>
      </c>
      <c r="D208" s="16" t="s">
        <v>58</v>
      </c>
      <c r="E208" s="28">
        <v>148.31</v>
      </c>
      <c r="F208" s="28">
        <v>0.22</v>
      </c>
      <c r="G208" s="28">
        <v>87.15</v>
      </c>
      <c r="H208" s="28">
        <v>130.62</v>
      </c>
      <c r="I208" s="28">
        <v>0.17</v>
      </c>
      <c r="J208" s="29">
        <f>3.4*1000000</f>
        <v>3400000</v>
      </c>
      <c r="K208" s="29">
        <f>7.6*10000000</f>
        <v>76000000</v>
      </c>
      <c r="L208" s="3">
        <v>50</v>
      </c>
      <c r="M208" s="3">
        <v>4</v>
      </c>
      <c r="N208" s="3">
        <v>3</v>
      </c>
      <c r="O208" s="3">
        <v>25</v>
      </c>
      <c r="P208" s="3">
        <v>0.2</v>
      </c>
      <c r="Q208" s="3">
        <v>1000</v>
      </c>
      <c r="R208" s="3">
        <v>5000</v>
      </c>
      <c r="S208" s="4">
        <f t="shared" si="84"/>
        <v>2.9662000000000002</v>
      </c>
      <c r="T208" s="4">
        <f t="shared" si="103"/>
        <v>0.56500000000000006</v>
      </c>
      <c r="U208" s="4">
        <f t="shared" ref="U208:Y223" si="109">G208/N208</f>
        <v>29.05</v>
      </c>
      <c r="V208" s="4">
        <f t="shared" si="109"/>
        <v>5.2248000000000001</v>
      </c>
      <c r="W208" s="5">
        <f t="shared" si="109"/>
        <v>0.85</v>
      </c>
      <c r="X208" s="4">
        <f t="shared" si="109"/>
        <v>3400</v>
      </c>
      <c r="Y208" s="4">
        <f t="shared" si="109"/>
        <v>15200</v>
      </c>
      <c r="Z208" s="6">
        <f t="shared" si="101"/>
        <v>3.3610021528280098</v>
      </c>
      <c r="AA208" s="6">
        <f t="shared" si="102"/>
        <v>0.56500000000000006</v>
      </c>
      <c r="AB208" s="6">
        <f t="shared" si="101"/>
        <v>8.3157306836317488</v>
      </c>
      <c r="AC208" s="6">
        <f t="shared" si="101"/>
        <v>4.5903483537635017</v>
      </c>
      <c r="AD208" s="6">
        <f t="shared" si="102"/>
        <v>0.85</v>
      </c>
      <c r="AE208" s="6">
        <f t="shared" si="102"/>
        <v>3400</v>
      </c>
      <c r="AF208" s="6">
        <f t="shared" si="102"/>
        <v>15200</v>
      </c>
      <c r="AG208" s="21">
        <f t="shared" si="104"/>
        <v>2659.6688687414603</v>
      </c>
      <c r="AH208" s="22">
        <f t="shared" si="105"/>
        <v>15200</v>
      </c>
      <c r="AI208" s="23">
        <f t="shared" si="106"/>
        <v>7073838.491352479</v>
      </c>
      <c r="AJ208" s="23">
        <f t="shared" si="106"/>
        <v>231040000</v>
      </c>
      <c r="AK208" s="24">
        <f t="shared" si="107"/>
        <v>10911.320692092055</v>
      </c>
      <c r="AL208" s="87" t="str">
        <f t="shared" si="108"/>
        <v>berat</v>
      </c>
    </row>
    <row r="209" spans="1:38" ht="16.5" x14ac:dyDescent="0.3">
      <c r="A209" s="13">
        <v>208</v>
      </c>
      <c r="B209" s="14" t="s">
        <v>41</v>
      </c>
      <c r="C209" s="27" t="s">
        <v>42</v>
      </c>
      <c r="D209" s="16" t="s">
        <v>55</v>
      </c>
      <c r="E209" s="28">
        <v>13.65</v>
      </c>
      <c r="F209" s="28">
        <v>1.27</v>
      </c>
      <c r="G209" s="28">
        <v>15.57</v>
      </c>
      <c r="H209" s="28">
        <v>76.16</v>
      </c>
      <c r="I209" s="28">
        <v>0.34</v>
      </c>
      <c r="J209" s="29">
        <f>3.2*1000000</f>
        <v>3200000</v>
      </c>
      <c r="K209" s="29">
        <f>3.3*10000000</f>
        <v>33000000</v>
      </c>
      <c r="L209" s="3">
        <v>50</v>
      </c>
      <c r="M209" s="3">
        <v>4</v>
      </c>
      <c r="N209" s="3">
        <v>3</v>
      </c>
      <c r="O209" s="3">
        <v>25</v>
      </c>
      <c r="P209" s="3">
        <v>0.2</v>
      </c>
      <c r="Q209" s="3">
        <v>1000</v>
      </c>
      <c r="R209" s="3">
        <v>5000</v>
      </c>
      <c r="S209" s="4">
        <f t="shared" si="84"/>
        <v>0.27300000000000002</v>
      </c>
      <c r="T209" s="4">
        <f t="shared" si="103"/>
        <v>0.47750000000000004</v>
      </c>
      <c r="U209" s="4">
        <f t="shared" si="109"/>
        <v>5.19</v>
      </c>
      <c r="V209" s="4">
        <f t="shared" si="109"/>
        <v>3.0463999999999998</v>
      </c>
      <c r="W209" s="5">
        <f t="shared" si="109"/>
        <v>1.7</v>
      </c>
      <c r="X209" s="4">
        <f t="shared" si="109"/>
        <v>3200</v>
      </c>
      <c r="Y209" s="4">
        <f t="shared" si="109"/>
        <v>6600</v>
      </c>
      <c r="Z209" s="6">
        <f t="shared" si="101"/>
        <v>-1.8191867647962199</v>
      </c>
      <c r="AA209" s="6">
        <f t="shared" si="102"/>
        <v>0.47750000000000004</v>
      </c>
      <c r="AB209" s="6">
        <f t="shared" si="101"/>
        <v>4.5758367892422891</v>
      </c>
      <c r="AC209" s="6">
        <f t="shared" si="101"/>
        <v>3.4189346335219013</v>
      </c>
      <c r="AD209" s="6">
        <f t="shared" si="102"/>
        <v>1.7</v>
      </c>
      <c r="AE209" s="6">
        <f t="shared" si="102"/>
        <v>3200</v>
      </c>
      <c r="AF209" s="6">
        <f t="shared" si="102"/>
        <v>6600</v>
      </c>
      <c r="AG209" s="21">
        <f t="shared" si="104"/>
        <v>1401.1932978082809</v>
      </c>
      <c r="AH209" s="22">
        <f t="shared" si="105"/>
        <v>6600</v>
      </c>
      <c r="AI209" s="23">
        <f t="shared" si="106"/>
        <v>1963342.657822846</v>
      </c>
      <c r="AJ209" s="23">
        <f t="shared" si="106"/>
        <v>43560000</v>
      </c>
      <c r="AK209" s="24">
        <f t="shared" si="107"/>
        <v>4770.9193379171084</v>
      </c>
      <c r="AL209" s="87" t="str">
        <f t="shared" si="108"/>
        <v>berat</v>
      </c>
    </row>
    <row r="210" spans="1:38" ht="16.5" x14ac:dyDescent="0.3">
      <c r="A210" s="13">
        <v>209</v>
      </c>
      <c r="B210" s="14" t="s">
        <v>43</v>
      </c>
      <c r="C210" s="27" t="s">
        <v>44</v>
      </c>
      <c r="D210" s="16" t="s">
        <v>56</v>
      </c>
      <c r="E210" s="28">
        <v>16.309999999999999</v>
      </c>
      <c r="F210" s="28">
        <v>0.82</v>
      </c>
      <c r="G210" s="28">
        <v>58.47</v>
      </c>
      <c r="H210" s="28">
        <v>77.7</v>
      </c>
      <c r="I210" s="28">
        <v>0.54</v>
      </c>
      <c r="J210" s="29">
        <f>1.5*1000000</f>
        <v>1500000</v>
      </c>
      <c r="K210" s="29">
        <f>7.5*10000000</f>
        <v>75000000</v>
      </c>
      <c r="L210" s="3">
        <v>50</v>
      </c>
      <c r="M210" s="3">
        <v>4</v>
      </c>
      <c r="N210" s="3">
        <v>3</v>
      </c>
      <c r="O210" s="3">
        <v>25</v>
      </c>
      <c r="P210" s="3">
        <v>0.2</v>
      </c>
      <c r="Q210" s="3">
        <v>1000</v>
      </c>
      <c r="R210" s="3">
        <v>5000</v>
      </c>
      <c r="S210" s="4">
        <f t="shared" si="84"/>
        <v>0.32619999999999999</v>
      </c>
      <c r="T210" s="4">
        <f t="shared" si="103"/>
        <v>0.51500000000000001</v>
      </c>
      <c r="U210" s="4">
        <f t="shared" si="109"/>
        <v>19.489999999999998</v>
      </c>
      <c r="V210" s="4">
        <f t="shared" si="109"/>
        <v>3.1080000000000001</v>
      </c>
      <c r="W210" s="5">
        <f t="shared" si="109"/>
        <v>2.7</v>
      </c>
      <c r="X210" s="4">
        <f t="shared" si="109"/>
        <v>1500</v>
      </c>
      <c r="Y210" s="4">
        <f t="shared" si="109"/>
        <v>15000</v>
      </c>
      <c r="Z210" s="6">
        <f t="shared" si="101"/>
        <v>-1.4325802164787151</v>
      </c>
      <c r="AA210" s="6">
        <f t="shared" si="102"/>
        <v>0.51500000000000001</v>
      </c>
      <c r="AB210" s="6">
        <f t="shared" si="102"/>
        <v>19.489999999999998</v>
      </c>
      <c r="AC210" s="6">
        <f t="shared" si="101"/>
        <v>3.4624050506443833</v>
      </c>
      <c r="AD210" s="6">
        <f t="shared" si="102"/>
        <v>2.7</v>
      </c>
      <c r="AE210" s="6">
        <f t="shared" si="102"/>
        <v>1500</v>
      </c>
      <c r="AF210" s="6">
        <f t="shared" si="102"/>
        <v>15000</v>
      </c>
      <c r="AG210" s="21">
        <f t="shared" si="104"/>
        <v>2360.6764035477381</v>
      </c>
      <c r="AH210" s="22">
        <f t="shared" si="105"/>
        <v>15000</v>
      </c>
      <c r="AI210" s="23">
        <f t="shared" si="106"/>
        <v>5572793.0822670832</v>
      </c>
      <c r="AJ210" s="23">
        <f t="shared" si="106"/>
        <v>225000000</v>
      </c>
      <c r="AK210" s="24">
        <f t="shared" si="107"/>
        <v>10737.150298898379</v>
      </c>
      <c r="AL210" s="87" t="str">
        <f t="shared" si="108"/>
        <v>berat</v>
      </c>
    </row>
    <row r="211" spans="1:38" ht="16.5" x14ac:dyDescent="0.3">
      <c r="A211" s="13">
        <v>210</v>
      </c>
      <c r="B211" s="14" t="s">
        <v>45</v>
      </c>
      <c r="C211" s="27" t="s">
        <v>46</v>
      </c>
      <c r="D211" s="16" t="s">
        <v>58</v>
      </c>
      <c r="E211" s="28">
        <v>21.47</v>
      </c>
      <c r="F211" s="28">
        <v>0.44</v>
      </c>
      <c r="G211" s="28">
        <v>29.44</v>
      </c>
      <c r="H211" s="28">
        <v>98.26</v>
      </c>
      <c r="I211" s="28">
        <v>0.18</v>
      </c>
      <c r="J211" s="29">
        <f>3.7*100000</f>
        <v>370000</v>
      </c>
      <c r="K211" s="29">
        <f>2.7*10000000</f>
        <v>27000000</v>
      </c>
      <c r="L211" s="3">
        <v>50</v>
      </c>
      <c r="M211" s="3">
        <v>4</v>
      </c>
      <c r="N211" s="3">
        <v>3</v>
      </c>
      <c r="O211" s="3">
        <v>25</v>
      </c>
      <c r="P211" s="3">
        <v>0.2</v>
      </c>
      <c r="Q211" s="3">
        <v>1000</v>
      </c>
      <c r="R211" s="3">
        <v>5000</v>
      </c>
      <c r="S211" s="4">
        <f t="shared" si="84"/>
        <v>0.4294</v>
      </c>
      <c r="T211" s="4">
        <f>((7-F211)/(7-M211))/M211</f>
        <v>0.54666666666666663</v>
      </c>
      <c r="U211" s="4">
        <f t="shared" si="109"/>
        <v>9.8133333333333344</v>
      </c>
      <c r="V211" s="4">
        <f t="shared" si="109"/>
        <v>3.9304000000000001</v>
      </c>
      <c r="W211" s="5">
        <f t="shared" si="109"/>
        <v>0.89999999999999991</v>
      </c>
      <c r="X211" s="4">
        <f t="shared" si="109"/>
        <v>370</v>
      </c>
      <c r="Y211" s="4">
        <f t="shared" si="109"/>
        <v>5400</v>
      </c>
      <c r="Z211" s="6">
        <f t="shared" si="101"/>
        <v>-0.83568979949885058</v>
      </c>
      <c r="AA211" s="6">
        <f t="shared" si="102"/>
        <v>0.54666666666666663</v>
      </c>
      <c r="AB211" s="6">
        <f t="shared" si="101"/>
        <v>5.9590827547289944</v>
      </c>
      <c r="AC211" s="6">
        <f t="shared" si="101"/>
        <v>3.9721837556338269</v>
      </c>
      <c r="AD211" s="6">
        <f t="shared" si="102"/>
        <v>0.89999999999999991</v>
      </c>
      <c r="AE211" s="6">
        <f t="shared" si="102"/>
        <v>370</v>
      </c>
      <c r="AF211" s="6">
        <f t="shared" si="102"/>
        <v>5400</v>
      </c>
      <c r="AG211" s="21">
        <f t="shared" si="104"/>
        <v>825.7917490539329</v>
      </c>
      <c r="AH211" s="22">
        <f t="shared" si="105"/>
        <v>5400</v>
      </c>
      <c r="AI211" s="23">
        <f t="shared" si="106"/>
        <v>681932.01280555374</v>
      </c>
      <c r="AJ211" s="23">
        <f t="shared" si="106"/>
        <v>29160000</v>
      </c>
      <c r="AK211" s="24">
        <f t="shared" si="107"/>
        <v>3862.7666259305361</v>
      </c>
      <c r="AL211" s="87" t="str">
        <f>IF(ISNUMBER(AK211),IF(AK211&lt;=1,"memenuhi",IF(AK211&lt;=5,"ringan",IF(AK211&lt;=10,"sedang","berat"))),"")</f>
        <v>berat</v>
      </c>
    </row>
    <row r="212" spans="1:38" ht="16.5" x14ac:dyDescent="0.3">
      <c r="A212" s="13">
        <v>211</v>
      </c>
      <c r="B212" s="14" t="s">
        <v>17</v>
      </c>
      <c r="C212" s="27" t="s">
        <v>18</v>
      </c>
      <c r="D212" s="16" t="s">
        <v>59</v>
      </c>
      <c r="E212" s="28">
        <v>9.42</v>
      </c>
      <c r="F212" s="28">
        <v>3.42</v>
      </c>
      <c r="G212" s="28">
        <v>9.6300000000000008</v>
      </c>
      <c r="H212" s="28">
        <v>19.809999999999999</v>
      </c>
      <c r="I212" s="28">
        <v>0.2</v>
      </c>
      <c r="J212" s="29">
        <v>900</v>
      </c>
      <c r="K212" s="29">
        <f>2.7*100000</f>
        <v>270000</v>
      </c>
      <c r="L212" s="3">
        <v>50</v>
      </c>
      <c r="M212" s="3">
        <v>4</v>
      </c>
      <c r="N212" s="3">
        <v>3</v>
      </c>
      <c r="O212" s="3">
        <v>25</v>
      </c>
      <c r="P212" s="3">
        <v>0.2</v>
      </c>
      <c r="Q212" s="3">
        <v>1000</v>
      </c>
      <c r="R212" s="3">
        <v>5000</v>
      </c>
      <c r="S212" s="4">
        <f t="shared" si="84"/>
        <v>0.18840000000000001</v>
      </c>
      <c r="T212" s="4">
        <f t="shared" si="103"/>
        <v>0.29833333333333334</v>
      </c>
      <c r="U212" s="4">
        <f t="shared" si="109"/>
        <v>3.2100000000000004</v>
      </c>
      <c r="V212" s="4">
        <f t="shared" si="109"/>
        <v>0.79239999999999999</v>
      </c>
      <c r="W212" s="5">
        <f t="shared" si="109"/>
        <v>1</v>
      </c>
      <c r="X212" s="4">
        <f t="shared" si="109"/>
        <v>0.9</v>
      </c>
      <c r="Y212" s="4">
        <f t="shared" si="109"/>
        <v>54</v>
      </c>
      <c r="Z212" s="6">
        <f t="shared" si="101"/>
        <v>-2.624595507715707</v>
      </c>
      <c r="AA212" s="6">
        <f t="shared" si="101"/>
        <v>0.65983057364086317</v>
      </c>
      <c r="AB212" s="6">
        <f t="shared" si="102"/>
        <v>3.2100000000000004</v>
      </c>
      <c r="AC212" s="6">
        <f t="shared" si="102"/>
        <v>0.79239999999999999</v>
      </c>
      <c r="AD212" s="6">
        <f t="shared" si="102"/>
        <v>1</v>
      </c>
      <c r="AE212" s="6">
        <f t="shared" si="102"/>
        <v>0.9</v>
      </c>
      <c r="AF212" s="6">
        <f t="shared" si="102"/>
        <v>54</v>
      </c>
      <c r="AG212" s="21">
        <f t="shared" si="104"/>
        <v>8.2768050094178793</v>
      </c>
      <c r="AH212" s="22">
        <f t="shared" si="105"/>
        <v>54</v>
      </c>
      <c r="AI212" s="23">
        <f t="shared" si="106"/>
        <v>68.505501163924905</v>
      </c>
      <c r="AJ212" s="23">
        <f t="shared" si="106"/>
        <v>2916</v>
      </c>
      <c r="AK212" s="24">
        <f t="shared" si="107"/>
        <v>38.629687425372239</v>
      </c>
      <c r="AL212" s="25" t="str">
        <f t="shared" si="108"/>
        <v>berat</v>
      </c>
    </row>
    <row r="213" spans="1:38" ht="16.5" x14ac:dyDescent="0.3">
      <c r="A213" s="13">
        <v>212</v>
      </c>
      <c r="B213" s="14" t="s">
        <v>19</v>
      </c>
      <c r="C213" s="27" t="s">
        <v>47</v>
      </c>
      <c r="D213" s="88" t="s">
        <v>60</v>
      </c>
      <c r="E213" s="28">
        <v>35.619999999999997</v>
      </c>
      <c r="F213" s="28">
        <v>0.66</v>
      </c>
      <c r="G213" s="28">
        <v>27.56</v>
      </c>
      <c r="H213" s="28">
        <v>49.72</v>
      </c>
      <c r="I213" s="28">
        <v>0.7</v>
      </c>
      <c r="J213" s="29">
        <f>3.75*100000</f>
        <v>375000</v>
      </c>
      <c r="K213" s="29">
        <f>4.25*10000000</f>
        <v>42500000</v>
      </c>
      <c r="L213" s="3">
        <v>50</v>
      </c>
      <c r="M213" s="3">
        <v>4</v>
      </c>
      <c r="N213" s="3">
        <v>3</v>
      </c>
      <c r="O213" s="3">
        <v>25</v>
      </c>
      <c r="P213" s="3">
        <v>0.2</v>
      </c>
      <c r="Q213" s="3">
        <v>1000</v>
      </c>
      <c r="R213" s="3">
        <v>5000</v>
      </c>
      <c r="S213" s="4">
        <f t="shared" si="84"/>
        <v>0.71239999999999992</v>
      </c>
      <c r="T213" s="4">
        <f t="shared" si="103"/>
        <v>0.52833333333333332</v>
      </c>
      <c r="U213" s="4">
        <f t="shared" si="109"/>
        <v>9.1866666666666656</v>
      </c>
      <c r="V213" s="4">
        <f t="shared" si="109"/>
        <v>1.9887999999999999</v>
      </c>
      <c r="W213" s="5">
        <f t="shared" si="109"/>
        <v>3.4999999999999996</v>
      </c>
      <c r="X213" s="4">
        <f t="shared" si="109"/>
        <v>375</v>
      </c>
      <c r="Y213" s="4">
        <f t="shared" si="109"/>
        <v>8500</v>
      </c>
      <c r="Z213" s="6">
        <f t="shared" si="101"/>
        <v>0.26361955395602943</v>
      </c>
      <c r="AA213" s="6">
        <f t="shared" ref="AA213:AA226" si="110">T213</f>
        <v>0.52833333333333332</v>
      </c>
      <c r="AB213" s="6">
        <f t="shared" si="101"/>
        <v>5.8157897925796282</v>
      </c>
      <c r="AC213" s="6">
        <f t="shared" si="101"/>
        <v>2.4929555564878476</v>
      </c>
      <c r="AD213" s="6">
        <f t="shared" ref="AD213:AF226" si="111">W213</f>
        <v>3.4999999999999996</v>
      </c>
      <c r="AE213" s="6">
        <f t="shared" si="111"/>
        <v>375</v>
      </c>
      <c r="AF213" s="6">
        <f t="shared" si="111"/>
        <v>8500</v>
      </c>
      <c r="AG213" s="21">
        <f t="shared" si="104"/>
        <v>1269.6572426051937</v>
      </c>
      <c r="AH213" s="22">
        <f t="shared" si="105"/>
        <v>8500</v>
      </c>
      <c r="AI213" s="23">
        <f t="shared" si="106"/>
        <v>1612029.5136998238</v>
      </c>
      <c r="AJ213" s="23">
        <f t="shared" si="106"/>
        <v>72250000</v>
      </c>
      <c r="AK213" s="24">
        <f t="shared" si="107"/>
        <v>6077.0893326369587</v>
      </c>
      <c r="AL213" s="25" t="str">
        <f t="shared" si="108"/>
        <v>berat</v>
      </c>
    </row>
    <row r="214" spans="1:38" ht="16.5" x14ac:dyDescent="0.3">
      <c r="A214" s="13">
        <v>213</v>
      </c>
      <c r="B214" s="14" t="s">
        <v>21</v>
      </c>
      <c r="C214" s="34" t="s">
        <v>22</v>
      </c>
      <c r="D214" s="16" t="s">
        <v>59</v>
      </c>
      <c r="E214" s="46">
        <v>14.15</v>
      </c>
      <c r="F214" s="36">
        <v>1.36</v>
      </c>
      <c r="G214" s="36">
        <v>7.49</v>
      </c>
      <c r="H214" s="36">
        <v>32.590000000000003</v>
      </c>
      <c r="I214" s="36">
        <v>0.76</v>
      </c>
      <c r="J214" s="29">
        <f>1.15*1000000</f>
        <v>1150000</v>
      </c>
      <c r="K214" s="29">
        <f>25.5*1000000</f>
        <v>25500000</v>
      </c>
      <c r="L214" s="3">
        <v>50</v>
      </c>
      <c r="M214" s="3">
        <v>4</v>
      </c>
      <c r="N214" s="3">
        <v>3</v>
      </c>
      <c r="O214" s="3">
        <v>25</v>
      </c>
      <c r="P214" s="3">
        <v>0.2</v>
      </c>
      <c r="Q214" s="3">
        <v>1000</v>
      </c>
      <c r="R214" s="3">
        <v>5000</v>
      </c>
      <c r="S214" s="4">
        <f t="shared" si="84"/>
        <v>0.28300000000000003</v>
      </c>
      <c r="T214" s="4">
        <f t="shared" si="103"/>
        <v>0.47</v>
      </c>
      <c r="U214" s="4">
        <f t="shared" si="109"/>
        <v>2.4966666666666666</v>
      </c>
      <c r="V214" s="4">
        <f t="shared" si="109"/>
        <v>1.3036000000000001</v>
      </c>
      <c r="W214" s="5">
        <f t="shared" si="109"/>
        <v>3.8</v>
      </c>
      <c r="X214" s="4">
        <f t="shared" si="109"/>
        <v>1150</v>
      </c>
      <c r="Y214" s="4">
        <f t="shared" si="109"/>
        <v>5100</v>
      </c>
      <c r="Z214" s="6">
        <f t="shared" si="101"/>
        <v>-1.7410678223785485</v>
      </c>
      <c r="AA214" s="6">
        <f t="shared" si="110"/>
        <v>0.47</v>
      </c>
      <c r="AB214" s="6">
        <f t="shared" si="101"/>
        <v>2.9868028148990202</v>
      </c>
      <c r="AC214" s="6">
        <f t="shared" si="101"/>
        <v>1.575721758965533</v>
      </c>
      <c r="AD214" s="6">
        <f t="shared" si="111"/>
        <v>3.8</v>
      </c>
      <c r="AE214" s="6">
        <f t="shared" si="111"/>
        <v>1150</v>
      </c>
      <c r="AF214" s="6">
        <f t="shared" si="111"/>
        <v>5100</v>
      </c>
      <c r="AG214" s="21">
        <f t="shared" si="104"/>
        <v>893.87020810735521</v>
      </c>
      <c r="AH214" s="22">
        <f t="shared" si="105"/>
        <v>5100</v>
      </c>
      <c r="AI214" s="23">
        <f t="shared" si="106"/>
        <v>799003.94894188654</v>
      </c>
      <c r="AJ214" s="23">
        <f t="shared" si="106"/>
        <v>26010000</v>
      </c>
      <c r="AK214" s="24">
        <f t="shared" si="107"/>
        <v>3661.2159147571374</v>
      </c>
      <c r="AL214" s="25" t="str">
        <f t="shared" si="108"/>
        <v>berat</v>
      </c>
    </row>
    <row r="215" spans="1:38" ht="16.5" x14ac:dyDescent="0.3">
      <c r="A215" s="13">
        <v>214</v>
      </c>
      <c r="B215" s="14" t="s">
        <v>23</v>
      </c>
      <c r="C215" s="34" t="s">
        <v>24</v>
      </c>
      <c r="D215" s="16" t="s">
        <v>59</v>
      </c>
      <c r="E215" s="46">
        <v>22.97</v>
      </c>
      <c r="F215" s="36">
        <v>2.65</v>
      </c>
      <c r="G215" s="36">
        <v>12.01</v>
      </c>
      <c r="H215" s="36">
        <v>61.49</v>
      </c>
      <c r="I215" s="36">
        <v>1.04</v>
      </c>
      <c r="J215" s="29">
        <f>9.3*1000000</f>
        <v>9300000</v>
      </c>
      <c r="K215" s="29">
        <f>1.01*10000000</f>
        <v>10100000</v>
      </c>
      <c r="L215" s="3">
        <v>50</v>
      </c>
      <c r="M215" s="3">
        <v>4</v>
      </c>
      <c r="N215" s="3">
        <v>3</v>
      </c>
      <c r="O215" s="3">
        <v>25</v>
      </c>
      <c r="P215" s="3">
        <v>0.2</v>
      </c>
      <c r="Q215" s="3">
        <v>1000</v>
      </c>
      <c r="R215" s="3">
        <v>5000</v>
      </c>
      <c r="S215" s="4">
        <f t="shared" si="84"/>
        <v>0.45939999999999998</v>
      </c>
      <c r="T215" s="4">
        <f t="shared" si="103"/>
        <v>0.36249999999999999</v>
      </c>
      <c r="U215" s="4">
        <f t="shared" si="109"/>
        <v>4.003333333333333</v>
      </c>
      <c r="V215" s="4">
        <f>H215/O215</f>
        <v>2.4596</v>
      </c>
      <c r="W215" s="5">
        <f t="shared" si="109"/>
        <v>5.2</v>
      </c>
      <c r="X215" s="4">
        <f t="shared" si="109"/>
        <v>9300</v>
      </c>
      <c r="Y215" s="4">
        <f t="shared" si="109"/>
        <v>2020</v>
      </c>
      <c r="Z215" s="6">
        <f t="shared" si="101"/>
        <v>-0.68904504570496394</v>
      </c>
      <c r="AA215" s="6">
        <f t="shared" si="110"/>
        <v>0.36249999999999999</v>
      </c>
      <c r="AB215" s="6">
        <f t="shared" si="101"/>
        <v>4.0121087634162178</v>
      </c>
      <c r="AC215" s="6">
        <f t="shared" si="101"/>
        <v>2.9543224218630537</v>
      </c>
      <c r="AD215" s="6">
        <f t="shared" si="111"/>
        <v>5.2</v>
      </c>
      <c r="AE215" s="6">
        <f t="shared" si="111"/>
        <v>9300</v>
      </c>
      <c r="AF215" s="6">
        <f t="shared" si="111"/>
        <v>2020</v>
      </c>
      <c r="AG215" s="21">
        <f t="shared" si="104"/>
        <v>1618.8342694485107</v>
      </c>
      <c r="AH215" s="22">
        <f t="shared" si="105"/>
        <v>9300</v>
      </c>
      <c r="AI215" s="23">
        <f t="shared" si="106"/>
        <v>2620624.3919408931</v>
      </c>
      <c r="AJ215" s="23">
        <f t="shared" si="106"/>
        <v>86490000</v>
      </c>
      <c r="AK215" s="24">
        <f t="shared" si="107"/>
        <v>6674.9765689454252</v>
      </c>
      <c r="AL215" s="25" t="str">
        <f t="shared" si="108"/>
        <v>berat</v>
      </c>
    </row>
    <row r="216" spans="1:38" ht="16.5" x14ac:dyDescent="0.3">
      <c r="A216" s="13">
        <v>215</v>
      </c>
      <c r="B216" s="14" t="s">
        <v>25</v>
      </c>
      <c r="C216" s="34" t="s">
        <v>26</v>
      </c>
      <c r="D216" s="16" t="s">
        <v>59</v>
      </c>
      <c r="E216" s="46">
        <v>17.98</v>
      </c>
      <c r="F216" s="36">
        <v>2.65</v>
      </c>
      <c r="G216" s="36">
        <v>29.49</v>
      </c>
      <c r="H216" s="36">
        <v>76.930000000000007</v>
      </c>
      <c r="I216" s="36">
        <v>0.39</v>
      </c>
      <c r="J216" s="29">
        <f>8.7*1000000</f>
        <v>8700000</v>
      </c>
      <c r="K216" s="29">
        <f>8.9*10000000</f>
        <v>89000000</v>
      </c>
      <c r="L216" s="3">
        <v>50</v>
      </c>
      <c r="M216" s="3">
        <v>4</v>
      </c>
      <c r="N216" s="3">
        <v>3</v>
      </c>
      <c r="O216" s="3">
        <v>25</v>
      </c>
      <c r="P216" s="3">
        <v>0.2</v>
      </c>
      <c r="Q216" s="3">
        <v>1000</v>
      </c>
      <c r="R216" s="3">
        <v>5000</v>
      </c>
      <c r="S216" s="4">
        <f t="shared" si="84"/>
        <v>0.35960000000000003</v>
      </c>
      <c r="T216" s="4">
        <f t="shared" si="103"/>
        <v>0.36249999999999999</v>
      </c>
      <c r="U216" s="4">
        <f t="shared" si="109"/>
        <v>9.83</v>
      </c>
      <c r="V216" s="4">
        <f>H216/O216</f>
        <v>3.0772000000000004</v>
      </c>
      <c r="W216" s="5">
        <f t="shared" si="109"/>
        <v>1.95</v>
      </c>
      <c r="X216" s="4">
        <f t="shared" si="109"/>
        <v>8700</v>
      </c>
      <c r="Y216" s="4">
        <f t="shared" si="109"/>
        <v>17800</v>
      </c>
      <c r="Z216" s="6">
        <f t="shared" si="101"/>
        <v>-1.2209015846940443</v>
      </c>
      <c r="AA216" s="6">
        <f t="shared" si="110"/>
        <v>0.36249999999999999</v>
      </c>
      <c r="AB216" s="6">
        <f t="shared" si="101"/>
        <v>5.962767589160678</v>
      </c>
      <c r="AC216" s="6">
        <f>1+(5*(LOG10(H216/O216)))</f>
        <v>3.4407786188285492</v>
      </c>
      <c r="AD216" s="6">
        <f t="shared" si="111"/>
        <v>1.95</v>
      </c>
      <c r="AE216" s="6">
        <f t="shared" si="111"/>
        <v>8700</v>
      </c>
      <c r="AF216" s="6">
        <f t="shared" si="111"/>
        <v>17800</v>
      </c>
      <c r="AG216" s="21">
        <f t="shared" si="104"/>
        <v>3787.2135920890423</v>
      </c>
      <c r="AH216" s="22">
        <f t="shared" si="105"/>
        <v>17800</v>
      </c>
      <c r="AI216" s="23">
        <f t="shared" si="106"/>
        <v>14342986.792103987</v>
      </c>
      <c r="AJ216" s="23">
        <f t="shared" si="106"/>
        <v>316840000</v>
      </c>
      <c r="AK216" s="24">
        <f t="shared" si="107"/>
        <v>12868.235830759864</v>
      </c>
      <c r="AL216" s="25" t="str">
        <f t="shared" si="108"/>
        <v>berat</v>
      </c>
    </row>
    <row r="217" spans="1:38" ht="16.5" x14ac:dyDescent="0.3">
      <c r="A217" s="13">
        <v>216</v>
      </c>
      <c r="B217" s="14" t="s">
        <v>27</v>
      </c>
      <c r="C217" s="34" t="s">
        <v>28</v>
      </c>
      <c r="D217" s="16" t="s">
        <v>59</v>
      </c>
      <c r="E217" s="46">
        <v>19.57</v>
      </c>
      <c r="F217" s="36">
        <v>2.82</v>
      </c>
      <c r="G217" s="36">
        <v>5.45</v>
      </c>
      <c r="H217" s="36">
        <v>18.25</v>
      </c>
      <c r="I217" s="36">
        <v>0.47</v>
      </c>
      <c r="J217" s="29">
        <f>3.1*100000</f>
        <v>310000</v>
      </c>
      <c r="K217" s="29">
        <f>6.5*1000000</f>
        <v>6500000</v>
      </c>
      <c r="L217" s="3">
        <v>50</v>
      </c>
      <c r="M217" s="3">
        <v>4</v>
      </c>
      <c r="N217" s="3">
        <v>3</v>
      </c>
      <c r="O217" s="3">
        <v>25</v>
      </c>
      <c r="P217" s="3">
        <v>0.2</v>
      </c>
      <c r="Q217" s="3">
        <v>1000</v>
      </c>
      <c r="R217" s="3">
        <v>5000</v>
      </c>
      <c r="S217" s="4">
        <f t="shared" si="84"/>
        <v>0.39140000000000003</v>
      </c>
      <c r="T217" s="4">
        <f t="shared" si="103"/>
        <v>0.34833333333333333</v>
      </c>
      <c r="U217" s="4">
        <f t="shared" si="109"/>
        <v>1.8166666666666667</v>
      </c>
      <c r="V217" s="4">
        <f t="shared" si="109"/>
        <v>0.73</v>
      </c>
      <c r="W217" s="5">
        <f t="shared" si="109"/>
        <v>2.3499999999999996</v>
      </c>
      <c r="X217" s="4">
        <f t="shared" si="109"/>
        <v>310</v>
      </c>
      <c r="Y217" s="4">
        <f t="shared" si="109"/>
        <v>1300</v>
      </c>
      <c r="Z217" s="6">
        <f t="shared" si="101"/>
        <v>-1.036895893390088</v>
      </c>
      <c r="AA217" s="6">
        <f t="shared" si="110"/>
        <v>0.34833333333333333</v>
      </c>
      <c r="AB217" s="6">
        <f t="shared" si="101"/>
        <v>2.2963762377848997</v>
      </c>
      <c r="AC217" s="6">
        <f>1+(5*(LOG10(H217/O217)))</f>
        <v>0.31661430060227946</v>
      </c>
      <c r="AD217" s="6">
        <f t="shared" si="111"/>
        <v>2.3499999999999996</v>
      </c>
      <c r="AE217" s="6">
        <f t="shared" si="111"/>
        <v>310</v>
      </c>
      <c r="AF217" s="6">
        <f t="shared" si="111"/>
        <v>1300</v>
      </c>
      <c r="AG217" s="21">
        <f t="shared" si="104"/>
        <v>230.61063256833293</v>
      </c>
      <c r="AH217" s="22">
        <f t="shared" si="105"/>
        <v>1300</v>
      </c>
      <c r="AI217" s="23">
        <f t="shared" si="106"/>
        <v>53181.263853566656</v>
      </c>
      <c r="AJ217" s="23">
        <f t="shared" si="106"/>
        <v>1690000</v>
      </c>
      <c r="AK217" s="24">
        <f t="shared" si="107"/>
        <v>933.59018414226239</v>
      </c>
      <c r="AL217" s="25" t="str">
        <f t="shared" si="108"/>
        <v>berat</v>
      </c>
    </row>
    <row r="218" spans="1:38" ht="16.5" x14ac:dyDescent="0.3">
      <c r="A218" s="13">
        <v>217</v>
      </c>
      <c r="B218" s="14" t="s">
        <v>29</v>
      </c>
      <c r="C218" s="34" t="s">
        <v>30</v>
      </c>
      <c r="D218" s="16" t="s">
        <v>61</v>
      </c>
      <c r="E218" s="46">
        <v>8.66</v>
      </c>
      <c r="F218" s="36">
        <v>1.6</v>
      </c>
      <c r="G218" s="36">
        <v>13.66</v>
      </c>
      <c r="H218" s="36">
        <v>49.19</v>
      </c>
      <c r="I218" s="36">
        <v>0.2</v>
      </c>
      <c r="J218" s="29">
        <f>7*100000</f>
        <v>700000</v>
      </c>
      <c r="K218" s="29">
        <f>3.5*10000000</f>
        <v>35000000</v>
      </c>
      <c r="L218" s="3">
        <v>50</v>
      </c>
      <c r="M218" s="3">
        <v>4</v>
      </c>
      <c r="N218" s="3">
        <v>3</v>
      </c>
      <c r="O218" s="3">
        <v>25</v>
      </c>
      <c r="P218" s="3">
        <v>0.2</v>
      </c>
      <c r="Q218" s="3">
        <v>1000</v>
      </c>
      <c r="R218" s="3">
        <v>5000</v>
      </c>
      <c r="S218" s="4">
        <f t="shared" si="84"/>
        <v>0.17319999999999999</v>
      </c>
      <c r="T218" s="4">
        <f t="shared" si="103"/>
        <v>0.45</v>
      </c>
      <c r="U218" s="4">
        <f t="shared" si="109"/>
        <v>4.5533333333333337</v>
      </c>
      <c r="V218" s="4">
        <f t="shared" si="109"/>
        <v>1.9676</v>
      </c>
      <c r="W218" s="5">
        <f t="shared" si="109"/>
        <v>1</v>
      </c>
      <c r="X218" s="4">
        <f t="shared" si="109"/>
        <v>700</v>
      </c>
      <c r="Y218" s="4">
        <f t="shared" si="109"/>
        <v>7000</v>
      </c>
      <c r="Z218" s="6">
        <f t="shared" si="101"/>
        <v>-2.8072605615933606</v>
      </c>
      <c r="AA218" s="6">
        <f t="shared" si="110"/>
        <v>0.45</v>
      </c>
      <c r="AB218" s="6">
        <f t="shared" si="101"/>
        <v>4.2916472231292566</v>
      </c>
      <c r="AC218" s="6">
        <f t="shared" si="101"/>
        <v>2.4696840694364686</v>
      </c>
      <c r="AD218" s="6">
        <f t="shared" si="111"/>
        <v>1</v>
      </c>
      <c r="AE218" s="6">
        <f t="shared" si="111"/>
        <v>700</v>
      </c>
      <c r="AF218" s="6">
        <f t="shared" si="111"/>
        <v>7000</v>
      </c>
      <c r="AG218" s="21">
        <f t="shared" si="104"/>
        <v>1100.7720101044247</v>
      </c>
      <c r="AH218" s="22">
        <f t="shared" si="105"/>
        <v>7000</v>
      </c>
      <c r="AI218" s="23">
        <f t="shared" si="106"/>
        <v>1211699.0182293355</v>
      </c>
      <c r="AJ218" s="23">
        <f t="shared" si="106"/>
        <v>49000000</v>
      </c>
      <c r="AK218" s="24">
        <f t="shared" si="107"/>
        <v>5010.5737704493149</v>
      </c>
      <c r="AL218" s="25" t="str">
        <f t="shared" si="108"/>
        <v>berat</v>
      </c>
    </row>
    <row r="219" spans="1:38" ht="16.5" x14ac:dyDescent="0.3">
      <c r="A219" s="13">
        <v>218</v>
      </c>
      <c r="B219" s="14" t="s">
        <v>31</v>
      </c>
      <c r="C219" s="34" t="s">
        <v>32</v>
      </c>
      <c r="D219" s="88" t="s">
        <v>60</v>
      </c>
      <c r="E219" s="46">
        <v>28.46</v>
      </c>
      <c r="F219" s="36">
        <v>3.56</v>
      </c>
      <c r="G219" s="36">
        <v>33.770000000000003</v>
      </c>
      <c r="H219" s="36">
        <v>128.62</v>
      </c>
      <c r="I219" s="36">
        <v>1.39</v>
      </c>
      <c r="J219" s="29">
        <f>5.1*1000000</f>
        <v>5100000</v>
      </c>
      <c r="K219" s="29">
        <f>3.7*10000000</f>
        <v>37000000</v>
      </c>
      <c r="L219" s="3">
        <v>50</v>
      </c>
      <c r="M219" s="3">
        <v>4</v>
      </c>
      <c r="N219" s="3">
        <v>3</v>
      </c>
      <c r="O219" s="3">
        <v>25</v>
      </c>
      <c r="P219" s="3">
        <v>0.2</v>
      </c>
      <c r="Q219" s="3">
        <v>1000</v>
      </c>
      <c r="R219" s="3">
        <v>5000</v>
      </c>
      <c r="S219" s="4">
        <f t="shared" si="84"/>
        <v>0.56920000000000004</v>
      </c>
      <c r="T219" s="4">
        <f t="shared" si="103"/>
        <v>0.28666666666666668</v>
      </c>
      <c r="U219" s="4">
        <f t="shared" si="109"/>
        <v>11.256666666666668</v>
      </c>
      <c r="V219" s="4">
        <f t="shared" si="109"/>
        <v>5.1448</v>
      </c>
      <c r="W219" s="5">
        <f t="shared" si="109"/>
        <v>6.9499999999999993</v>
      </c>
      <c r="X219" s="4">
        <f t="shared" si="109"/>
        <v>5100</v>
      </c>
      <c r="Y219" s="4">
        <f t="shared" si="109"/>
        <v>7400</v>
      </c>
      <c r="Z219" s="6">
        <f t="shared" si="101"/>
        <v>-0.22367554293876624</v>
      </c>
      <c r="AA219" s="6">
        <f t="shared" si="110"/>
        <v>0.28666666666666668</v>
      </c>
      <c r="AB219" s="6">
        <f t="shared" si="101"/>
        <v>6.2570490295787451</v>
      </c>
      <c r="AC219" s="6">
        <f t="shared" si="101"/>
        <v>4.5568424828735576</v>
      </c>
      <c r="AD219" s="6">
        <f t="shared" si="111"/>
        <v>6.9499999999999993</v>
      </c>
      <c r="AE219" s="6">
        <f t="shared" si="111"/>
        <v>5100</v>
      </c>
      <c r="AF219" s="6">
        <f t="shared" si="111"/>
        <v>7400</v>
      </c>
      <c r="AG219" s="21">
        <f t="shared" si="104"/>
        <v>1788.26098323374</v>
      </c>
      <c r="AH219" s="22">
        <f t="shared" si="105"/>
        <v>7400</v>
      </c>
      <c r="AI219" s="23">
        <f t="shared" si="106"/>
        <v>3197877.3441561027</v>
      </c>
      <c r="AJ219" s="23">
        <f t="shared" si="106"/>
        <v>54760000</v>
      </c>
      <c r="AK219" s="24">
        <f t="shared" si="107"/>
        <v>5383.2089567541452</v>
      </c>
      <c r="AL219" s="25" t="str">
        <f t="shared" si="108"/>
        <v>berat</v>
      </c>
    </row>
    <row r="220" spans="1:38" ht="16.5" x14ac:dyDescent="0.3">
      <c r="A220" s="13">
        <v>219</v>
      </c>
      <c r="B220" s="14" t="s">
        <v>33</v>
      </c>
      <c r="C220" s="34" t="s">
        <v>34</v>
      </c>
      <c r="D220" s="16" t="s">
        <v>61</v>
      </c>
      <c r="E220" s="46">
        <v>25.97</v>
      </c>
      <c r="F220" s="36">
        <v>1.42</v>
      </c>
      <c r="G220" s="36">
        <v>20.71</v>
      </c>
      <c r="H220" s="36">
        <v>76.86</v>
      </c>
      <c r="I220" s="36">
        <v>0.25</v>
      </c>
      <c r="J220" s="29">
        <f>6.7*1000000</f>
        <v>6700000</v>
      </c>
      <c r="K220" s="29">
        <f>7.8*100000000</f>
        <v>780000000</v>
      </c>
      <c r="L220" s="10">
        <v>50</v>
      </c>
      <c r="M220" s="10">
        <v>4</v>
      </c>
      <c r="N220" s="10">
        <v>3</v>
      </c>
      <c r="O220" s="10">
        <v>25</v>
      </c>
      <c r="P220" s="10">
        <v>0.2</v>
      </c>
      <c r="Q220" s="10">
        <v>1000</v>
      </c>
      <c r="R220" s="10">
        <v>5000</v>
      </c>
      <c r="S220" s="11">
        <f t="shared" si="84"/>
        <v>0.51939999999999997</v>
      </c>
      <c r="T220" s="11">
        <f t="shared" si="103"/>
        <v>0.46500000000000002</v>
      </c>
      <c r="U220" s="11">
        <f t="shared" si="109"/>
        <v>6.9033333333333333</v>
      </c>
      <c r="V220" s="11">
        <f t="shared" si="109"/>
        <v>3.0743999999999998</v>
      </c>
      <c r="W220" s="12">
        <f t="shared" si="109"/>
        <v>1.25</v>
      </c>
      <c r="X220" s="11">
        <f t="shared" si="109"/>
        <v>6700</v>
      </c>
      <c r="Y220" s="11">
        <f t="shared" si="109"/>
        <v>156000</v>
      </c>
      <c r="Z220" s="11">
        <f t="shared" si="101"/>
        <v>-0.42249027353358071</v>
      </c>
      <c r="AA220" s="11">
        <f t="shared" si="110"/>
        <v>0.46500000000000002</v>
      </c>
      <c r="AB220" s="11">
        <f t="shared" si="101"/>
        <v>5.1952942208689512</v>
      </c>
      <c r="AC220" s="11">
        <f t="shared" si="101"/>
        <v>3.4388018572814616</v>
      </c>
      <c r="AD220" s="11">
        <f t="shared" si="111"/>
        <v>1.25</v>
      </c>
      <c r="AE220" s="11">
        <f t="shared" si="111"/>
        <v>6700</v>
      </c>
      <c r="AF220" s="11">
        <f t="shared" si="111"/>
        <v>156000</v>
      </c>
      <c r="AG220" s="30">
        <f t="shared" si="104"/>
        <v>23244.27522940066</v>
      </c>
      <c r="AH220" s="31">
        <f t="shared" si="105"/>
        <v>156000</v>
      </c>
      <c r="AI220" s="32">
        <f t="shared" si="106"/>
        <v>540296330.94012916</v>
      </c>
      <c r="AJ220" s="32">
        <f t="shared" si="106"/>
        <v>24336000000</v>
      </c>
      <c r="AK220" s="33">
        <f t="shared" si="107"/>
        <v>111526.44603622078</v>
      </c>
      <c r="AL220" s="25" t="str">
        <f t="shared" si="108"/>
        <v>berat</v>
      </c>
    </row>
    <row r="221" spans="1:38" ht="16.5" x14ac:dyDescent="0.3">
      <c r="A221" s="13">
        <v>220</v>
      </c>
      <c r="B221" s="14" t="s">
        <v>35</v>
      </c>
      <c r="C221" s="34" t="s">
        <v>36</v>
      </c>
      <c r="D221" s="16" t="s">
        <v>61</v>
      </c>
      <c r="E221" s="46">
        <v>29.96</v>
      </c>
      <c r="F221" s="36">
        <v>1.42</v>
      </c>
      <c r="G221" s="36">
        <v>20.48</v>
      </c>
      <c r="H221" s="36">
        <v>57.61</v>
      </c>
      <c r="I221" s="36">
        <v>0.28999999999999998</v>
      </c>
      <c r="J221" s="29">
        <f>5.25*1000000</f>
        <v>5250000</v>
      </c>
      <c r="K221" s="29">
        <f>7.95*10000000</f>
        <v>79500000</v>
      </c>
      <c r="L221" s="3">
        <v>50</v>
      </c>
      <c r="M221" s="3">
        <v>4</v>
      </c>
      <c r="N221" s="3">
        <v>3</v>
      </c>
      <c r="O221" s="3">
        <v>25</v>
      </c>
      <c r="P221" s="3">
        <v>0.2</v>
      </c>
      <c r="Q221" s="3">
        <v>1000</v>
      </c>
      <c r="R221" s="3">
        <v>5000</v>
      </c>
      <c r="S221" s="4">
        <f t="shared" si="84"/>
        <v>0.59920000000000007</v>
      </c>
      <c r="T221" s="4">
        <f t="shared" si="103"/>
        <v>0.46500000000000002</v>
      </c>
      <c r="U221" s="4">
        <f t="shared" si="109"/>
        <v>6.8266666666666671</v>
      </c>
      <c r="V221" s="4">
        <f t="shared" si="109"/>
        <v>2.3043999999999998</v>
      </c>
      <c r="W221" s="5">
        <f t="shared" si="109"/>
        <v>1.4499999999999997</v>
      </c>
      <c r="X221" s="4">
        <f t="shared" si="109"/>
        <v>5250</v>
      </c>
      <c r="Y221" s="4">
        <f t="shared" si="109"/>
        <v>15900</v>
      </c>
      <c r="Z221" s="6">
        <f t="shared" si="101"/>
        <v>-0.11214097654294952</v>
      </c>
      <c r="AA221" s="6">
        <f t="shared" si="110"/>
        <v>0.46500000000000002</v>
      </c>
      <c r="AB221" s="6">
        <f t="shared" si="101"/>
        <v>5.1710434879206542</v>
      </c>
      <c r="AC221" s="6">
        <f t="shared" si="101"/>
        <v>2.8127893327724451</v>
      </c>
      <c r="AD221" s="6">
        <f t="shared" si="111"/>
        <v>1.4499999999999997</v>
      </c>
      <c r="AE221" s="6">
        <f t="shared" si="111"/>
        <v>5250</v>
      </c>
      <c r="AF221" s="6">
        <f t="shared" si="111"/>
        <v>15900</v>
      </c>
      <c r="AG221" s="21">
        <f t="shared" si="104"/>
        <v>3022.8266702634501</v>
      </c>
      <c r="AH221" s="22">
        <f t="shared" si="105"/>
        <v>15900</v>
      </c>
      <c r="AI221" s="23">
        <f t="shared" si="106"/>
        <v>9137481.0784560163</v>
      </c>
      <c r="AJ221" s="23">
        <f t="shared" si="106"/>
        <v>252810000</v>
      </c>
      <c r="AK221" s="24">
        <f t="shared" si="107"/>
        <v>11444.375934896058</v>
      </c>
      <c r="AL221" s="25" t="str">
        <f t="shared" si="108"/>
        <v>berat</v>
      </c>
    </row>
    <row r="222" spans="1:38" ht="16.5" x14ac:dyDescent="0.3">
      <c r="A222" s="13">
        <v>221</v>
      </c>
      <c r="B222" s="14" t="s">
        <v>37</v>
      </c>
      <c r="C222" s="34" t="s">
        <v>38</v>
      </c>
      <c r="D222" s="88" t="s">
        <v>60</v>
      </c>
      <c r="E222" s="46">
        <v>52.93</v>
      </c>
      <c r="F222" s="36">
        <v>0.49</v>
      </c>
      <c r="G222" s="36">
        <v>35.71</v>
      </c>
      <c r="H222" s="36">
        <v>80.47</v>
      </c>
      <c r="I222" s="36">
        <v>0.59</v>
      </c>
      <c r="J222" s="29">
        <f>3.2*1000000</f>
        <v>3200000</v>
      </c>
      <c r="K222" s="29">
        <f>6.1*10000000</f>
        <v>61000000</v>
      </c>
      <c r="L222" s="3">
        <v>50</v>
      </c>
      <c r="M222" s="3">
        <v>4</v>
      </c>
      <c r="N222" s="3">
        <v>3</v>
      </c>
      <c r="O222" s="3">
        <v>25</v>
      </c>
      <c r="P222" s="3">
        <v>0.2</v>
      </c>
      <c r="Q222" s="3">
        <v>1000</v>
      </c>
      <c r="R222" s="3">
        <v>5000</v>
      </c>
      <c r="S222" s="4">
        <f t="shared" si="84"/>
        <v>1.0586</v>
      </c>
      <c r="T222" s="4">
        <f t="shared" si="103"/>
        <v>0.54249999999999998</v>
      </c>
      <c r="U222" s="4">
        <f t="shared" si="109"/>
        <v>11.903333333333334</v>
      </c>
      <c r="V222" s="4">
        <f t="shared" si="109"/>
        <v>3.2187999999999999</v>
      </c>
      <c r="W222" s="5">
        <f t="shared" si="109"/>
        <v>2.9499999999999997</v>
      </c>
      <c r="X222" s="4">
        <f t="shared" si="109"/>
        <v>3200</v>
      </c>
      <c r="Y222" s="4">
        <f t="shared" si="109"/>
        <v>12200</v>
      </c>
      <c r="Z222" s="6">
        <f t="shared" si="101"/>
        <v>1.1236594482762452</v>
      </c>
      <c r="AA222" s="6">
        <f t="shared" si="110"/>
        <v>0.54249999999999998</v>
      </c>
      <c r="AB222" s="6">
        <f t="shared" si="101"/>
        <v>6.3783429773655982</v>
      </c>
      <c r="AC222" s="6">
        <f t="shared" si="101"/>
        <v>3.5384699632745855</v>
      </c>
      <c r="AD222" s="6">
        <f t="shared" si="111"/>
        <v>2.9499999999999997</v>
      </c>
      <c r="AE222" s="6">
        <f t="shared" si="111"/>
        <v>3200</v>
      </c>
      <c r="AF222" s="6">
        <f t="shared" si="111"/>
        <v>12200</v>
      </c>
      <c r="AG222" s="21">
        <f t="shared" si="104"/>
        <v>2202.0761389127024</v>
      </c>
      <c r="AH222" s="22">
        <f t="shared" si="105"/>
        <v>12200</v>
      </c>
      <c r="AI222" s="23">
        <f t="shared" si="106"/>
        <v>4849139.3215686753</v>
      </c>
      <c r="AJ222" s="23">
        <f t="shared" si="106"/>
        <v>148840000</v>
      </c>
      <c r="AK222" s="24">
        <f t="shared" si="107"/>
        <v>8766.1034479855607</v>
      </c>
      <c r="AL222" s="25" t="str">
        <f t="shared" si="108"/>
        <v>berat</v>
      </c>
    </row>
    <row r="223" spans="1:38" ht="16.5" x14ac:dyDescent="0.3">
      <c r="A223" s="13">
        <v>222</v>
      </c>
      <c r="B223" s="14" t="s">
        <v>39</v>
      </c>
      <c r="C223" s="34" t="s">
        <v>40</v>
      </c>
      <c r="D223" s="88" t="s">
        <v>60</v>
      </c>
      <c r="E223" s="46">
        <v>39.549999999999997</v>
      </c>
      <c r="F223" s="36">
        <v>0.83</v>
      </c>
      <c r="G223" s="36">
        <v>103.25</v>
      </c>
      <c r="H223" s="36">
        <v>180.61</v>
      </c>
      <c r="I223" s="36">
        <v>1.6</v>
      </c>
      <c r="J223" s="29">
        <f>8.4*1000000</f>
        <v>8400000</v>
      </c>
      <c r="K223" s="29">
        <f>7.1*10000000</f>
        <v>71000000</v>
      </c>
      <c r="L223" s="3">
        <v>50</v>
      </c>
      <c r="M223" s="3">
        <v>4</v>
      </c>
      <c r="N223" s="3">
        <v>3</v>
      </c>
      <c r="O223" s="3">
        <v>25</v>
      </c>
      <c r="P223" s="3">
        <v>0.2</v>
      </c>
      <c r="Q223" s="3">
        <v>1000</v>
      </c>
      <c r="R223" s="3">
        <v>5000</v>
      </c>
      <c r="S223" s="4">
        <f t="shared" si="84"/>
        <v>0.79099999999999993</v>
      </c>
      <c r="T223" s="4">
        <f t="shared" si="103"/>
        <v>0.51416666666666666</v>
      </c>
      <c r="U223" s="4">
        <f t="shared" si="109"/>
        <v>34.416666666666664</v>
      </c>
      <c r="V223" s="4">
        <f t="shared" si="109"/>
        <v>7.2244000000000002</v>
      </c>
      <c r="W223" s="5">
        <f t="shared" si="109"/>
        <v>8</v>
      </c>
      <c r="X223" s="4">
        <f t="shared" si="109"/>
        <v>8400</v>
      </c>
      <c r="Y223" s="4">
        <f t="shared" si="109"/>
        <v>14200</v>
      </c>
      <c r="Z223" s="6">
        <f t="shared" si="101"/>
        <v>0.49088241748838257</v>
      </c>
      <c r="AA223" s="6">
        <f t="shared" si="110"/>
        <v>0.51416666666666666</v>
      </c>
      <c r="AB223" s="6">
        <f t="shared" si="101"/>
        <v>8.6838440280438824</v>
      </c>
      <c r="AC223" s="6">
        <f t="shared" si="101"/>
        <v>5.2940089197660871</v>
      </c>
      <c r="AD223" s="6">
        <f t="shared" si="111"/>
        <v>8</v>
      </c>
      <c r="AE223" s="6">
        <f t="shared" si="111"/>
        <v>8400</v>
      </c>
      <c r="AF223" s="6">
        <f t="shared" si="111"/>
        <v>14200</v>
      </c>
      <c r="AG223" s="21">
        <f t="shared" si="104"/>
        <v>3231.854700290281</v>
      </c>
      <c r="AH223" s="22">
        <f t="shared" si="105"/>
        <v>14200</v>
      </c>
      <c r="AI223" s="23">
        <f t="shared" si="106"/>
        <v>10444884.803788383</v>
      </c>
      <c r="AJ223" s="23">
        <f t="shared" si="106"/>
        <v>201640000</v>
      </c>
      <c r="AK223" s="24">
        <f t="shared" si="107"/>
        <v>10297.691119949859</v>
      </c>
      <c r="AL223" s="25" t="str">
        <f t="shared" si="108"/>
        <v>berat</v>
      </c>
    </row>
    <row r="224" spans="1:38" ht="16.5" x14ac:dyDescent="0.3">
      <c r="A224" s="13">
        <v>223</v>
      </c>
      <c r="B224" s="14" t="s">
        <v>41</v>
      </c>
      <c r="C224" s="34" t="s">
        <v>42</v>
      </c>
      <c r="D224" s="16" t="s">
        <v>59</v>
      </c>
      <c r="E224" s="46">
        <v>29.56</v>
      </c>
      <c r="F224" s="36">
        <v>1.1299999999999999</v>
      </c>
      <c r="G224" s="36">
        <v>4.97</v>
      </c>
      <c r="H224" s="36">
        <v>37.75</v>
      </c>
      <c r="I224" s="36">
        <v>0.16</v>
      </c>
      <c r="J224" s="29">
        <f>5.3*1000000</f>
        <v>5300000</v>
      </c>
      <c r="K224" s="29">
        <f>8.1*10000000</f>
        <v>81000000</v>
      </c>
      <c r="L224" s="3">
        <v>50</v>
      </c>
      <c r="M224" s="3">
        <v>4</v>
      </c>
      <c r="N224" s="3">
        <v>3</v>
      </c>
      <c r="O224" s="3">
        <v>25</v>
      </c>
      <c r="P224" s="3">
        <v>0.2</v>
      </c>
      <c r="Q224" s="3">
        <v>1000</v>
      </c>
      <c r="R224" s="3">
        <v>5000</v>
      </c>
      <c r="S224" s="4">
        <f t="shared" ref="S224:S226" si="112">E224/L224</f>
        <v>0.59119999999999995</v>
      </c>
      <c r="T224" s="4">
        <f t="shared" si="103"/>
        <v>0.48916666666666669</v>
      </c>
      <c r="U224" s="4">
        <f t="shared" ref="U224:Y226" si="113">G224/N224</f>
        <v>1.6566666666666665</v>
      </c>
      <c r="V224" s="4">
        <f t="shared" si="113"/>
        <v>1.51</v>
      </c>
      <c r="W224" s="5">
        <f t="shared" si="113"/>
        <v>0.79999999999999993</v>
      </c>
      <c r="X224" s="4">
        <f t="shared" si="113"/>
        <v>5300</v>
      </c>
      <c r="Y224" s="4">
        <f t="shared" si="113"/>
        <v>16200</v>
      </c>
      <c r="Z224" s="6">
        <f t="shared" si="101"/>
        <v>-0.14132787306615358</v>
      </c>
      <c r="AA224" s="6">
        <f t="shared" si="110"/>
        <v>0.48916666666666669</v>
      </c>
      <c r="AB224" s="6">
        <f t="shared" si="101"/>
        <v>2.096175670068348</v>
      </c>
      <c r="AC224" s="6">
        <f t="shared" si="101"/>
        <v>1.8948847364658472</v>
      </c>
      <c r="AD224" s="6">
        <f t="shared" si="111"/>
        <v>0.79999999999999993</v>
      </c>
      <c r="AE224" s="6">
        <f t="shared" si="111"/>
        <v>5300</v>
      </c>
      <c r="AF224" s="6">
        <f t="shared" si="111"/>
        <v>16200</v>
      </c>
      <c r="AG224" s="21">
        <f t="shared" si="104"/>
        <v>3072.1626998857332</v>
      </c>
      <c r="AH224" s="22">
        <f t="shared" si="105"/>
        <v>16200</v>
      </c>
      <c r="AI224" s="23">
        <f t="shared" si="106"/>
        <v>9438183.6545691974</v>
      </c>
      <c r="AJ224" s="23">
        <f t="shared" si="106"/>
        <v>262440000</v>
      </c>
      <c r="AK224" s="24">
        <f t="shared" si="107"/>
        <v>11659.292080880579</v>
      </c>
      <c r="AL224" s="25" t="str">
        <f t="shared" si="108"/>
        <v>berat</v>
      </c>
    </row>
    <row r="225" spans="1:38" ht="16.5" x14ac:dyDescent="0.3">
      <c r="A225" s="13">
        <v>224</v>
      </c>
      <c r="B225" s="14" t="s">
        <v>43</v>
      </c>
      <c r="C225" s="34" t="s">
        <v>44</v>
      </c>
      <c r="D225" s="88" t="s">
        <v>60</v>
      </c>
      <c r="E225" s="46">
        <v>35.950000000000003</v>
      </c>
      <c r="F225" s="36">
        <v>0.66</v>
      </c>
      <c r="G225" s="36">
        <v>37.409999999999997</v>
      </c>
      <c r="H225" s="36">
        <v>94.55</v>
      </c>
      <c r="I225" s="36">
        <v>0.33</v>
      </c>
      <c r="J225" s="29">
        <f>3.2*1000000</f>
        <v>3200000</v>
      </c>
      <c r="K225" s="29">
        <f>4.4*10000000</f>
        <v>44000000</v>
      </c>
      <c r="L225" s="3">
        <v>50</v>
      </c>
      <c r="M225" s="3">
        <v>4</v>
      </c>
      <c r="N225" s="3">
        <v>3</v>
      </c>
      <c r="O225" s="3">
        <v>25</v>
      </c>
      <c r="P225" s="3">
        <v>0.2</v>
      </c>
      <c r="Q225" s="3">
        <v>1000</v>
      </c>
      <c r="R225" s="3">
        <v>5000</v>
      </c>
      <c r="S225" s="4">
        <f t="shared" si="112"/>
        <v>0.71900000000000008</v>
      </c>
      <c r="T225" s="4">
        <f t="shared" si="103"/>
        <v>0.52833333333333332</v>
      </c>
      <c r="U225" s="4">
        <f t="shared" si="113"/>
        <v>12.469999999999999</v>
      </c>
      <c r="V225" s="4">
        <f t="shared" si="113"/>
        <v>3.782</v>
      </c>
      <c r="W225" s="5">
        <f t="shared" si="113"/>
        <v>1.65</v>
      </c>
      <c r="X225" s="4">
        <f t="shared" si="113"/>
        <v>3200</v>
      </c>
      <c r="Y225" s="4">
        <f t="shared" si="113"/>
        <v>8800</v>
      </c>
      <c r="Z225" s="6">
        <f t="shared" si="101"/>
        <v>0.28364445191441334</v>
      </c>
      <c r="AA225" s="6">
        <f t="shared" si="110"/>
        <v>0.52833333333333332</v>
      </c>
      <c r="AB225" s="6">
        <f t="shared" si="101"/>
        <v>6.4793322673927127</v>
      </c>
      <c r="AC225" s="6">
        <f t="shared" si="101"/>
        <v>3.8886076225451047</v>
      </c>
      <c r="AD225" s="6">
        <f t="shared" si="111"/>
        <v>1.65</v>
      </c>
      <c r="AE225" s="6">
        <f t="shared" si="111"/>
        <v>3200</v>
      </c>
      <c r="AF225" s="6">
        <f t="shared" si="111"/>
        <v>8800</v>
      </c>
      <c r="AG225" s="21">
        <f t="shared" si="104"/>
        <v>1716.1185596678838</v>
      </c>
      <c r="AH225" s="22">
        <f t="shared" si="105"/>
        <v>8800</v>
      </c>
      <c r="AI225" s="23">
        <f t="shared" si="106"/>
        <v>2945062.9108365718</v>
      </c>
      <c r="AJ225" s="23">
        <f t="shared" si="106"/>
        <v>77440000</v>
      </c>
      <c r="AK225" s="24">
        <f t="shared" si="107"/>
        <v>6339.7579965972118</v>
      </c>
      <c r="AL225" s="25" t="str">
        <f t="shared" si="108"/>
        <v>berat</v>
      </c>
    </row>
    <row r="226" spans="1:38" ht="16.5" x14ac:dyDescent="0.3">
      <c r="A226" s="13">
        <v>225</v>
      </c>
      <c r="B226" s="14" t="s">
        <v>45</v>
      </c>
      <c r="C226" s="34" t="s">
        <v>48</v>
      </c>
      <c r="D226" s="16" t="s">
        <v>60</v>
      </c>
      <c r="E226" s="46">
        <v>35.29</v>
      </c>
      <c r="F226" s="36">
        <v>0.65</v>
      </c>
      <c r="G226" s="36">
        <v>42.03</v>
      </c>
      <c r="H226" s="36">
        <v>80.91</v>
      </c>
      <c r="I226" s="36">
        <v>0.81</v>
      </c>
      <c r="J226" s="29">
        <f>4.3*1000000</f>
        <v>4300000</v>
      </c>
      <c r="K226" s="29">
        <f>4.1*10000000</f>
        <v>41000000</v>
      </c>
      <c r="L226" s="3">
        <v>50</v>
      </c>
      <c r="M226" s="3">
        <v>4</v>
      </c>
      <c r="N226" s="3">
        <v>3</v>
      </c>
      <c r="O226" s="3">
        <v>25</v>
      </c>
      <c r="P226" s="3">
        <v>0.2</v>
      </c>
      <c r="Q226" s="3">
        <v>1000</v>
      </c>
      <c r="R226" s="3">
        <v>5000</v>
      </c>
      <c r="S226" s="4">
        <f t="shared" si="112"/>
        <v>0.70579999999999998</v>
      </c>
      <c r="T226" s="4">
        <f t="shared" si="103"/>
        <v>0.52916666666666667</v>
      </c>
      <c r="U226" s="4">
        <f t="shared" si="113"/>
        <v>14.01</v>
      </c>
      <c r="V226" s="4">
        <f t="shared" si="113"/>
        <v>3.2363999999999997</v>
      </c>
      <c r="W226" s="5">
        <f t="shared" si="113"/>
        <v>4.05</v>
      </c>
      <c r="X226" s="4">
        <f t="shared" si="113"/>
        <v>4300</v>
      </c>
      <c r="Y226" s="4">
        <f t="shared" si="113"/>
        <v>8200</v>
      </c>
      <c r="Z226" s="6">
        <f t="shared" si="101"/>
        <v>0.24340827011975186</v>
      </c>
      <c r="AA226" s="6">
        <f t="shared" si="110"/>
        <v>0.52916666666666667</v>
      </c>
      <c r="AB226" s="6">
        <f t="shared" si="101"/>
        <v>6.732190676428873</v>
      </c>
      <c r="AC226" s="6">
        <f t="shared" si="101"/>
        <v>3.5503109625025799</v>
      </c>
      <c r="AD226" s="6">
        <f t="shared" si="111"/>
        <v>4.05</v>
      </c>
      <c r="AE226" s="6">
        <f t="shared" si="111"/>
        <v>4300</v>
      </c>
      <c r="AF226" s="6">
        <f t="shared" si="111"/>
        <v>8200</v>
      </c>
      <c r="AG226" s="21">
        <f t="shared" si="104"/>
        <v>1787.8721537965309</v>
      </c>
      <c r="AH226" s="22">
        <f t="shared" si="105"/>
        <v>8200</v>
      </c>
      <c r="AI226" s="23">
        <f t="shared" si="106"/>
        <v>3196486.8383210464</v>
      </c>
      <c r="AJ226" s="23">
        <f t="shared" si="106"/>
        <v>67240000</v>
      </c>
      <c r="AK226" s="24">
        <f t="shared" si="107"/>
        <v>5934.4960543554598</v>
      </c>
      <c r="AL226" s="25" t="str">
        <f t="shared" si="108"/>
        <v>berat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Gunawan</dc:creator>
  <cp:lastModifiedBy>Erick Gunawan</cp:lastModifiedBy>
  <dcterms:created xsi:type="dcterms:W3CDTF">2025-05-21T04:04:21Z</dcterms:created>
  <dcterms:modified xsi:type="dcterms:W3CDTF">2025-05-21T04:10:13Z</dcterms:modified>
</cp:coreProperties>
</file>