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4/data/"/>
    </mc:Choice>
  </mc:AlternateContent>
  <xr:revisionPtr revIDLastSave="0" documentId="13_ncr:1_{77A90CFF-CF40-7642-BC24-D8AA34ABAA8C}" xr6:coauthVersionLast="47" xr6:coauthVersionMax="47" xr10:uidLastSave="{00000000-0000-0000-0000-000000000000}"/>
  <bookViews>
    <workbookView xWindow="0" yWindow="760" windowWidth="29040" windowHeight="15720" xr2:uid="{ED75ABB6-2E73-4136-9507-EBE78931EF6C}"/>
  </bookViews>
  <sheets>
    <sheet name="measurements" sheetId="1" r:id="rId1"/>
    <sheet name="absorption coefficient" sheetId="2" r:id="rId2"/>
    <sheet name="FORMUL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/>
  <c r="C23" i="1"/>
  <c r="K23" i="1" s="1"/>
  <c r="B4" i="2"/>
  <c r="L23" i="1"/>
  <c r="J23" i="1"/>
  <c r="I23" i="1"/>
  <c r="M23" i="1" l="1"/>
  <c r="O23" i="1" s="1"/>
  <c r="Q23" i="1" s="1"/>
  <c r="P23" i="1"/>
  <c r="N23" i="1"/>
  <c r="R23" i="1" l="1"/>
  <c r="I20" i="1"/>
  <c r="J20" i="1"/>
  <c r="K20" i="1"/>
  <c r="L20" i="1"/>
  <c r="M20" i="1"/>
  <c r="O20" i="1" s="1"/>
  <c r="Q20" i="1" s="1"/>
  <c r="V20" i="1" s="1"/>
  <c r="N20" i="1"/>
  <c r="L15" i="1"/>
  <c r="K15" i="1"/>
  <c r="J15" i="1"/>
  <c r="I15" i="1"/>
  <c r="L17" i="1"/>
  <c r="K17" i="1"/>
  <c r="J17" i="1"/>
  <c r="I17" i="1"/>
  <c r="I19" i="1"/>
  <c r="J19" i="1"/>
  <c r="K19" i="1"/>
  <c r="L19" i="1"/>
  <c r="I18" i="1"/>
  <c r="J18" i="1"/>
  <c r="K18" i="1"/>
  <c r="L18" i="1"/>
  <c r="L16" i="1"/>
  <c r="K16" i="1"/>
  <c r="J16" i="1"/>
  <c r="I16" i="1"/>
  <c r="L9" i="1"/>
  <c r="K9" i="1"/>
  <c r="J9" i="1"/>
  <c r="I9" i="1"/>
  <c r="L11" i="1"/>
  <c r="K11" i="1"/>
  <c r="J11" i="1"/>
  <c r="I11" i="1"/>
  <c r="L10" i="1"/>
  <c r="K10" i="1"/>
  <c r="J10" i="1"/>
  <c r="I10" i="1"/>
  <c r="L8" i="1"/>
  <c r="K8" i="1"/>
  <c r="J8" i="1"/>
  <c r="I8" i="1"/>
  <c r="L2" i="1"/>
  <c r="K2" i="1"/>
  <c r="J2" i="1"/>
  <c r="I2" i="1"/>
  <c r="L14" i="1"/>
  <c r="K14" i="1"/>
  <c r="J14" i="1"/>
  <c r="I14" i="1"/>
  <c r="I3" i="1"/>
  <c r="J3" i="1"/>
  <c r="K3" i="1"/>
  <c r="L3" i="1"/>
  <c r="I5" i="1"/>
  <c r="J5" i="1"/>
  <c r="K5" i="1"/>
  <c r="L5" i="1"/>
  <c r="I6" i="1"/>
  <c r="J6" i="1"/>
  <c r="K6" i="1"/>
  <c r="L6" i="1"/>
  <c r="P2" i="5"/>
  <c r="N2" i="5"/>
  <c r="O2" i="5" s="1"/>
  <c r="M2" i="5"/>
  <c r="L7" i="1"/>
  <c r="K7" i="1"/>
  <c r="J7" i="1"/>
  <c r="I7" i="1"/>
  <c r="I4" i="1"/>
  <c r="J4" i="1"/>
  <c r="K4" i="1"/>
  <c r="L4" i="1"/>
  <c r="P20" i="1" l="1"/>
  <c r="R20" i="1"/>
  <c r="W20" i="1" s="1"/>
  <c r="P15" i="1"/>
  <c r="M15" i="1"/>
  <c r="N15" i="1" s="1"/>
  <c r="P17" i="1"/>
  <c r="M17" i="1"/>
  <c r="O17" i="1" s="1"/>
  <c r="Q17" i="1" s="1"/>
  <c r="V17" i="1" s="1"/>
  <c r="M19" i="1"/>
  <c r="O19" i="1" s="1"/>
  <c r="Q19" i="1" s="1"/>
  <c r="V19" i="1" s="1"/>
  <c r="P19" i="1"/>
  <c r="M18" i="1"/>
  <c r="O18" i="1" s="1"/>
  <c r="Q18" i="1" s="1"/>
  <c r="V18" i="1" s="1"/>
  <c r="P18" i="1"/>
  <c r="P16" i="1"/>
  <c r="M16" i="1"/>
  <c r="N16" i="1" s="1"/>
  <c r="M11" i="1"/>
  <c r="O11" i="1" s="1"/>
  <c r="Q11" i="1" s="1"/>
  <c r="V11" i="1" s="1"/>
  <c r="P9" i="1"/>
  <c r="M9" i="1"/>
  <c r="O9" i="1" s="1"/>
  <c r="Q9" i="1" s="1"/>
  <c r="V9" i="1" s="1"/>
  <c r="P11" i="1"/>
  <c r="M10" i="1"/>
  <c r="O10" i="1" s="1"/>
  <c r="Q10" i="1" s="1"/>
  <c r="V10" i="1" s="1"/>
  <c r="M3" i="1"/>
  <c r="N3" i="1" s="1"/>
  <c r="P8" i="1"/>
  <c r="M8" i="1"/>
  <c r="O8" i="1" s="1"/>
  <c r="Q8" i="1" s="1"/>
  <c r="V8" i="1" s="1"/>
  <c r="P10" i="1"/>
  <c r="M2" i="1"/>
  <c r="O2" i="1" s="1"/>
  <c r="Q2" i="1" s="1"/>
  <c r="V2" i="1" s="1"/>
  <c r="P2" i="1"/>
  <c r="P3" i="1"/>
  <c r="M5" i="1"/>
  <c r="O5" i="1" s="1"/>
  <c r="Q5" i="1" s="1"/>
  <c r="V5" i="1" s="1"/>
  <c r="M14" i="1"/>
  <c r="O14" i="1" s="1"/>
  <c r="Q14" i="1" s="1"/>
  <c r="V14" i="1" s="1"/>
  <c r="P14" i="1"/>
  <c r="P5" i="1"/>
  <c r="P6" i="1"/>
  <c r="M6" i="1"/>
  <c r="N6" i="1" s="1"/>
  <c r="Q2" i="5"/>
  <c r="P7" i="1"/>
  <c r="M7" i="1"/>
  <c r="O7" i="1" s="1"/>
  <c r="Q7" i="1" s="1"/>
  <c r="V7" i="1" s="1"/>
  <c r="M4" i="1"/>
  <c r="N4" i="1" s="1"/>
  <c r="P4" i="1"/>
  <c r="O15" i="1" l="1"/>
  <c r="Q15" i="1" s="1"/>
  <c r="R17" i="1"/>
  <c r="W17" i="1" s="1"/>
  <c r="R19" i="1"/>
  <c r="W19" i="1" s="1"/>
  <c r="N17" i="1"/>
  <c r="N19" i="1"/>
  <c r="N18" i="1"/>
  <c r="R18" i="1"/>
  <c r="W18" i="1" s="1"/>
  <c r="O16" i="1"/>
  <c r="Q16" i="1" s="1"/>
  <c r="R9" i="1"/>
  <c r="W9" i="1" s="1"/>
  <c r="R11" i="1"/>
  <c r="W11" i="1" s="1"/>
  <c r="N9" i="1"/>
  <c r="R10" i="1"/>
  <c r="W10" i="1" s="1"/>
  <c r="N11" i="1"/>
  <c r="N8" i="1"/>
  <c r="R8" i="1"/>
  <c r="W8" i="1" s="1"/>
  <c r="N10" i="1"/>
  <c r="N2" i="1"/>
  <c r="O3" i="1"/>
  <c r="Q3" i="1" s="1"/>
  <c r="R7" i="1"/>
  <c r="W7" i="1" s="1"/>
  <c r="R14" i="1"/>
  <c r="W14" i="1" s="1"/>
  <c r="R5" i="1"/>
  <c r="W5" i="1" s="1"/>
  <c r="N5" i="1"/>
  <c r="R2" i="1"/>
  <c r="W2" i="1" s="1"/>
  <c r="O6" i="1"/>
  <c r="Q6" i="1" s="1"/>
  <c r="N14" i="1"/>
  <c r="N7" i="1"/>
  <c r="O4" i="1"/>
  <c r="Q4" i="1" s="1"/>
  <c r="L12" i="1"/>
  <c r="L13" i="1"/>
  <c r="K12" i="1"/>
  <c r="K13" i="1"/>
  <c r="J12" i="1"/>
  <c r="J13" i="1"/>
  <c r="I12" i="1"/>
  <c r="I13" i="1"/>
  <c r="K3" i="2"/>
  <c r="R16" i="1" l="1"/>
  <c r="W16" i="1" s="1"/>
  <c r="V16" i="1"/>
  <c r="R6" i="1"/>
  <c r="W6" i="1" s="1"/>
  <c r="V6" i="1"/>
  <c r="R3" i="1"/>
  <c r="W3" i="1" s="1"/>
  <c r="V3" i="1"/>
  <c r="R15" i="1"/>
  <c r="W15" i="1" s="1"/>
  <c r="V15" i="1"/>
  <c r="R4" i="1"/>
  <c r="W4" i="1" s="1"/>
  <c r="V4" i="1"/>
  <c r="M12" i="1"/>
  <c r="O12" i="1" s="1"/>
  <c r="Q12" i="1" s="1"/>
  <c r="V12" i="1" s="1"/>
  <c r="P12" i="1"/>
  <c r="P13" i="1"/>
  <c r="M13" i="1"/>
  <c r="O13" i="1" s="1"/>
  <c r="Q13" i="1" s="1"/>
  <c r="V13" i="1" s="1"/>
  <c r="R12" i="1" l="1"/>
  <c r="W12" i="1" s="1"/>
  <c r="R13" i="1"/>
  <c r="W13" i="1" s="1"/>
  <c r="N12" i="1"/>
  <c r="N13" i="1"/>
</calcChain>
</file>

<file path=xl/sharedStrings.xml><?xml version="1.0" encoding="utf-8"?>
<sst xmlns="http://schemas.openxmlformats.org/spreadsheetml/2006/main" count="81" uniqueCount="47">
  <si>
    <t>Clean slide signal (V)</t>
  </si>
  <si>
    <t>Coated slide signal (V)</t>
  </si>
  <si>
    <t>T</t>
  </si>
  <si>
    <t>A</t>
  </si>
  <si>
    <t>Clean slide Error (V)</t>
  </si>
  <si>
    <t>Coated slide error (V)</t>
  </si>
  <si>
    <t>Laser test ID</t>
  </si>
  <si>
    <t>R4N157</t>
  </si>
  <si>
    <t>Sample ID</t>
  </si>
  <si>
    <t>Background (V)</t>
  </si>
  <si>
    <t>Background error (V)</t>
  </si>
  <si>
    <t>Wavelength (nm)</t>
  </si>
  <si>
    <t>Absorption coefficient (1/cm)</t>
  </si>
  <si>
    <t>Thickness (nm)</t>
  </si>
  <si>
    <t>um</t>
  </si>
  <si>
    <t>m</t>
  </si>
  <si>
    <t>cm</t>
  </si>
  <si>
    <t>Thickness error (nm)</t>
  </si>
  <si>
    <t>Abs err</t>
  </si>
  <si>
    <t>Absorption coefficient error (1/cm)</t>
  </si>
  <si>
    <t>Aabs</t>
  </si>
  <si>
    <t>I (V)</t>
  </si>
  <si>
    <t>I0 (V)</t>
  </si>
  <si>
    <t>I err (V)</t>
  </si>
  <si>
    <t>I0 err (V)</t>
  </si>
  <si>
    <t>MEAN</t>
  </si>
  <si>
    <t>N</t>
  </si>
  <si>
    <t>TSTUDENT</t>
  </si>
  <si>
    <t>STD</t>
  </si>
  <si>
    <t>SE</t>
  </si>
  <si>
    <t>R4N159</t>
  </si>
  <si>
    <t>R4N132</t>
  </si>
  <si>
    <t>R4N155</t>
  </si>
  <si>
    <t>R4N131</t>
  </si>
  <si>
    <t>Laser power setting (%)</t>
  </si>
  <si>
    <t>Laser emission time (s)</t>
  </si>
  <si>
    <t>Filler</t>
  </si>
  <si>
    <t>graphite</t>
  </si>
  <si>
    <t>boron</t>
  </si>
  <si>
    <t>Deposition rate (nm/s)</t>
  </si>
  <si>
    <t>Deposition rate error (nm/s)</t>
  </si>
  <si>
    <t>Recession rate (cm/s)</t>
  </si>
  <si>
    <t>Recession rate error (cm/s)</t>
  </si>
  <si>
    <t>Sample diameter (cm)</t>
  </si>
  <si>
    <t>Sample diameter error (cm)</t>
  </si>
  <si>
    <t>in_report</t>
  </si>
  <si>
    <t>R3N41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</si>
</sst>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D066-04B8-431D-9940-C182B0E8F5EB}">
  <dimension ref="A1:AB23"/>
  <sheetViews>
    <sheetView tabSelected="1" topLeftCell="H1" workbookViewId="0">
      <pane ySplit="1" topLeftCell="A2" activePane="bottomLeft" state="frozen"/>
      <selection pane="bottomLeft" activeCell="V24" sqref="V24"/>
    </sheetView>
  </sheetViews>
  <sheetFormatPr baseColWidth="10" defaultColWidth="8.83203125" defaultRowHeight="15" x14ac:dyDescent="0.2"/>
  <cols>
    <col min="1" max="1" width="10.33203125" customWidth="1"/>
    <col min="2" max="2" width="9.6640625" customWidth="1"/>
    <col min="7" max="7" width="12.5" customWidth="1"/>
    <col min="8" max="8" width="12" customWidth="1"/>
    <col min="9" max="9" width="6.6640625" customWidth="1"/>
    <col min="10" max="11" width="8.33203125" customWidth="1"/>
    <col min="12" max="12" width="9.83203125" customWidth="1"/>
    <col min="16" max="16" width="8.33203125" customWidth="1"/>
    <col min="17" max="17" width="11.83203125" customWidth="1"/>
    <col min="18" max="18" width="10.33203125" customWidth="1"/>
    <col min="19" max="19" width="10.83203125" customWidth="1"/>
    <col min="22" max="22" width="10.83203125" customWidth="1"/>
    <col min="23" max="23" width="10.6640625" customWidth="1"/>
    <col min="24" max="24" width="10.5" customWidth="1"/>
    <col min="25" max="25" width="10.6640625" customWidth="1"/>
  </cols>
  <sheetData>
    <row r="1" spans="1:28" s="2" customFormat="1" ht="49" thickBot="1" x14ac:dyDescent="0.25">
      <c r="A1" s="2" t="s">
        <v>8</v>
      </c>
      <c r="B1" s="2" t="s">
        <v>6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9</v>
      </c>
      <c r="H1" s="1" t="s">
        <v>10</v>
      </c>
      <c r="I1" s="1" t="s">
        <v>21</v>
      </c>
      <c r="J1" s="1" t="s">
        <v>23</v>
      </c>
      <c r="K1" s="1" t="s">
        <v>22</v>
      </c>
      <c r="L1" s="1" t="s">
        <v>24</v>
      </c>
      <c r="M1" s="1" t="s">
        <v>2</v>
      </c>
      <c r="N1" s="1" t="s">
        <v>3</v>
      </c>
      <c r="O1" s="4" t="s">
        <v>20</v>
      </c>
      <c r="P1" s="4" t="s">
        <v>18</v>
      </c>
      <c r="Q1" s="2" t="s">
        <v>13</v>
      </c>
      <c r="R1" s="2" t="s">
        <v>17</v>
      </c>
      <c r="S1" s="2" t="s">
        <v>34</v>
      </c>
      <c r="T1" s="2" t="s">
        <v>35</v>
      </c>
      <c r="U1" s="2" t="s">
        <v>36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</row>
    <row r="2" spans="1:28" s="2" customFormat="1" ht="16" x14ac:dyDescent="0.2">
      <c r="A2" s="6" t="s">
        <v>33</v>
      </c>
      <c r="B2" s="6">
        <v>557</v>
      </c>
      <c r="C2" s="7">
        <v>0.40881165932073538</v>
      </c>
      <c r="D2" s="7">
        <v>4.0963914710109694E-6</v>
      </c>
      <c r="E2" s="7">
        <v>0.29066854720004826</v>
      </c>
      <c r="F2" s="7">
        <v>2.7908430165191166E-6</v>
      </c>
      <c r="G2">
        <v>1.6799999999999999E-4</v>
      </c>
      <c r="H2" s="3">
        <v>9.2443000000000003E-8</v>
      </c>
      <c r="I2">
        <f>E2-G2</f>
        <v>0.29050054720004825</v>
      </c>
      <c r="J2">
        <f>SQRT(SUMSQ(F2,H2))</f>
        <v>2.7923736231211112E-6</v>
      </c>
      <c r="K2">
        <f>C2-G2</f>
        <v>0.40864365932073538</v>
      </c>
      <c r="L2">
        <f>SQRT(SUMSQ(D2,H2))</f>
        <v>4.097434415829058E-6</v>
      </c>
      <c r="M2">
        <f>I2/K2</f>
        <v>0.71088964816664579</v>
      </c>
      <c r="N2">
        <f>1-M2</f>
        <v>0.28911035183335421</v>
      </c>
      <c r="O2">
        <f>-LOG(M2)</f>
        <v>0.14819780983539485</v>
      </c>
      <c r="P2">
        <f>SQRT(SUMSQ(J2/I2,L2/K2))</f>
        <v>1.3890103621672987E-5</v>
      </c>
      <c r="Q2">
        <f>ROUND(O2*10000000/'absorption coefficient'!$B$2,2)</f>
        <v>30.18</v>
      </c>
      <c r="R2">
        <f>ROUND(ABS(Q2)*SQRT(SUMSQ(P2/O2,'absorption coefficient'!$B$3/'absorption coefficient'!$B$2)),3)</f>
        <v>9.0359999999999996</v>
      </c>
      <c r="S2" s="6">
        <v>100</v>
      </c>
      <c r="T2" s="6">
        <v>0.3</v>
      </c>
      <c r="U2" s="6" t="s">
        <v>37</v>
      </c>
      <c r="V2" s="6">
        <f>ROUND(Q2/T2,2)</f>
        <v>100.6</v>
      </c>
      <c r="W2" s="6">
        <f>ROUND(ABS(R2/T2),2)</f>
        <v>30.12</v>
      </c>
      <c r="X2" s="6">
        <v>0.79749999999999999</v>
      </c>
      <c r="Y2" s="6">
        <v>5.2299999999999999E-2</v>
      </c>
      <c r="Z2" s="6">
        <v>1.0149999999999999</v>
      </c>
      <c r="AA2" s="6">
        <v>0.05</v>
      </c>
      <c r="AB2" s="6">
        <v>1</v>
      </c>
    </row>
    <row r="3" spans="1:28" s="6" customFormat="1" ht="16" x14ac:dyDescent="0.2">
      <c r="A3" s="6" t="s">
        <v>33</v>
      </c>
      <c r="B3" s="6">
        <v>558</v>
      </c>
      <c r="C3" s="7">
        <v>0.40464860100002953</v>
      </c>
      <c r="D3" s="7">
        <v>2.4127039649140411E-6</v>
      </c>
      <c r="E3" s="7">
        <v>0.40092155372551991</v>
      </c>
      <c r="F3" s="7">
        <v>2.494811670786534E-6</v>
      </c>
      <c r="G3">
        <v>1.6799999999999999E-4</v>
      </c>
      <c r="H3" s="3">
        <v>9.2443000000000003E-8</v>
      </c>
      <c r="I3">
        <f>E3-G3</f>
        <v>0.40075355372551991</v>
      </c>
      <c r="J3">
        <f>SQRT(SUMSQ(F3,H3))</f>
        <v>2.4965237793663609E-6</v>
      </c>
      <c r="K3">
        <f>C3-G3</f>
        <v>0.40448060100002953</v>
      </c>
      <c r="L3">
        <f>SQRT(SUMSQ(D3,H3))</f>
        <v>2.4144742969352424E-6</v>
      </c>
      <c r="M3">
        <f>I3/K3</f>
        <v>0.99078559697227764</v>
      </c>
      <c r="N3">
        <f>1-M3</f>
        <v>9.2144030277223621E-3</v>
      </c>
      <c r="O3">
        <f>-LOG(M3)</f>
        <v>4.0203153693332732E-3</v>
      </c>
      <c r="P3">
        <f>SQRT(SUMSQ(J3/I3,L3/K3))</f>
        <v>8.6278835035034069E-6</v>
      </c>
      <c r="Q3">
        <f>ROUND(O3*10000000/'absorption coefficient'!$B$2,2)</f>
        <v>0.82</v>
      </c>
      <c r="R3">
        <f>ROUND(ABS(Q3)*SQRT(SUMSQ(P3/O3,'absorption coefficient'!$B$3/'absorption coefficient'!$B$2)),3)</f>
        <v>0.246</v>
      </c>
      <c r="S3" s="6">
        <v>100</v>
      </c>
      <c r="T3" s="6">
        <v>0.25</v>
      </c>
      <c r="U3" s="6" t="s">
        <v>37</v>
      </c>
      <c r="V3" s="6">
        <f t="shared" ref="V3:V20" si="0">ROUND(Q3/T3,2)</f>
        <v>3.28</v>
      </c>
      <c r="W3" s="6">
        <f t="shared" ref="W3:W20" si="1">ROUND(ABS(R3/T3),2)</f>
        <v>0.98</v>
      </c>
      <c r="X3" s="6">
        <v>0.95699999999999996</v>
      </c>
      <c r="Y3" s="6">
        <v>6.2700000000000006E-2</v>
      </c>
      <c r="Z3" s="6">
        <v>1.0149999999999999</v>
      </c>
      <c r="AA3" s="6">
        <v>0.05</v>
      </c>
      <c r="AB3" s="6">
        <v>1</v>
      </c>
    </row>
    <row r="4" spans="1:28" ht="16" x14ac:dyDescent="0.2">
      <c r="A4" t="s">
        <v>32</v>
      </c>
      <c r="B4">
        <v>559</v>
      </c>
      <c r="C4">
        <v>0.40096856462744679</v>
      </c>
      <c r="D4">
        <v>2.2030973464085228E-6</v>
      </c>
      <c r="E4">
        <v>0.33358121713208894</v>
      </c>
      <c r="F4">
        <v>3.6993765044624279E-6</v>
      </c>
      <c r="G4">
        <v>1.6799999999999999E-4</v>
      </c>
      <c r="H4" s="3">
        <v>9.2443000000000003E-8</v>
      </c>
      <c r="I4">
        <f>E4-G4</f>
        <v>0.33341321713208893</v>
      </c>
      <c r="J4">
        <f>SQRT(SUMSQ(F4,H4))</f>
        <v>3.7005313442825547E-6</v>
      </c>
      <c r="K4">
        <f>C4-G4</f>
        <v>0.40080056462744679</v>
      </c>
      <c r="L4">
        <f>SQRT(SUMSQ(D4,H4))</f>
        <v>2.2050359693214244E-6</v>
      </c>
      <c r="M4">
        <f>I4/K4</f>
        <v>0.83186813232662005</v>
      </c>
      <c r="N4">
        <f>1-M4</f>
        <v>0.16813186767337995</v>
      </c>
      <c r="O4">
        <f>-LOG(M4)</f>
        <v>7.9945512581657316E-2</v>
      </c>
      <c r="P4">
        <f>SQRT(SUMSQ(J4/I4,L4/K4))</f>
        <v>1.2387643477510169E-5</v>
      </c>
      <c r="Q4">
        <f>ROUND(O4*10000000/'absorption coefficient'!$B$2,2)</f>
        <v>16.28</v>
      </c>
      <c r="R4">
        <f>ROUND(ABS(Q4)*SQRT(SUMSQ(P4/O4,'absorption coefficient'!$B$3/'absorption coefficient'!$B$2)),3)</f>
        <v>4.8739999999999997</v>
      </c>
      <c r="S4">
        <v>100</v>
      </c>
      <c r="T4">
        <v>0.25</v>
      </c>
      <c r="U4" s="6" t="s">
        <v>37</v>
      </c>
      <c r="V4" s="6">
        <f t="shared" si="0"/>
        <v>65.12</v>
      </c>
      <c r="W4" s="6">
        <f t="shared" si="1"/>
        <v>19.5</v>
      </c>
      <c r="X4">
        <v>2.9598</v>
      </c>
      <c r="Y4">
        <v>0.19220000000000001</v>
      </c>
      <c r="Z4">
        <v>1.0149999999999999</v>
      </c>
      <c r="AA4">
        <v>0.05</v>
      </c>
      <c r="AB4" s="6">
        <v>1</v>
      </c>
    </row>
    <row r="5" spans="1:28" ht="16" x14ac:dyDescent="0.2">
      <c r="A5" s="5" t="s">
        <v>32</v>
      </c>
      <c r="B5">
        <v>560</v>
      </c>
      <c r="C5">
        <v>0.40051735455998944</v>
      </c>
      <c r="D5">
        <v>1.9314949230370119E-6</v>
      </c>
      <c r="E5">
        <v>0.34112468094119253</v>
      </c>
      <c r="F5">
        <v>1.9702195283590669E-6</v>
      </c>
      <c r="G5">
        <v>1.6799999999999999E-4</v>
      </c>
      <c r="H5" s="3">
        <v>9.2443000000000003E-8</v>
      </c>
      <c r="I5">
        <f>E5-G5</f>
        <v>0.34095668094119252</v>
      </c>
      <c r="J5">
        <f>SQRT(SUMSQ(F5,H5))</f>
        <v>1.9723870558732695E-6</v>
      </c>
      <c r="K5">
        <f>C5-G5</f>
        <v>0.40034935455998943</v>
      </c>
      <c r="L5">
        <f>SQRT(SUMSQ(D5,H5))</f>
        <v>1.9337058581818365E-6</v>
      </c>
      <c r="M5">
        <f>I5/K5</f>
        <v>0.85164788467294172</v>
      </c>
      <c r="N5">
        <f>1-M5</f>
        <v>0.14835211532705828</v>
      </c>
      <c r="O5">
        <f>-LOG(M5)</f>
        <v>6.9739927946987662E-2</v>
      </c>
      <c r="P5">
        <f>SQRT(SUMSQ(J5/I5,L5/K5))</f>
        <v>7.5361770329882652E-6</v>
      </c>
      <c r="Q5">
        <f>ROUND(O5*10000000/'absorption coefficient'!$B$2,2)</f>
        <v>14.2</v>
      </c>
      <c r="R5">
        <f>ROUND(ABS(Q5)*SQRT(SUMSQ(P5/O5,'absorption coefficient'!$B$3/'absorption coefficient'!$B$2)),3)</f>
        <v>4.2510000000000003</v>
      </c>
      <c r="S5">
        <v>100</v>
      </c>
      <c r="T5">
        <v>0.25</v>
      </c>
      <c r="U5" s="6" t="s">
        <v>37</v>
      </c>
      <c r="V5" s="6">
        <f t="shared" si="0"/>
        <v>56.8</v>
      </c>
      <c r="W5" s="6">
        <f t="shared" si="1"/>
        <v>17</v>
      </c>
      <c r="X5">
        <v>0.48799999999999999</v>
      </c>
      <c r="Y5">
        <v>3.2899999999999999E-2</v>
      </c>
      <c r="Z5">
        <v>1.0149999999999999</v>
      </c>
      <c r="AA5">
        <v>0.05</v>
      </c>
      <c r="AB5" s="6">
        <v>1</v>
      </c>
    </row>
    <row r="6" spans="1:28" ht="16" x14ac:dyDescent="0.2">
      <c r="A6" t="s">
        <v>31</v>
      </c>
      <c r="B6">
        <v>562</v>
      </c>
      <c r="C6">
        <v>0.40338876646157862</v>
      </c>
      <c r="D6">
        <v>2.279909158041123E-6</v>
      </c>
      <c r="E6">
        <v>0.36779469138457221</v>
      </c>
      <c r="F6">
        <v>2.0129931862567447E-6</v>
      </c>
      <c r="G6">
        <v>1.5460664077671037E-4</v>
      </c>
      <c r="H6">
        <v>5.9980791375886814E-8</v>
      </c>
      <c r="I6">
        <f>E6-G6</f>
        <v>0.3676400847437955</v>
      </c>
      <c r="J6">
        <f>SQRT(SUMSQ(F6,H6))</f>
        <v>2.0138866063535353E-6</v>
      </c>
      <c r="K6">
        <f>C6-G6</f>
        <v>0.40323415982080191</v>
      </c>
      <c r="L6">
        <f>SQRT(SUMSQ(D6,H6))</f>
        <v>2.2806980212763504E-6</v>
      </c>
      <c r="M6">
        <f>I6/K6</f>
        <v>0.91172852247234093</v>
      </c>
      <c r="N6">
        <f>1-M6</f>
        <v>8.827147752765907E-2</v>
      </c>
      <c r="O6">
        <f>-LOG(M6)</f>
        <v>4.0134458539666018E-2</v>
      </c>
      <c r="P6">
        <f>SQRT(SUMSQ(J6/I6,L6/K6))</f>
        <v>7.8738563148119351E-6</v>
      </c>
      <c r="Q6">
        <f>ROUND(O6*10000000/'absorption coefficient'!$B$2,2)</f>
        <v>8.17</v>
      </c>
      <c r="R6">
        <f>ROUND(ABS(Q6)*SQRT(SUMSQ(P6/O6,'absorption coefficient'!$B$3/'absorption coefficient'!$B$2)),3)</f>
        <v>2.4460000000000002</v>
      </c>
      <c r="S6">
        <v>100</v>
      </c>
      <c r="T6">
        <v>0.25</v>
      </c>
      <c r="U6" s="6" t="s">
        <v>37</v>
      </c>
      <c r="V6" s="6">
        <f t="shared" si="0"/>
        <v>32.68</v>
      </c>
      <c r="W6" s="6">
        <f t="shared" si="1"/>
        <v>9.7799999999999994</v>
      </c>
      <c r="X6">
        <v>0.66930000000000001</v>
      </c>
      <c r="Y6">
        <v>5.5E-2</v>
      </c>
      <c r="Z6">
        <v>1.0149999999999999</v>
      </c>
      <c r="AA6">
        <v>5.0000000000000001E-3</v>
      </c>
      <c r="AB6" s="6">
        <v>1</v>
      </c>
    </row>
    <row r="7" spans="1:28" ht="16" x14ac:dyDescent="0.2">
      <c r="A7" t="s">
        <v>31</v>
      </c>
      <c r="B7">
        <v>563</v>
      </c>
      <c r="C7">
        <v>0.40657697140742394</v>
      </c>
      <c r="D7">
        <v>3.4640841074728122E-6</v>
      </c>
      <c r="E7">
        <v>0.33795810161538387</v>
      </c>
      <c r="F7">
        <v>2.7279705630588006E-6</v>
      </c>
      <c r="G7">
        <v>1.6799999999999999E-4</v>
      </c>
      <c r="H7" s="3">
        <v>9.2443000000000003E-8</v>
      </c>
      <c r="I7">
        <f t="shared" ref="I7" si="2">E7-G7</f>
        <v>0.33779010161538386</v>
      </c>
      <c r="J7">
        <f t="shared" ref="J7" si="3">SQRT(SUMSQ(F7,H7))</f>
        <v>2.7295364260555947E-6</v>
      </c>
      <c r="K7">
        <f t="shared" ref="K7" si="4">C7-G7</f>
        <v>0.40640897140742394</v>
      </c>
      <c r="L7">
        <f t="shared" ref="L7" si="5">SQRT(SUMSQ(D7,H7))</f>
        <v>3.4653173609201666E-6</v>
      </c>
      <c r="M7">
        <f t="shared" ref="M7" si="6">I7/K7</f>
        <v>0.83115808306492867</v>
      </c>
      <c r="N7">
        <f t="shared" ref="N7:N19" si="7">1-M7</f>
        <v>0.16884191693507133</v>
      </c>
      <c r="O7">
        <f t="shared" ref="O7" si="8">-LOG(M7)</f>
        <v>8.0316367222571988E-2</v>
      </c>
      <c r="P7">
        <f t="shared" ref="P7" si="9">SQRT(SUMSQ(J7/I7,L7/K7))</f>
        <v>1.1747331512905466E-5</v>
      </c>
      <c r="Q7">
        <f>ROUND(O7*10000000/'absorption coefficient'!$B$2,2)</f>
        <v>16.36</v>
      </c>
      <c r="R7">
        <f>ROUND(ABS(Q7)*SQRT(SUMSQ(P7/O7,'absorption coefficient'!$B$3/'absorption coefficient'!$B$2)),3)</f>
        <v>4.8979999999999997</v>
      </c>
      <c r="S7">
        <v>100</v>
      </c>
      <c r="T7">
        <v>0.25</v>
      </c>
      <c r="U7" s="6" t="s">
        <v>37</v>
      </c>
      <c r="V7" s="6">
        <f t="shared" si="0"/>
        <v>65.44</v>
      </c>
      <c r="W7" s="6">
        <f t="shared" si="1"/>
        <v>19.59</v>
      </c>
      <c r="X7">
        <v>1.3217000000000001</v>
      </c>
      <c r="Y7">
        <v>0.10780000000000001</v>
      </c>
      <c r="Z7">
        <v>1.0149999999999999</v>
      </c>
      <c r="AA7">
        <v>5.0000000000000001E-3</v>
      </c>
      <c r="AB7" s="6">
        <v>1</v>
      </c>
    </row>
    <row r="8" spans="1:28" ht="16" x14ac:dyDescent="0.2">
      <c r="A8" t="s">
        <v>31</v>
      </c>
      <c r="B8">
        <v>564</v>
      </c>
      <c r="C8">
        <v>0.394819807111146</v>
      </c>
      <c r="D8">
        <v>5.8710193157492147E-7</v>
      </c>
      <c r="E8">
        <v>0.38013136225455391</v>
      </c>
      <c r="F8">
        <v>4.6474834258222937E-7</v>
      </c>
      <c r="G8">
        <v>1.6799999999999999E-4</v>
      </c>
      <c r="H8" s="3">
        <v>9.2443000000000003E-8</v>
      </c>
      <c r="I8">
        <f>E8-G8</f>
        <v>0.3799633622545539</v>
      </c>
      <c r="J8">
        <f>SQRT(SUMSQ(F8,H8))</f>
        <v>4.7385306813603014E-7</v>
      </c>
      <c r="K8">
        <f>C8-G8</f>
        <v>0.394651807111146</v>
      </c>
      <c r="L8">
        <f>SQRT(SUMSQ(D8,H8))</f>
        <v>5.9433524740503467E-7</v>
      </c>
      <c r="M8">
        <f>I8/K8</f>
        <v>0.9627812552940993</v>
      </c>
      <c r="N8">
        <f>1-M8</f>
        <v>3.7218744705900697E-2</v>
      </c>
      <c r="O8">
        <f>-LOG(M8)</f>
        <v>1.6472373737248854E-2</v>
      </c>
      <c r="P8">
        <f>SQRT(SUMSQ(J8/I8,L8/K8))</f>
        <v>1.955305658417246E-6</v>
      </c>
      <c r="Q8">
        <f>ROUND(O8*10000000/'absorption coefficient'!$B$2,2)</f>
        <v>3.35</v>
      </c>
      <c r="R8">
        <f>ROUND(ABS(Q8)*SQRT(SUMSQ(P8/O8,'absorption coefficient'!$B$3/'absorption coefficient'!$B$2)),3)</f>
        <v>1.0029999999999999</v>
      </c>
      <c r="S8">
        <v>100</v>
      </c>
      <c r="T8">
        <v>0.25</v>
      </c>
      <c r="U8" s="6" t="s">
        <v>37</v>
      </c>
      <c r="V8" s="6">
        <f t="shared" si="0"/>
        <v>13.4</v>
      </c>
      <c r="W8" s="6">
        <f t="shared" si="1"/>
        <v>4.01</v>
      </c>
      <c r="X8">
        <v>0.54549999999999998</v>
      </c>
      <c r="Y8">
        <v>4.5100000000000001E-2</v>
      </c>
      <c r="Z8">
        <v>1.0149999999999999</v>
      </c>
      <c r="AA8">
        <v>5.0000000000000001E-3</v>
      </c>
      <c r="AB8" s="6">
        <v>1</v>
      </c>
    </row>
    <row r="9" spans="1:28" ht="16" x14ac:dyDescent="0.2">
      <c r="A9" t="s">
        <v>31</v>
      </c>
      <c r="B9">
        <v>565</v>
      </c>
      <c r="C9">
        <v>0.41816742553846542</v>
      </c>
      <c r="D9">
        <v>1.2986549920722114E-5</v>
      </c>
      <c r="E9">
        <v>0.39195862557142486</v>
      </c>
      <c r="F9">
        <v>1.137427429302933E-5</v>
      </c>
      <c r="G9">
        <v>1.6799999999999999E-4</v>
      </c>
      <c r="H9" s="3">
        <v>9.2443000000000003E-8</v>
      </c>
      <c r="I9">
        <f t="shared" ref="I9" si="10">E9-G9</f>
        <v>0.39179062557142486</v>
      </c>
      <c r="J9">
        <f t="shared" ref="J9" si="11">SQRT(SUMSQ(F9,H9))</f>
        <v>1.1374649946319968E-5</v>
      </c>
      <c r="K9">
        <f t="shared" ref="K9" si="12">C9-G9</f>
        <v>0.41799942553846542</v>
      </c>
      <c r="L9">
        <f t="shared" ref="L9" si="13">SQRT(SUMSQ(D9,H9))</f>
        <v>1.298687893805346E-5</v>
      </c>
      <c r="M9">
        <f t="shared" ref="M9" si="14">I9/K9</f>
        <v>0.93729943543994476</v>
      </c>
      <c r="N9">
        <f>1-M9</f>
        <v>6.2700564560055239E-2</v>
      </c>
      <c r="O9">
        <f t="shared" ref="O9" si="15">-LOG(M9)</f>
        <v>2.8121644560622633E-2</v>
      </c>
      <c r="P9">
        <f t="shared" ref="P9" si="16">SQRT(SUMSQ(J9/I9,L9/K9))</f>
        <v>4.2522644242658756E-5</v>
      </c>
      <c r="Q9">
        <f>ROUND(O9*10000000/'absorption coefficient'!$B$2,2)</f>
        <v>5.73</v>
      </c>
      <c r="R9">
        <f>ROUND(ABS(Q9)*SQRT(SUMSQ(P9/O9,'absorption coefficient'!$B$3/'absorption coefficient'!$B$2)),3)</f>
        <v>1.716</v>
      </c>
      <c r="S9">
        <v>100</v>
      </c>
      <c r="T9">
        <v>0.25</v>
      </c>
      <c r="U9" s="6" t="s">
        <v>37</v>
      </c>
      <c r="V9" s="6">
        <f t="shared" si="0"/>
        <v>22.92</v>
      </c>
      <c r="W9" s="6">
        <f t="shared" si="1"/>
        <v>6.86</v>
      </c>
      <c r="X9">
        <v>3.65</v>
      </c>
      <c r="Y9">
        <v>0.29709999999999998</v>
      </c>
      <c r="Z9">
        <v>1.0149999999999999</v>
      </c>
      <c r="AA9">
        <v>5.0000000000000001E-3</v>
      </c>
      <c r="AB9" s="6">
        <v>1</v>
      </c>
    </row>
    <row r="10" spans="1:28" ht="16" x14ac:dyDescent="0.2">
      <c r="A10" t="s">
        <v>30</v>
      </c>
      <c r="B10">
        <v>566</v>
      </c>
      <c r="C10">
        <v>0.38644855868963529</v>
      </c>
      <c r="D10">
        <v>1.2207659346235576E-6</v>
      </c>
      <c r="E10">
        <v>0.37082911969812776</v>
      </c>
      <c r="F10">
        <v>6.2288792004878795E-7</v>
      </c>
      <c r="G10">
        <v>1.6799999999999999E-4</v>
      </c>
      <c r="H10" s="3">
        <v>9.2443000000000003E-8</v>
      </c>
      <c r="I10">
        <f t="shared" ref="I10" si="17">E10-G10</f>
        <v>0.37066111969812776</v>
      </c>
      <c r="J10">
        <f t="shared" ref="J10" si="18">SQRT(SUMSQ(F10,H10))</f>
        <v>6.2971030576901411E-7</v>
      </c>
      <c r="K10">
        <f t="shared" ref="K10" si="19">C10-G10</f>
        <v>0.38628055868963529</v>
      </c>
      <c r="L10">
        <f t="shared" ref="L10" si="20">SQRT(SUMSQ(D10,H10))</f>
        <v>1.2242610732136867E-6</v>
      </c>
      <c r="M10">
        <f t="shared" ref="M10" si="21">I10/K10</f>
        <v>0.95956452210669685</v>
      </c>
      <c r="N10">
        <f t="shared" si="7"/>
        <v>4.0435477893303151E-2</v>
      </c>
      <c r="O10">
        <f t="shared" ref="O10" si="22">-LOG(M10)</f>
        <v>1.7925817538433947E-2</v>
      </c>
      <c r="P10">
        <f t="shared" ref="P10" si="23">SQRT(SUMSQ(J10/I10,L10/K10))</f>
        <v>3.5959744870928423E-6</v>
      </c>
      <c r="Q10">
        <f>ROUND(O10*10000000/'absorption coefficient'!$B$2,2)</f>
        <v>3.65</v>
      </c>
      <c r="R10">
        <f>ROUND(ABS(Q10)*SQRT(SUMSQ(P10/O10,'absorption coefficient'!$B$3/'absorption coefficient'!$B$2)),3)</f>
        <v>1.093</v>
      </c>
      <c r="S10">
        <v>100</v>
      </c>
      <c r="T10">
        <v>0.25</v>
      </c>
      <c r="U10" s="6" t="s">
        <v>38</v>
      </c>
      <c r="V10" s="6">
        <f t="shared" si="0"/>
        <v>14.6</v>
      </c>
      <c r="W10" s="6">
        <f t="shared" si="1"/>
        <v>4.37</v>
      </c>
      <c r="X10">
        <v>0.50990000000000002</v>
      </c>
      <c r="Y10">
        <v>3.1800000000000002E-2</v>
      </c>
      <c r="Z10">
        <v>1.0149999999999999</v>
      </c>
      <c r="AA10">
        <v>5.0000000000000001E-3</v>
      </c>
      <c r="AB10" s="6">
        <v>1</v>
      </c>
    </row>
    <row r="11" spans="1:28" ht="16" x14ac:dyDescent="0.2">
      <c r="A11" t="s">
        <v>30</v>
      </c>
      <c r="B11">
        <v>567</v>
      </c>
      <c r="C11">
        <v>0.40467957208163652</v>
      </c>
      <c r="D11">
        <v>1.0190605537539379E-5</v>
      </c>
      <c r="E11">
        <v>0.38549980238463966</v>
      </c>
      <c r="F11">
        <v>7.8383058805617651E-6</v>
      </c>
      <c r="G11">
        <v>1.6799999999999999E-4</v>
      </c>
      <c r="H11" s="3">
        <v>9.2443000000000003E-8</v>
      </c>
      <c r="I11">
        <f t="shared" ref="I11" si="24">E11-G11</f>
        <v>0.38533180238463965</v>
      </c>
      <c r="J11">
        <f t="shared" ref="J11" si="25">SQRT(SUMSQ(F11,H11))</f>
        <v>7.8388509863052083E-6</v>
      </c>
      <c r="K11">
        <f t="shared" ref="K11" si="26">C11-G11</f>
        <v>0.40451157208163652</v>
      </c>
      <c r="L11">
        <f t="shared" ref="L11" si="27">SQRT(SUMSQ(D11,H11))</f>
        <v>1.0191024822360961E-5</v>
      </c>
      <c r="M11">
        <f t="shared" ref="M11" si="28">I11/K11</f>
        <v>0.95258536214848732</v>
      </c>
      <c r="N11">
        <f t="shared" si="7"/>
        <v>4.7414637851512675E-2</v>
      </c>
      <c r="O11">
        <f t="shared" ref="O11" si="29">-LOG(M11)</f>
        <v>2.1096096335851723E-2</v>
      </c>
      <c r="P11">
        <f t="shared" ref="P11" si="30">SQRT(SUMSQ(J11/I11,L11/K11))</f>
        <v>3.2381326328916587E-5</v>
      </c>
      <c r="Q11">
        <f>ROUND(O11*10000000/'absorption coefficient'!$B$2,2)</f>
        <v>4.3</v>
      </c>
      <c r="R11">
        <f>ROUND(ABS(Q11)*SQRT(SUMSQ(P11/O11,'absorption coefficient'!$B$3/'absorption coefficient'!$B$2)),3)</f>
        <v>1.2869999999999999</v>
      </c>
      <c r="S11">
        <v>100</v>
      </c>
      <c r="T11">
        <v>0.25</v>
      </c>
      <c r="U11" s="6" t="s">
        <v>38</v>
      </c>
      <c r="V11" s="6">
        <f t="shared" si="0"/>
        <v>17.2</v>
      </c>
      <c r="W11" s="6">
        <f t="shared" si="1"/>
        <v>5.15</v>
      </c>
      <c r="X11">
        <v>0.54100000000000004</v>
      </c>
      <c r="Y11">
        <v>3.3599999999999998E-2</v>
      </c>
      <c r="Z11">
        <v>1.0149999999999999</v>
      </c>
      <c r="AA11">
        <v>5.0000000000000001E-3</v>
      </c>
      <c r="AB11" s="6">
        <v>1</v>
      </c>
    </row>
    <row r="12" spans="1:28" ht="16" x14ac:dyDescent="0.2">
      <c r="A12" t="s">
        <v>7</v>
      </c>
      <c r="B12">
        <v>568</v>
      </c>
      <c r="C12">
        <v>0.39130964132034618</v>
      </c>
      <c r="D12">
        <v>1.6653451952333357E-6</v>
      </c>
      <c r="E12">
        <v>0.31848241265383787</v>
      </c>
      <c r="F12">
        <v>2.075671738225174E-6</v>
      </c>
      <c r="G12">
        <v>1.5460664077671037E-4</v>
      </c>
      <c r="H12">
        <v>5.9980791375886814E-8</v>
      </c>
      <c r="I12">
        <f>E12-G12</f>
        <v>0.31832780601306115</v>
      </c>
      <c r="J12">
        <f>SQRT(SUMSQ(F12,H12))</f>
        <v>2.0765381913658108E-6</v>
      </c>
      <c r="K12">
        <f>C12-G12</f>
        <v>0.39115503467956947</v>
      </c>
      <c r="L12">
        <f>SQRT(SUMSQ(D12,H12))</f>
        <v>1.6664250102002294E-6</v>
      </c>
      <c r="M12">
        <f>I12/K12</f>
        <v>0.81381492705017155</v>
      </c>
      <c r="N12">
        <f>1-M12</f>
        <v>0.18618507294982845</v>
      </c>
      <c r="O12">
        <f>-LOG(M12)</f>
        <v>8.9474348549989827E-2</v>
      </c>
      <c r="P12">
        <f>SQRT(SUMSQ(J12/I12,L12/K12))</f>
        <v>7.7912083556412547E-6</v>
      </c>
      <c r="Q12">
        <f>ROUND(O12*10000000/'absorption coefficient'!$B$2,2)</f>
        <v>18.22</v>
      </c>
      <c r="R12">
        <f>ROUND(ABS(Q12)*SQRT(SUMSQ(P12/O12,'absorption coefficient'!$B$3/'absorption coefficient'!$B$2)),3)</f>
        <v>5.4550000000000001</v>
      </c>
      <c r="S12">
        <v>100</v>
      </c>
      <c r="T12">
        <v>0.25</v>
      </c>
      <c r="U12" s="6" t="s">
        <v>37</v>
      </c>
      <c r="V12" s="6">
        <f t="shared" si="0"/>
        <v>72.88</v>
      </c>
      <c r="W12" s="6">
        <f t="shared" si="1"/>
        <v>21.82</v>
      </c>
      <c r="X12">
        <v>0.71220000000000006</v>
      </c>
      <c r="Y12">
        <v>7.0099999999999996E-2</v>
      </c>
      <c r="Z12">
        <v>1.0149999999999999</v>
      </c>
      <c r="AA12">
        <v>5.0000000000000001E-3</v>
      </c>
      <c r="AB12" s="6">
        <v>1</v>
      </c>
    </row>
    <row r="13" spans="1:28" ht="16" x14ac:dyDescent="0.2">
      <c r="A13" t="s">
        <v>7</v>
      </c>
      <c r="B13">
        <v>569</v>
      </c>
      <c r="C13">
        <v>0.37969253180392526</v>
      </c>
      <c r="D13">
        <v>2.1094166293216855E-6</v>
      </c>
      <c r="E13">
        <v>0.32671537216533952</v>
      </c>
      <c r="F13">
        <v>3.7530493630234671E-7</v>
      </c>
      <c r="G13">
        <v>1.5460664077671037E-4</v>
      </c>
      <c r="H13">
        <v>5.9980791375886814E-8</v>
      </c>
      <c r="I13">
        <f>E13-G13</f>
        <v>0.32656076552456281</v>
      </c>
      <c r="J13">
        <f>SQRT(SUMSQ(F13,H13))</f>
        <v>3.8006774468111101E-7</v>
      </c>
      <c r="K13">
        <f>C13-G13</f>
        <v>0.37953792516314855</v>
      </c>
      <c r="L13">
        <f>SQRT(SUMSQ(D13,H13))</f>
        <v>2.1102692272297719E-6</v>
      </c>
      <c r="M13">
        <f>I13/K13</f>
        <v>0.86041669059603743</v>
      </c>
      <c r="N13">
        <f>1-M13</f>
        <v>0.13958330940396257</v>
      </c>
      <c r="O13">
        <f>-LOG(M13)</f>
        <v>6.5291173640859568E-2</v>
      </c>
      <c r="P13">
        <f>SQRT(SUMSQ(J13/I13,L13/K13))</f>
        <v>5.6806047930866618E-6</v>
      </c>
      <c r="Q13">
        <f>ROUND(O13*10000000/'absorption coefficient'!$B$2,2)</f>
        <v>13.3</v>
      </c>
      <c r="R13">
        <f>ROUND(ABS(Q13)*SQRT(SUMSQ(P13/O13,'absorption coefficient'!$B$3/'absorption coefficient'!$B$2)),3)</f>
        <v>3.9820000000000002</v>
      </c>
      <c r="S13">
        <v>100</v>
      </c>
      <c r="T13">
        <v>0.25</v>
      </c>
      <c r="U13" s="6" t="s">
        <v>37</v>
      </c>
      <c r="V13" s="6">
        <f t="shared" si="0"/>
        <v>53.2</v>
      </c>
      <c r="W13" s="6">
        <f t="shared" si="1"/>
        <v>15.93</v>
      </c>
      <c r="X13">
        <v>0.25519999999999998</v>
      </c>
      <c r="Y13">
        <v>2.63E-2</v>
      </c>
      <c r="Z13">
        <v>1.0149999999999999</v>
      </c>
      <c r="AA13">
        <v>5.0000000000000001E-3</v>
      </c>
      <c r="AB13" s="6">
        <v>1</v>
      </c>
    </row>
    <row r="14" spans="1:28" ht="16" x14ac:dyDescent="0.2">
      <c r="A14" t="s">
        <v>33</v>
      </c>
      <c r="B14">
        <v>570</v>
      </c>
      <c r="C14">
        <v>0.40151725903707369</v>
      </c>
      <c r="D14">
        <v>2.2417996533597076E-6</v>
      </c>
      <c r="E14">
        <v>0.3942478601509562</v>
      </c>
      <c r="F14">
        <v>2.5816831995561135E-6</v>
      </c>
      <c r="G14">
        <v>1.6799999999999999E-4</v>
      </c>
      <c r="H14" s="3">
        <v>9.2443000000000003E-8</v>
      </c>
      <c r="I14">
        <f t="shared" ref="I14" si="31">E14-G14</f>
        <v>0.3940798601509562</v>
      </c>
      <c r="J14">
        <f t="shared" ref="J14" si="32">SQRT(SUMSQ(F14,H14))</f>
        <v>2.5833377346214899E-6</v>
      </c>
      <c r="K14">
        <f t="shared" ref="K14" si="33">C14-G14</f>
        <v>0.40134925903707369</v>
      </c>
      <c r="L14">
        <f t="shared" ref="L14" si="34">SQRT(SUMSQ(D14,H14))</f>
        <v>2.2437048366602736E-6</v>
      </c>
      <c r="M14">
        <f t="shared" ref="M14" si="35">I14/K14</f>
        <v>0.98188759858792718</v>
      </c>
      <c r="N14">
        <f t="shared" si="7"/>
        <v>1.8112401412072821E-2</v>
      </c>
      <c r="O14">
        <f t="shared" ref="O14" si="36">-LOG(M14)</f>
        <v>7.9382251529454273E-3</v>
      </c>
      <c r="P14">
        <f t="shared" ref="P14" si="37">SQRT(SUMSQ(J14/I14,L14/K14))</f>
        <v>8.6154193264919641E-6</v>
      </c>
      <c r="Q14">
        <f>ROUND(O14*10000000/'absorption coefficient'!$B$2,2)</f>
        <v>1.62</v>
      </c>
      <c r="R14">
        <f>ROUND(ABS(Q14)*SQRT(SUMSQ(P14/O14,'absorption coefficient'!$B$3/'absorption coefficient'!$B$2)),3)</f>
        <v>0.48499999999999999</v>
      </c>
      <c r="S14">
        <v>100</v>
      </c>
      <c r="T14">
        <v>0.25</v>
      </c>
      <c r="U14" s="6" t="s">
        <v>37</v>
      </c>
      <c r="V14" s="6">
        <f t="shared" si="0"/>
        <v>6.48</v>
      </c>
      <c r="W14" s="6">
        <f t="shared" si="1"/>
        <v>1.94</v>
      </c>
      <c r="X14">
        <v>0.84930000000000005</v>
      </c>
      <c r="Y14">
        <v>5.5800000000000002E-2</v>
      </c>
      <c r="Z14">
        <v>1.0149999999999999</v>
      </c>
      <c r="AA14">
        <v>5.0000000000000001E-3</v>
      </c>
      <c r="AB14" s="6">
        <v>1</v>
      </c>
    </row>
    <row r="15" spans="1:28" ht="16" x14ac:dyDescent="0.2">
      <c r="A15" t="s">
        <v>7</v>
      </c>
      <c r="B15">
        <v>571</v>
      </c>
      <c r="C15">
        <v>0.41635299999999997</v>
      </c>
      <c r="D15" s="3">
        <v>8.8564000000000005E-6</v>
      </c>
      <c r="E15">
        <v>0.41525299999999998</v>
      </c>
      <c r="F15" s="3">
        <v>7.9415000000000001E-6</v>
      </c>
      <c r="G15">
        <v>1.6799999999999999E-4</v>
      </c>
      <c r="H15" s="3">
        <v>9.2443000000000003E-8</v>
      </c>
      <c r="I15">
        <f t="shared" ref="I15" si="38">E15-G15</f>
        <v>0.41508499999999998</v>
      </c>
      <c r="J15">
        <f t="shared" ref="J15" si="39">SQRT(SUMSQ(F15,H15))</f>
        <v>7.9420380229667124E-6</v>
      </c>
      <c r="K15">
        <f t="shared" ref="K15" si="40">C15-G15</f>
        <v>0.41618499999999997</v>
      </c>
      <c r="L15">
        <f t="shared" ref="L15" si="41">SQRT(SUMSQ(D15,H15))</f>
        <v>8.8568824463379322E-6</v>
      </c>
      <c r="M15">
        <f t="shared" ref="M15" si="42">I15/K15</f>
        <v>0.99735694462798996</v>
      </c>
      <c r="N15">
        <f t="shared" si="7"/>
        <v>2.6430553720100392E-3</v>
      </c>
      <c r="O15">
        <f t="shared" ref="O15" si="43">-LOG(M15)</f>
        <v>1.1493839761690901E-3</v>
      </c>
      <c r="P15">
        <f t="shared" ref="P15" si="44">SQRT(SUMSQ(J15/I15,L15/K15))</f>
        <v>2.8617786207557977E-5</v>
      </c>
      <c r="Q15">
        <f>ROUND(O15*10000000/'absorption coefficient'!$B$2,2)</f>
        <v>0.23</v>
      </c>
      <c r="R15">
        <f>ROUND(ABS(Q15)*SQRT(SUMSQ(P15/O15,'absorption coefficient'!$B$3/'absorption coefficient'!$B$2)),3)</f>
        <v>6.9000000000000006E-2</v>
      </c>
      <c r="S15">
        <v>40</v>
      </c>
      <c r="T15">
        <v>0.625</v>
      </c>
      <c r="U15" s="6" t="s">
        <v>37</v>
      </c>
      <c r="V15" s="6">
        <f t="shared" si="0"/>
        <v>0.37</v>
      </c>
      <c r="W15" s="6">
        <f t="shared" si="1"/>
        <v>0.11</v>
      </c>
      <c r="X15">
        <v>9.0200000000000002E-2</v>
      </c>
      <c r="Y15">
        <v>5.0000000000000001E-3</v>
      </c>
      <c r="Z15">
        <v>0.98899999999999999</v>
      </c>
      <c r="AA15">
        <v>1.2E-2</v>
      </c>
      <c r="AB15" s="6">
        <v>1</v>
      </c>
    </row>
    <row r="16" spans="1:28" ht="16" x14ac:dyDescent="0.2">
      <c r="A16" t="s">
        <v>7</v>
      </c>
      <c r="B16">
        <v>572</v>
      </c>
      <c r="C16">
        <v>0.41969899999999999</v>
      </c>
      <c r="D16" s="3">
        <v>5.5508000000000003E-6</v>
      </c>
      <c r="E16">
        <v>0.412132</v>
      </c>
      <c r="F16" s="3">
        <v>9.5869999999999999E-6</v>
      </c>
      <c r="G16">
        <v>1.6799999999999999E-4</v>
      </c>
      <c r="H16" s="3">
        <v>9.2443000000000003E-8</v>
      </c>
      <c r="I16">
        <f t="shared" ref="I16" si="45">E16-G16</f>
        <v>0.411964</v>
      </c>
      <c r="J16">
        <f t="shared" ref="J16" si="46">SQRT(SUMSQ(F16,H16))</f>
        <v>9.5874456821537714E-6</v>
      </c>
      <c r="K16">
        <f t="shared" ref="K16" si="47">C16-G16</f>
        <v>0.41953099999999999</v>
      </c>
      <c r="L16">
        <f t="shared" ref="L16" si="48">SQRT(SUMSQ(D16,H16))</f>
        <v>5.5515697193000287E-6</v>
      </c>
      <c r="M16">
        <f t="shared" ref="M16" si="49">I16/K16</f>
        <v>0.981963192231325</v>
      </c>
      <c r="N16">
        <f t="shared" si="7"/>
        <v>1.8036807768675001E-2</v>
      </c>
      <c r="O16">
        <f t="shared" ref="O16" si="50">-LOG(M16)</f>
        <v>7.9047909405660279E-3</v>
      </c>
      <c r="P16">
        <f t="shared" ref="P16" si="51">SQRT(SUMSQ(J16/I16,L16/K16))</f>
        <v>2.6771585129139323E-5</v>
      </c>
      <c r="Q16">
        <f>ROUND(O16*10000000/'absorption coefficient'!$B$2,2)</f>
        <v>1.61</v>
      </c>
      <c r="R16">
        <f>ROUND(ABS(Q16)*SQRT(SUMSQ(P16/O16,'absorption coefficient'!$B$3/'absorption coefficient'!$B$2)),3)</f>
        <v>0.48199999999999998</v>
      </c>
      <c r="S16">
        <v>40</v>
      </c>
      <c r="T16">
        <v>0.625</v>
      </c>
      <c r="U16" s="6" t="s">
        <v>37</v>
      </c>
      <c r="V16" s="6">
        <f t="shared" si="0"/>
        <v>2.58</v>
      </c>
      <c r="W16" s="6">
        <f t="shared" si="1"/>
        <v>0.77</v>
      </c>
      <c r="X16">
        <v>0.2014</v>
      </c>
      <c r="Y16">
        <v>7.1000000000000004E-3</v>
      </c>
      <c r="Z16">
        <v>0.98899999999999999</v>
      </c>
      <c r="AA16">
        <v>1.2E-2</v>
      </c>
      <c r="AB16" s="6">
        <v>1</v>
      </c>
    </row>
    <row r="17" spans="1:28" ht="16" x14ac:dyDescent="0.2">
      <c r="A17" t="s">
        <v>7</v>
      </c>
      <c r="B17">
        <v>573</v>
      </c>
      <c r="C17">
        <v>0.42288300000000001</v>
      </c>
      <c r="D17" s="3">
        <v>1.3658999999999999E-5</v>
      </c>
      <c r="E17">
        <v>0.395895</v>
      </c>
      <c r="F17" s="3">
        <v>8.0121000000000008E-6</v>
      </c>
      <c r="G17">
        <v>1.6799999999999999E-4</v>
      </c>
      <c r="H17" s="3">
        <v>9.2443000000000003E-8</v>
      </c>
      <c r="I17">
        <f t="shared" ref="I17" si="52">E17-G17</f>
        <v>0.395727</v>
      </c>
      <c r="J17">
        <f t="shared" ref="J17" si="53">SQRT(SUMSQ(F17,H17))</f>
        <v>8.0126332824015491E-6</v>
      </c>
      <c r="K17">
        <f t="shared" ref="K17" si="54">C17-G17</f>
        <v>0.42271500000000001</v>
      </c>
      <c r="L17">
        <f t="shared" ref="L17" si="55">SQRT(SUMSQ(D17,H17))</f>
        <v>1.3659312819766922E-5</v>
      </c>
      <c r="M17">
        <f t="shared" ref="M17" si="56">I17/K17</f>
        <v>0.93615556580674919</v>
      </c>
      <c r="N17">
        <f t="shared" si="7"/>
        <v>6.384443419325081E-2</v>
      </c>
      <c r="O17">
        <f t="shared" ref="O17" si="57">-LOG(M17)</f>
        <v>2.8651976307170444E-2</v>
      </c>
      <c r="P17">
        <f t="shared" ref="P17" si="58">SQRT(SUMSQ(J17/I17,L17/K17))</f>
        <v>3.8132997134525563E-5</v>
      </c>
      <c r="Q17">
        <f>ROUND(O17*10000000/'absorption coefficient'!$B$2,2)</f>
        <v>5.84</v>
      </c>
      <c r="R17">
        <f>ROUND(ABS(Q17)*SQRT(SUMSQ(P17/O17,'absorption coefficient'!$B$3/'absorption coefficient'!$B$2)),3)</f>
        <v>1.748</v>
      </c>
      <c r="S17">
        <v>60</v>
      </c>
      <c r="T17">
        <v>0.41699999999999998</v>
      </c>
      <c r="U17" s="6" t="s">
        <v>37</v>
      </c>
      <c r="V17" s="6">
        <f t="shared" si="0"/>
        <v>14</v>
      </c>
      <c r="W17" s="6">
        <f t="shared" si="1"/>
        <v>4.1900000000000004</v>
      </c>
      <c r="X17">
        <v>0.1081</v>
      </c>
      <c r="Y17">
        <v>7.1000000000000004E-3</v>
      </c>
      <c r="Z17">
        <v>0.98899999999999999</v>
      </c>
      <c r="AA17">
        <v>1.2E-2</v>
      </c>
      <c r="AB17" s="6">
        <v>1</v>
      </c>
    </row>
    <row r="18" spans="1:28" ht="16" x14ac:dyDescent="0.2">
      <c r="A18" t="s">
        <v>7</v>
      </c>
      <c r="B18">
        <v>574</v>
      </c>
      <c r="C18">
        <v>0.42455300000000001</v>
      </c>
      <c r="D18" s="3">
        <v>1.2289E-5</v>
      </c>
      <c r="E18">
        <v>0.39710699999999999</v>
      </c>
      <c r="F18" s="3">
        <v>6.0542000000000004E-6</v>
      </c>
      <c r="G18">
        <v>1.6799999999999999E-4</v>
      </c>
      <c r="H18" s="3">
        <v>9.2443000000000003E-8</v>
      </c>
      <c r="I18">
        <f t="shared" ref="I18" si="59">E18-G18</f>
        <v>0.39693899999999999</v>
      </c>
      <c r="J18">
        <f t="shared" ref="J18" si="60">SQRT(SUMSQ(F18,H18))</f>
        <v>6.054905725793673E-6</v>
      </c>
      <c r="K18">
        <f t="shared" ref="K18" si="61">C18-G18</f>
        <v>0.42438500000000001</v>
      </c>
      <c r="L18">
        <f t="shared" ref="L18" si="62">SQRT(SUMSQ(D18,H18))</f>
        <v>1.2289347692544508E-5</v>
      </c>
      <c r="M18">
        <f t="shared" ref="M18" si="63">I18/K18</f>
        <v>0.93532759169150648</v>
      </c>
      <c r="N18">
        <f t="shared" si="7"/>
        <v>6.4672408308493523E-2</v>
      </c>
      <c r="O18">
        <f t="shared" ref="O18" si="64">-LOG(M18)</f>
        <v>2.9036253997758964E-2</v>
      </c>
      <c r="P18">
        <f t="shared" ref="P18" si="65">SQRT(SUMSQ(J18/I18,L18/K18))</f>
        <v>3.2729972192338451E-5</v>
      </c>
      <c r="Q18">
        <f>ROUND(O18*10000000/'absorption coefficient'!$B$2,2)</f>
        <v>5.91</v>
      </c>
      <c r="R18">
        <f>ROUND(ABS(Q18)*SQRT(SUMSQ(P18/O18,'absorption coefficient'!$B$3/'absorption coefficient'!$B$2)),3)</f>
        <v>1.7689999999999999</v>
      </c>
      <c r="S18">
        <v>60</v>
      </c>
      <c r="T18">
        <v>0.41699999999999998</v>
      </c>
      <c r="U18" s="6" t="s">
        <v>37</v>
      </c>
      <c r="V18" s="6">
        <f t="shared" si="0"/>
        <v>14.17</v>
      </c>
      <c r="W18" s="6">
        <f t="shared" si="1"/>
        <v>4.24</v>
      </c>
      <c r="X18">
        <v>0.1036</v>
      </c>
      <c r="Y18">
        <v>7.0000000000000001E-3</v>
      </c>
      <c r="Z18">
        <v>0.98899999999999999</v>
      </c>
      <c r="AA18">
        <v>1.2E-2</v>
      </c>
      <c r="AB18" s="6">
        <v>1</v>
      </c>
    </row>
    <row r="19" spans="1:28" ht="16" x14ac:dyDescent="0.2">
      <c r="A19" t="s">
        <v>7</v>
      </c>
      <c r="B19">
        <v>575</v>
      </c>
      <c r="C19">
        <v>0.42566700000000002</v>
      </c>
      <c r="D19" s="3">
        <v>1.31E-5</v>
      </c>
      <c r="E19">
        <v>0.40303699999999998</v>
      </c>
      <c r="F19" s="3">
        <v>2.3578E-5</v>
      </c>
      <c r="G19">
        <v>1.6799999999999999E-4</v>
      </c>
      <c r="H19" s="3">
        <v>9.2443000000000003E-8</v>
      </c>
      <c r="I19">
        <f t="shared" ref="I19" si="66">E19-G19</f>
        <v>0.40286899999999998</v>
      </c>
      <c r="J19">
        <f t="shared" ref="J19" si="67">SQRT(SUMSQ(F19,H19))</f>
        <v>2.3578181221380265E-5</v>
      </c>
      <c r="K19">
        <f t="shared" ref="K19" si="68">C19-G19</f>
        <v>0.42549900000000002</v>
      </c>
      <c r="L19">
        <f t="shared" ref="L19" si="69">SQRT(SUMSQ(D19,H19))</f>
        <v>1.3100326168010054E-5</v>
      </c>
      <c r="M19">
        <f t="shared" ref="M19" si="70">I19/K19</f>
        <v>0.94681538617012018</v>
      </c>
      <c r="N19">
        <f t="shared" si="7"/>
        <v>5.3184613829879823E-2</v>
      </c>
      <c r="O19">
        <f t="shared" ref="O19" si="71">-LOG(M19)</f>
        <v>2.3734693207586526E-2</v>
      </c>
      <c r="P19">
        <f t="shared" ref="P19" si="72">SQRT(SUMSQ(J19/I19,L19/K19))</f>
        <v>6.6129910001557252E-5</v>
      </c>
      <c r="Q19">
        <f>ROUND(O19*10000000/'absorption coefficient'!$B$2,2)</f>
        <v>4.83</v>
      </c>
      <c r="R19">
        <f>ROUND(ABS(Q19)*SQRT(SUMSQ(P19/O19,'absorption coefficient'!$B$3/'absorption coefficient'!$B$2)),3)</f>
        <v>1.446</v>
      </c>
      <c r="S19">
        <v>100</v>
      </c>
      <c r="T19">
        <v>0.41699999999999998</v>
      </c>
      <c r="U19" s="6" t="s">
        <v>37</v>
      </c>
      <c r="V19" s="6">
        <f t="shared" si="0"/>
        <v>11.58</v>
      </c>
      <c r="W19" s="6">
        <f t="shared" si="1"/>
        <v>3.47</v>
      </c>
      <c r="X19">
        <v>0.36940000000000001</v>
      </c>
      <c r="Y19">
        <v>1.2200000000000001E-2</v>
      </c>
      <c r="Z19">
        <v>0.98899999999999999</v>
      </c>
      <c r="AA19">
        <v>1.2E-2</v>
      </c>
      <c r="AB19" s="6">
        <v>1</v>
      </c>
    </row>
    <row r="20" spans="1:28" ht="16" x14ac:dyDescent="0.2">
      <c r="A20" t="s">
        <v>7</v>
      </c>
      <c r="B20">
        <v>580</v>
      </c>
      <c r="C20">
        <v>0.33592</v>
      </c>
      <c r="D20" s="3">
        <v>2.9519000000000001E-6</v>
      </c>
      <c r="E20">
        <v>0.294653</v>
      </c>
      <c r="F20" s="3">
        <v>2.0613999999999999E-6</v>
      </c>
      <c r="G20">
        <v>1.9100000000000001E-4</v>
      </c>
      <c r="H20" s="3">
        <v>5.0343000000000003E-8</v>
      </c>
      <c r="I20">
        <f t="shared" ref="I20" si="73">E20-G20</f>
        <v>0.294462</v>
      </c>
      <c r="J20">
        <f t="shared" ref="J20" si="74">SQRT(SUMSQ(F20,H20))</f>
        <v>2.0620146405030686E-6</v>
      </c>
      <c r="K20">
        <f t="shared" ref="K20" si="75">C20-G20</f>
        <v>0.335729</v>
      </c>
      <c r="L20">
        <f t="shared" ref="L20" si="76">SQRT(SUMSQ(D20,H20))</f>
        <v>2.9523292546138889E-6</v>
      </c>
      <c r="M20">
        <f t="shared" ref="M20" si="77">I20/K20</f>
        <v>0.87708240872846854</v>
      </c>
      <c r="N20">
        <f t="shared" ref="N20" si="78">1-M20</f>
        <v>0.12291759127153146</v>
      </c>
      <c r="O20">
        <f t="shared" ref="O20" si="79">-LOG(M20)</f>
        <v>5.6959599365289784E-2</v>
      </c>
      <c r="P20">
        <f t="shared" ref="P20" si="80">SQRT(SUMSQ(J20/I20,L20/K20))</f>
        <v>1.1241343721368487E-5</v>
      </c>
      <c r="Q20">
        <f>ROUND(O20*10000000/'absorption coefficient'!$B$2,2)</f>
        <v>11.6</v>
      </c>
      <c r="R20">
        <f>ROUND(ABS(Q20)*SQRT(SUMSQ(P20/O20,'absorption coefficient'!$B$3/'absorption coefficient'!$B$2)),3)</f>
        <v>3.4729999999999999</v>
      </c>
      <c r="S20">
        <v>100</v>
      </c>
      <c r="T20">
        <v>0.25</v>
      </c>
      <c r="U20" s="6" t="s">
        <v>37</v>
      </c>
      <c r="V20" s="6">
        <f t="shared" si="0"/>
        <v>46.4</v>
      </c>
      <c r="W20" s="6">
        <f t="shared" si="1"/>
        <v>13.89</v>
      </c>
      <c r="X20">
        <v>0.39069999999999999</v>
      </c>
      <c r="Y20">
        <v>1.5299999999999999E-2</v>
      </c>
      <c r="Z20">
        <v>0.98899999999999999</v>
      </c>
      <c r="AA20">
        <v>1.2E-2</v>
      </c>
      <c r="AB20" s="6">
        <v>1</v>
      </c>
    </row>
    <row r="23" spans="1:28" x14ac:dyDescent="0.2">
      <c r="A23" t="s">
        <v>46</v>
      </c>
      <c r="C23">
        <f>1.45+0.0004</f>
        <v>1.4503999999999999</v>
      </c>
      <c r="D23" s="3">
        <v>4.0000000000000002E-4</v>
      </c>
      <c r="E23">
        <v>1.45</v>
      </c>
      <c r="F23" s="3">
        <v>4.0000000000000002E-4</v>
      </c>
      <c r="G23">
        <v>-1.15E-2</v>
      </c>
      <c r="H23" s="3">
        <v>0.02</v>
      </c>
      <c r="I23" s="8">
        <f t="shared" ref="I23" si="81">E23-G23</f>
        <v>1.4615</v>
      </c>
      <c r="J23">
        <f t="shared" ref="J23" si="82">SQRT(SUMSQ(F23,H23))</f>
        <v>2.000399960007998E-2</v>
      </c>
      <c r="K23">
        <f t="shared" ref="K23" si="83">C23-G23</f>
        <v>1.4619</v>
      </c>
      <c r="L23">
        <f t="shared" ref="L23" si="84">SQRT(SUMSQ(D23,H23))</f>
        <v>2.000399960007998E-2</v>
      </c>
      <c r="M23">
        <f t="shared" ref="M23" si="85">I23/K23</f>
        <v>0.9997263834735618</v>
      </c>
      <c r="N23">
        <f t="shared" ref="N23" si="86">1-M23</f>
        <v>2.7361652643820289E-4</v>
      </c>
      <c r="O23">
        <f t="shared" ref="O23" si="87">-LOG(M23)</f>
        <v>1.188464075018113E-4</v>
      </c>
      <c r="P23">
        <f t="shared" ref="P23" si="88">SQRT(SUMSQ(J23/I23,L23/K23))</f>
        <v>1.935412761208807E-2</v>
      </c>
      <c r="Q23">
        <f>ROUND(O23*10000000/'absorption coefficient'!$B$2,2)</f>
        <v>0.02</v>
      </c>
      <c r="R23">
        <f>ROUND(ABS(Q23)*SQRT(SUMSQ(IF(O23&gt;0,P23/O23,0),'absorption coefficient'!$B$3/'absorption coefficient'!$B$2)),3)</f>
        <v>3.2570000000000001</v>
      </c>
      <c r="S23">
        <v>30</v>
      </c>
      <c r="T23">
        <v>5.606110084</v>
      </c>
      <c r="V23" s="9">
        <f>ROUND(Q23/T23,3)</f>
        <v>4.0000000000000001E-3</v>
      </c>
      <c r="W23" s="6">
        <f t="shared" ref="W23" si="89">ROUND(ABS(R23/T23),2)</f>
        <v>0.57999999999999996</v>
      </c>
      <c r="X23">
        <v>0.39069999999999999</v>
      </c>
      <c r="Y23">
        <v>1.5299999999999999E-2</v>
      </c>
      <c r="Z23">
        <v>0.98899999999999999</v>
      </c>
      <c r="AA23">
        <v>1.2E-2</v>
      </c>
      <c r="AB23" s="6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495-4E0A-4656-A52E-79B9CFEA2C71}">
  <dimension ref="A1:L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34.1640625" customWidth="1"/>
  </cols>
  <sheetData>
    <row r="1" spans="1:12" x14ac:dyDescent="0.2">
      <c r="A1" t="s">
        <v>11</v>
      </c>
      <c r="B1">
        <v>650</v>
      </c>
    </row>
    <row r="2" spans="1:12" x14ac:dyDescent="0.2">
      <c r="A2" t="s">
        <v>12</v>
      </c>
      <c r="B2" s="3">
        <v>49100</v>
      </c>
    </row>
    <row r="3" spans="1:12" x14ac:dyDescent="0.2">
      <c r="A3" t="s">
        <v>19</v>
      </c>
      <c r="B3" s="3">
        <v>14700</v>
      </c>
      <c r="E3">
        <v>1</v>
      </c>
      <c r="G3" s="3">
        <v>1000000</v>
      </c>
      <c r="H3" t="s">
        <v>14</v>
      </c>
      <c r="I3" s="3">
        <v>1</v>
      </c>
      <c r="J3" t="s">
        <v>15</v>
      </c>
      <c r="K3" s="3">
        <f>G3*I3/I4</f>
        <v>10000</v>
      </c>
    </row>
    <row r="4" spans="1:12" x14ac:dyDescent="0.2">
      <c r="B4" s="3">
        <f>B3/B2</f>
        <v>0.29938900203665986</v>
      </c>
      <c r="F4" t="s">
        <v>14</v>
      </c>
      <c r="G4">
        <v>1</v>
      </c>
      <c r="H4" t="s">
        <v>15</v>
      </c>
      <c r="I4" s="3">
        <v>100</v>
      </c>
      <c r="J4" t="s">
        <v>16</v>
      </c>
      <c r="L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248-E830-461E-B22E-6B36F833B7DA}">
  <dimension ref="M1:Q2"/>
  <sheetViews>
    <sheetView workbookViewId="0">
      <selection activeCell="Q2" sqref="Q2"/>
    </sheetView>
  </sheetViews>
  <sheetFormatPr baseColWidth="10" defaultColWidth="8.83203125" defaultRowHeight="15" x14ac:dyDescent="0.2"/>
  <sheetData>
    <row r="1" spans="13:17" x14ac:dyDescent="0.2"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3:17" x14ac:dyDescent="0.2">
      <c r="M2" t="e">
        <f>AVERAGE(J:J)</f>
        <v>#DIV/0!</v>
      </c>
      <c r="N2">
        <f>COUNT(J:J)-1</f>
        <v>-1</v>
      </c>
      <c r="O2" t="e">
        <f>_xlfn.T.INV(1-0.05*0.5,N2-1)</f>
        <v>#NUM!</v>
      </c>
      <c r="P2" t="e">
        <f>_xlfn.STDEV.S(J:J)</f>
        <v>#DIV/0!</v>
      </c>
      <c r="Q2" t="e">
        <f>P2*O2/SQRT(N2)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9FBA6BD627342A612350B7F5AFC45" ma:contentTypeVersion="2" ma:contentTypeDescription="Create a new document." ma:contentTypeScope="" ma:versionID="66362bd98f44e5f8d84036460c1d59a8">
  <xsd:schema xmlns:xsd="http://www.w3.org/2001/XMLSchema" xmlns:xs="http://www.w3.org/2001/XMLSchema" xmlns:p="http://schemas.microsoft.com/office/2006/metadata/properties" xmlns:ns3="78187c3c-08d0-445e-b166-244fd45ce62e" targetNamespace="http://schemas.microsoft.com/office/2006/metadata/properties" ma:root="true" ma:fieldsID="3a012853dfacfbf9eb4c2d91a8eff625" ns3:_="">
    <xsd:import namespace="78187c3c-08d0-445e-b166-244fd45ce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7c3c-08d0-445e-b166-244fd45c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B8135A-3467-434D-A79E-E12735EE4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F177DC-A263-4BA6-BD50-9A09D922A15B}">
  <ds:schemaRefs>
    <ds:schemaRef ds:uri="78187c3c-08d0-445e-b166-244fd45ce62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64F954-337A-41D6-A46A-B2783F960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87c3c-08d0-445e-b166-244fd45ce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absorption coefficient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2024-05-29T23:21:33Z</dcterms:created>
  <dcterms:modified xsi:type="dcterms:W3CDTF">2025-05-01T18:01:01Z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0x0101005879FBA6BD627342A612350B7F5AFC45</vt:lpwstr>
  </property>
</Properties>
</file>