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PA-E\Documents\GitHub\relozwall\data_processing\2024\data\"/>
    </mc:Choice>
  </mc:AlternateContent>
  <xr:revisionPtr revIDLastSave="0" documentId="13_ncr:1_{0B3D97F1-E94D-44F6-803E-C2F025D6A091}" xr6:coauthVersionLast="47" xr6:coauthVersionMax="47" xr10:uidLastSave="{00000000-0000-0000-0000-000000000000}"/>
  <bookViews>
    <workbookView xWindow="4335" yWindow="240" windowWidth="22995" windowHeight="13110" xr2:uid="{ED75ABB6-2E73-4136-9507-EBE78931EF6C}"/>
  </bookViews>
  <sheets>
    <sheet name="measurements" sheetId="1" r:id="rId1"/>
    <sheet name="absorption coefficient" sheetId="2" r:id="rId2"/>
    <sheet name="FORMULA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I5" i="1"/>
  <c r="J5" i="1"/>
  <c r="K5" i="1"/>
  <c r="L5" i="1"/>
  <c r="I4" i="1"/>
  <c r="J4" i="1"/>
  <c r="K4" i="1"/>
  <c r="L4" i="1"/>
  <c r="I6" i="1"/>
  <c r="J6" i="1"/>
  <c r="K6" i="1"/>
  <c r="L6" i="1"/>
  <c r="L3" i="1"/>
  <c r="K3" i="1"/>
  <c r="J3" i="1"/>
  <c r="I3" i="1"/>
  <c r="I2" i="1"/>
  <c r="J2" i="1"/>
  <c r="K2" i="1"/>
  <c r="L2" i="1"/>
  <c r="P2" i="5"/>
  <c r="N2" i="5"/>
  <c r="O2" i="5" s="1"/>
  <c r="M2" i="5"/>
  <c r="M7" i="1" l="1"/>
  <c r="N7" i="1" s="1"/>
  <c r="P7" i="1"/>
  <c r="O7" i="1"/>
  <c r="Q7" i="1" s="1"/>
  <c r="M5" i="1"/>
  <c r="O5" i="1" s="1"/>
  <c r="Q5" i="1" s="1"/>
  <c r="V5" i="1" s="1"/>
  <c r="P5" i="1"/>
  <c r="P4" i="1"/>
  <c r="M4" i="1"/>
  <c r="N4" i="1" s="1"/>
  <c r="M6" i="1"/>
  <c r="O6" i="1" s="1"/>
  <c r="Q6" i="1" s="1"/>
  <c r="P6" i="1"/>
  <c r="M3" i="1"/>
  <c r="N3" i="1" s="1"/>
  <c r="P3" i="1"/>
  <c r="P2" i="1"/>
  <c r="M2" i="1"/>
  <c r="Q2" i="5"/>
  <c r="R7" i="1" l="1"/>
  <c r="R5" i="1"/>
  <c r="W5" i="1" s="1"/>
  <c r="N5" i="1"/>
  <c r="O4" i="1"/>
  <c r="Q4" i="1" s="1"/>
  <c r="N6" i="1"/>
  <c r="R6" i="1"/>
  <c r="W6" i="1" s="1"/>
  <c r="V6" i="1"/>
  <c r="O3" i="1"/>
  <c r="Q3" i="1" s="1"/>
  <c r="O2" i="1"/>
  <c r="Q2" i="1" s="1"/>
  <c r="N2" i="1"/>
  <c r="K3" i="2"/>
  <c r="R4" i="1" l="1"/>
  <c r="W4" i="1" s="1"/>
  <c r="V4" i="1"/>
  <c r="R3" i="1"/>
  <c r="W3" i="1" s="1"/>
  <c r="V3" i="1"/>
  <c r="R2" i="1"/>
  <c r="W2" i="1" s="1"/>
  <c r="V2" i="1"/>
</calcChain>
</file>

<file path=xl/sharedStrings.xml><?xml version="1.0" encoding="utf-8"?>
<sst xmlns="http://schemas.openxmlformats.org/spreadsheetml/2006/main" count="54" uniqueCount="42">
  <si>
    <t>Clean slide signal (V)</t>
  </si>
  <si>
    <t>Coated slide signal (V)</t>
  </si>
  <si>
    <t>T</t>
  </si>
  <si>
    <t>A</t>
  </si>
  <si>
    <t>Clean slide Error (V)</t>
  </si>
  <si>
    <t>Coated slide error (V)</t>
  </si>
  <si>
    <t>Laser test ID</t>
  </si>
  <si>
    <t>Sample ID</t>
  </si>
  <si>
    <t>Background (V)</t>
  </si>
  <si>
    <t>Background error (V)</t>
  </si>
  <si>
    <t>Wavelength (nm)</t>
  </si>
  <si>
    <t>Absorption coefficient (1/cm)</t>
  </si>
  <si>
    <t>Thickness (nm)</t>
  </si>
  <si>
    <t>um</t>
  </si>
  <si>
    <t>m</t>
  </si>
  <si>
    <t>cm</t>
  </si>
  <si>
    <t>Thickness error (nm)</t>
  </si>
  <si>
    <t>Abs err</t>
  </si>
  <si>
    <t>Absorption coefficient error (1/cm)</t>
  </si>
  <si>
    <t>Aabs</t>
  </si>
  <si>
    <t>I (V)</t>
  </si>
  <si>
    <t>I0 (V)</t>
  </si>
  <si>
    <t>I err (V)</t>
  </si>
  <si>
    <t>I0 err (V)</t>
  </si>
  <si>
    <t>MEAN</t>
  </si>
  <si>
    <t>N</t>
  </si>
  <si>
    <t>TSTUDENT</t>
  </si>
  <si>
    <t>STD</t>
  </si>
  <si>
    <t>SE</t>
  </si>
  <si>
    <t>Laser power setting (%)</t>
  </si>
  <si>
    <t>Laser emission time (s)</t>
  </si>
  <si>
    <t>Filler</t>
  </si>
  <si>
    <t>Deposition rate (nm/s)</t>
  </si>
  <si>
    <t>AB2R005</t>
  </si>
  <si>
    <t>Deposition rate error (nm/s)</t>
  </si>
  <si>
    <t>Recession rate (cm/s)</t>
  </si>
  <si>
    <t>Recession rate error (cm/s)</t>
  </si>
  <si>
    <t>Sample diameter (cm)</t>
  </si>
  <si>
    <t>Sample diameter error (cm)</t>
  </si>
  <si>
    <t>in_report</t>
  </si>
  <si>
    <t>hBN</t>
  </si>
  <si>
    <t>AB2R006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</si>
</sst>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8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1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D066-04B8-431D-9940-C182B0E8F5EB}">
  <dimension ref="A1:AB7"/>
  <sheetViews>
    <sheetView tabSelected="1" topLeftCell="H1" workbookViewId="0">
      <pane ySplit="1" topLeftCell="A2" activePane="bottomLeft" state="frozen"/>
      <selection pane="bottomLeft" activeCell="T14" sqref="T14"/>
    </sheetView>
  </sheetViews>
  <sheetFormatPr defaultRowHeight="15" x14ac:dyDescent="0.25"/>
  <cols>
    <col min="1" max="1" width="10.28515625" customWidth="1"/>
    <col min="2" max="2" width="9.7109375" customWidth="1"/>
    <col min="7" max="7" width="12.42578125" customWidth="1"/>
    <col min="8" max="8" width="12" customWidth="1"/>
    <col min="9" max="9" width="6.7109375" customWidth="1"/>
    <col min="10" max="11" width="8.28515625" customWidth="1"/>
    <col min="12" max="12" width="9.85546875" customWidth="1"/>
    <col min="16" max="16" width="8.28515625" customWidth="1"/>
    <col min="17" max="17" width="11.85546875" customWidth="1"/>
    <col min="18" max="18" width="10.28515625" customWidth="1"/>
    <col min="19" max="19" width="10.85546875" customWidth="1"/>
    <col min="22" max="22" width="10.85546875" customWidth="1"/>
    <col min="23" max="23" width="10.7109375" customWidth="1"/>
    <col min="24" max="24" width="10.42578125" customWidth="1"/>
    <col min="25" max="25" width="10.7109375" customWidth="1"/>
  </cols>
  <sheetData>
    <row r="1" spans="1:28" s="2" customFormat="1" ht="60.75" thickBot="1" x14ac:dyDescent="0.3">
      <c r="A1" s="2" t="s">
        <v>7</v>
      </c>
      <c r="B1" s="2" t="s">
        <v>6</v>
      </c>
      <c r="C1" s="1" t="s">
        <v>0</v>
      </c>
      <c r="D1" s="1" t="s">
        <v>4</v>
      </c>
      <c r="E1" s="1" t="s">
        <v>1</v>
      </c>
      <c r="F1" s="1" t="s">
        <v>5</v>
      </c>
      <c r="G1" s="1" t="s">
        <v>8</v>
      </c>
      <c r="H1" s="1" t="s">
        <v>9</v>
      </c>
      <c r="I1" s="1" t="s">
        <v>20</v>
      </c>
      <c r="J1" s="1" t="s">
        <v>22</v>
      </c>
      <c r="K1" s="1" t="s">
        <v>21</v>
      </c>
      <c r="L1" s="1" t="s">
        <v>23</v>
      </c>
      <c r="M1" s="1" t="s">
        <v>2</v>
      </c>
      <c r="N1" s="1" t="s">
        <v>3</v>
      </c>
      <c r="O1" s="4" t="s">
        <v>19</v>
      </c>
      <c r="P1" s="4" t="s">
        <v>17</v>
      </c>
      <c r="Q1" s="2" t="s">
        <v>12</v>
      </c>
      <c r="R1" s="2" t="s">
        <v>16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</row>
    <row r="2" spans="1:28" x14ac:dyDescent="0.25">
      <c r="A2" t="s">
        <v>33</v>
      </c>
      <c r="B2">
        <v>576</v>
      </c>
      <c r="C2">
        <v>0.41542499999999999</v>
      </c>
      <c r="D2" s="3">
        <v>1.6302000000000001E-5</v>
      </c>
      <c r="E2">
        <v>0.41315299999999999</v>
      </c>
      <c r="F2" s="3">
        <v>1.874E-5</v>
      </c>
      <c r="G2">
        <v>1.6799999999999999E-4</v>
      </c>
      <c r="H2" s="3">
        <v>9.2443000000000003E-8</v>
      </c>
      <c r="I2">
        <f t="shared" ref="I2" si="0">E2-G2</f>
        <v>0.41298499999999999</v>
      </c>
      <c r="J2">
        <f t="shared" ref="J2" si="1">SQRT(SUMSQ(F2,H2))</f>
        <v>1.8740228005770074E-5</v>
      </c>
      <c r="K2">
        <f t="shared" ref="K2" si="2">C2-G2</f>
        <v>0.41525699999999999</v>
      </c>
      <c r="L2">
        <f t="shared" ref="L2" si="3">SQRT(SUMSQ(D2,H2))</f>
        <v>1.6302262104022528E-5</v>
      </c>
      <c r="M2">
        <f t="shared" ref="M2" si="4">I2/K2</f>
        <v>0.99452868946218853</v>
      </c>
      <c r="N2">
        <f t="shared" ref="N2:N3" si="5">1-M2</f>
        <v>5.471310537811469E-3</v>
      </c>
      <c r="O2">
        <f t="shared" ref="O2" si="6">-LOG(M2)</f>
        <v>2.3826841379352027E-3</v>
      </c>
      <c r="P2">
        <f t="shared" ref="P2" si="7">SQRT(SUMSQ(J2/I2,L2/K2))</f>
        <v>6.0002731303638712E-5</v>
      </c>
      <c r="Q2">
        <f>ROUND(O2*10000000/'absorption coefficient'!$B$2,2)</f>
        <v>0.49</v>
      </c>
      <c r="R2">
        <f>ROUND(ABS(Q2)*SQRT(SUMSQ(P2/O2,'absorption coefficient'!$B$3/'absorption coefficient'!$B$2)),3)</f>
        <v>0.14699999999999999</v>
      </c>
      <c r="S2">
        <v>10</v>
      </c>
      <c r="T2">
        <v>1</v>
      </c>
      <c r="U2" s="5" t="s">
        <v>40</v>
      </c>
      <c r="V2" s="5">
        <f t="shared" ref="V2:V3" si="8">ROUND(Q2/T2,2)</f>
        <v>0.49</v>
      </c>
      <c r="W2" s="5">
        <f t="shared" ref="W2:W3" si="9">ROUND(ABS(R2/T2),2)</f>
        <v>0.15</v>
      </c>
      <c r="X2">
        <v>4.4999999999999997E-3</v>
      </c>
      <c r="Y2">
        <v>2.3999999999999998E-3</v>
      </c>
      <c r="Z2">
        <v>1</v>
      </c>
      <c r="AA2">
        <v>0.1</v>
      </c>
      <c r="AB2" s="5">
        <v>0</v>
      </c>
    </row>
    <row r="3" spans="1:28" x14ac:dyDescent="0.25">
      <c r="A3" t="s">
        <v>33</v>
      </c>
      <c r="B3">
        <v>577</v>
      </c>
      <c r="C3">
        <v>0.41690899999999997</v>
      </c>
      <c r="D3" s="3">
        <v>1.5994E-5</v>
      </c>
      <c r="E3">
        <v>0.411916</v>
      </c>
      <c r="F3" s="3">
        <v>1.5389000000000001E-5</v>
      </c>
      <c r="G3">
        <v>1.6799999999999999E-4</v>
      </c>
      <c r="H3" s="3">
        <v>9.2443000000000003E-8</v>
      </c>
      <c r="I3">
        <f t="shared" ref="I3" si="10">E3-G3</f>
        <v>0.411748</v>
      </c>
      <c r="J3">
        <f t="shared" ref="J3" si="11">SQRT(SUMSQ(F3,H3))</f>
        <v>1.5389277653881258E-5</v>
      </c>
      <c r="K3">
        <f t="shared" ref="K3" si="12">C3-G3</f>
        <v>0.41674099999999997</v>
      </c>
      <c r="L3">
        <f t="shared" ref="L3" si="13">SQRT(SUMSQ(D3,H3))</f>
        <v>1.5994267151334223E-5</v>
      </c>
      <c r="M3">
        <f t="shared" ref="M3" si="14">I3/K3</f>
        <v>0.9880189374215641</v>
      </c>
      <c r="N3">
        <f t="shared" si="5"/>
        <v>1.1981062578435897E-2</v>
      </c>
      <c r="O3">
        <f t="shared" ref="O3" si="15">-LOG(M3)</f>
        <v>5.2347311827491113E-3</v>
      </c>
      <c r="P3">
        <f t="shared" ref="P3" si="16">SQRT(SUMSQ(J3/I3,L3/K3))</f>
        <v>5.3571486266947667E-5</v>
      </c>
      <c r="Q3">
        <f>ROUND(O3*10000000/'absorption coefficient'!$B$2,2)</f>
        <v>1.07</v>
      </c>
      <c r="R3">
        <f>ROUND(ABS(Q3)*SQRT(SUMSQ(P3/O3,'absorption coefficient'!$B$3/'absorption coefficient'!$B$2)),3)</f>
        <v>0.32100000000000001</v>
      </c>
      <c r="S3">
        <v>20</v>
      </c>
      <c r="T3">
        <v>1</v>
      </c>
      <c r="U3" s="5" t="s">
        <v>40</v>
      </c>
      <c r="V3" s="5">
        <f t="shared" si="8"/>
        <v>1.07</v>
      </c>
      <c r="W3" s="5">
        <f t="shared" si="9"/>
        <v>0.32</v>
      </c>
      <c r="X3">
        <v>1.5E-3</v>
      </c>
      <c r="Y3">
        <v>2.2000000000000001E-3</v>
      </c>
      <c r="Z3">
        <v>1</v>
      </c>
      <c r="AA3">
        <v>0.1</v>
      </c>
      <c r="AB3" s="5">
        <v>0</v>
      </c>
    </row>
    <row r="4" spans="1:28" x14ac:dyDescent="0.25">
      <c r="A4" t="s">
        <v>33</v>
      </c>
      <c r="B4">
        <v>578</v>
      </c>
      <c r="C4">
        <v>0.32025300000000001</v>
      </c>
      <c r="D4" s="3">
        <v>3.6725E-6</v>
      </c>
      <c r="E4">
        <v>0.31579200000000002</v>
      </c>
      <c r="F4" s="3">
        <v>3.332E-6</v>
      </c>
      <c r="G4">
        <v>1.9100000000000001E-4</v>
      </c>
      <c r="H4" s="3">
        <v>4.0229999999999997E-8</v>
      </c>
      <c r="I4">
        <f>E4-G4</f>
        <v>0.31560100000000002</v>
      </c>
      <c r="J4">
        <f>SQRT(SUMSQ(F4,H4))</f>
        <v>3.33224285623062E-6</v>
      </c>
      <c r="K4">
        <f>C4-G4</f>
        <v>0.32006200000000001</v>
      </c>
      <c r="L4">
        <f>SQRT(SUMSQ(D4,H4))</f>
        <v>3.6727203409598176E-6</v>
      </c>
      <c r="M4">
        <f>I4/K4</f>
        <v>0.98606207547287716</v>
      </c>
      <c r="N4">
        <f>1-M4</f>
        <v>1.3937924527122836E-2</v>
      </c>
      <c r="O4">
        <f>-LOG(M4)</f>
        <v>6.0957440986067653E-3</v>
      </c>
      <c r="P4">
        <f>SQRT(SUMSQ(J4/I4,L4/K4))</f>
        <v>1.5593465209727682E-5</v>
      </c>
      <c r="Q4">
        <f>ROUND(O4*10000000/'absorption coefficient'!$B$2,2)</f>
        <v>1.24</v>
      </c>
      <c r="R4">
        <f>ROUND(ABS(Q4)*SQRT(SUMSQ(P4/O4,'absorption coefficient'!$B$3/'absorption coefficient'!$B$2)),3)</f>
        <v>0.371</v>
      </c>
      <c r="S4">
        <v>40</v>
      </c>
      <c r="T4">
        <v>1</v>
      </c>
      <c r="U4" s="5" t="s">
        <v>40</v>
      </c>
      <c r="V4" s="5">
        <f>ROUND(Q4/T4,2)</f>
        <v>1.24</v>
      </c>
      <c r="W4" s="5">
        <f>ROUND(ABS(R4/T4),2)</f>
        <v>0.37</v>
      </c>
      <c r="X4" s="6">
        <v>3.0099999999999998E-2</v>
      </c>
      <c r="Y4" s="6">
        <v>8.0999999999999996E-3</v>
      </c>
      <c r="Z4">
        <v>1</v>
      </c>
      <c r="AA4">
        <v>0.1</v>
      </c>
      <c r="AB4">
        <v>1</v>
      </c>
    </row>
    <row r="5" spans="1:28" x14ac:dyDescent="0.25">
      <c r="A5" t="s">
        <v>33</v>
      </c>
      <c r="B5">
        <v>579</v>
      </c>
      <c r="C5">
        <v>0.29912100000000003</v>
      </c>
      <c r="D5" s="3">
        <v>1.1085000000000001E-6</v>
      </c>
      <c r="E5">
        <v>0.30526799999999998</v>
      </c>
      <c r="F5" s="3">
        <v>1.2923999999999999E-6</v>
      </c>
      <c r="G5">
        <v>1.83E-4</v>
      </c>
      <c r="H5" s="3">
        <v>3.6083E-8</v>
      </c>
      <c r="I5">
        <f>E5-G5</f>
        <v>0.305085</v>
      </c>
      <c r="J5">
        <f>SQRT(SUMSQ(F5,H5))</f>
        <v>1.2929036092799029E-6</v>
      </c>
      <c r="K5">
        <f>C5-G5</f>
        <v>0.29893800000000004</v>
      </c>
      <c r="L5">
        <f>SQRT(SUMSQ(D5,H5))</f>
        <v>1.1090871169069632E-6</v>
      </c>
      <c r="M5">
        <f>I5/K5</f>
        <v>1.0205627922846876</v>
      </c>
      <c r="N5">
        <f>1-M5</f>
        <v>-2.0562792284687603E-2</v>
      </c>
      <c r="O5">
        <f>-LOG(M5)</f>
        <v>-8.8397307608555579E-3</v>
      </c>
      <c r="P5">
        <f>SQRT(SUMSQ(J5/I5,L5/K5))</f>
        <v>5.6324170979883029E-6</v>
      </c>
      <c r="Q5">
        <f>ROUND(O5*10000000/'absorption coefficient'!$B$2,2)</f>
        <v>-1.8</v>
      </c>
      <c r="R5">
        <f>ROUND(ABS(Q5)*SQRT(SUMSQ(P5/O5,'absorption coefficient'!$B$3/'absorption coefficient'!$B$2)),3)</f>
        <v>0.53900000000000003</v>
      </c>
      <c r="S5">
        <v>40</v>
      </c>
      <c r="T5">
        <v>1</v>
      </c>
      <c r="U5" s="5" t="s">
        <v>40</v>
      </c>
      <c r="V5" s="5">
        <f>ROUND(Q5/T5,2)</f>
        <v>-1.8</v>
      </c>
      <c r="W5" s="5">
        <f>ROUND(ABS(R5/T5),2)</f>
        <v>0.54</v>
      </c>
      <c r="X5" s="6">
        <v>0.1686</v>
      </c>
      <c r="Y5" s="6">
        <v>4.3900000000000002E-2</v>
      </c>
      <c r="Z5">
        <v>1</v>
      </c>
      <c r="AA5">
        <v>0.1</v>
      </c>
      <c r="AB5">
        <v>1</v>
      </c>
    </row>
    <row r="6" spans="1:28" x14ac:dyDescent="0.25">
      <c r="A6" t="s">
        <v>33</v>
      </c>
      <c r="B6">
        <v>582</v>
      </c>
      <c r="C6">
        <v>0.27524700000000002</v>
      </c>
      <c r="D6" s="3">
        <v>3.3459999999999998E-6</v>
      </c>
      <c r="E6">
        <v>0.27199600000000002</v>
      </c>
      <c r="F6" s="3">
        <v>2.0376000000000002E-6</v>
      </c>
      <c r="G6">
        <v>1.9599999999999999E-4</v>
      </c>
      <c r="H6" s="3">
        <v>3.7342999999999999E-8</v>
      </c>
      <c r="I6">
        <f t="shared" ref="I6" si="17">E6-G6</f>
        <v>0.27180000000000004</v>
      </c>
      <c r="J6">
        <f t="shared" ref="J6" si="18">SQRT(SUMSQ(F6,H6))</f>
        <v>2.0379421629793622E-6</v>
      </c>
      <c r="K6">
        <f t="shared" ref="K6" si="19">C6-G6</f>
        <v>0.27505100000000005</v>
      </c>
      <c r="L6">
        <f t="shared" ref="L6" si="20">SQRT(SUMSQ(D6,H6))</f>
        <v>3.3462083766031363E-6</v>
      </c>
      <c r="M6">
        <f t="shared" ref="M6" si="21">I6/K6</f>
        <v>0.98818037382158219</v>
      </c>
      <c r="N6">
        <f t="shared" ref="N6" si="22">1-M6</f>
        <v>1.1819626178417808E-2</v>
      </c>
      <c r="O6">
        <f t="shared" ref="O6" si="23">-LOG(M6)</f>
        <v>5.1637758520157598E-3</v>
      </c>
      <c r="P6">
        <f t="shared" ref="P6" si="24">SQRT(SUMSQ(J6/I6,L6/K6))</f>
        <v>1.4290741125095125E-5</v>
      </c>
      <c r="Q6">
        <f>ROUND(O6*10000000/'absorption coefficient'!$B$2,2)</f>
        <v>1.05</v>
      </c>
      <c r="R6">
        <f>ROUND(ABS(Q6)*SQRT(SUMSQ(P6/O6,'absorption coefficient'!$B$3/'absorption coefficient'!$B$2)),3)</f>
        <v>0.314</v>
      </c>
      <c r="S6">
        <v>50</v>
      </c>
      <c r="T6">
        <v>1</v>
      </c>
      <c r="U6" s="5" t="s">
        <v>40</v>
      </c>
      <c r="V6" s="5">
        <f t="shared" ref="V6" si="25">ROUND(Q6/T6,2)</f>
        <v>1.05</v>
      </c>
      <c r="W6" s="5">
        <f t="shared" ref="W6" si="26">ROUND(ABS(R6/T6),2)</f>
        <v>0.31</v>
      </c>
      <c r="X6">
        <v>6.6199999999999995E-2</v>
      </c>
      <c r="Y6">
        <v>1.7399999999999999E-2</v>
      </c>
      <c r="Z6">
        <v>1</v>
      </c>
      <c r="AA6">
        <v>0.1</v>
      </c>
      <c r="AB6">
        <v>1</v>
      </c>
    </row>
    <row r="7" spans="1:28" x14ac:dyDescent="0.25">
      <c r="A7" t="s">
        <v>41</v>
      </c>
      <c r="B7">
        <v>583</v>
      </c>
      <c r="C7">
        <v>0.233679</v>
      </c>
      <c r="D7" s="3">
        <v>1.8790999999999999E-6</v>
      </c>
      <c r="E7">
        <v>0.225832</v>
      </c>
      <c r="F7" s="3">
        <v>1.7771000000000001E-6</v>
      </c>
      <c r="G7">
        <v>1.64E-4</v>
      </c>
      <c r="H7" s="3">
        <v>3.5741000000000002E-8</v>
      </c>
      <c r="I7">
        <f t="shared" ref="I7" si="27">E7-G7</f>
        <v>0.22566800000000001</v>
      </c>
      <c r="J7">
        <f t="shared" ref="J7" si="28">SQRT(SUMSQ(F7,H7))</f>
        <v>1.7774593748046677E-6</v>
      </c>
      <c r="K7">
        <f t="shared" ref="K7" si="29">C7-G7</f>
        <v>0.233515</v>
      </c>
      <c r="L7">
        <f t="shared" ref="L7" si="30">SQRT(SUMSQ(D7,H7))</f>
        <v>1.8794398711001636E-6</v>
      </c>
      <c r="M7">
        <f t="shared" ref="M7" si="31">I7/K7</f>
        <v>0.9663961629873884</v>
      </c>
      <c r="N7">
        <f t="shared" ref="N7" si="32">1-M7</f>
        <v>3.3603837012611604E-2</v>
      </c>
      <c r="O7">
        <f t="shared" ref="O7" si="33">-LOG(M7)</f>
        <v>1.4844803057289793E-2</v>
      </c>
      <c r="P7">
        <f t="shared" ref="P7" si="34">SQRT(SUMSQ(J7/I7,L7/K7))</f>
        <v>1.1261269776046457E-5</v>
      </c>
      <c r="Q7">
        <f>ROUND(O7*10000000/'absorption coefficient'!$B$2,2)</f>
        <v>3.02</v>
      </c>
      <c r="R7">
        <f>ROUND(ABS(Q7)*SQRT(SUMSQ(P7/O7,'absorption coefficient'!$B$3/'absorption coefficient'!$B$2)),3)</f>
        <v>0.90400000000000003</v>
      </c>
      <c r="S7">
        <v>50</v>
      </c>
      <c r="T7">
        <v>1</v>
      </c>
      <c r="U7" s="5" t="s">
        <v>40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0495-4E0A-4656-A52E-79B9CFEA2C71}">
  <dimension ref="A1:L4"/>
  <sheetViews>
    <sheetView workbookViewId="0">
      <selection activeCell="B2" sqref="B2"/>
    </sheetView>
  </sheetViews>
  <sheetFormatPr defaultRowHeight="15" x14ac:dyDescent="0.25"/>
  <cols>
    <col min="1" max="1" width="34.140625" customWidth="1"/>
  </cols>
  <sheetData>
    <row r="1" spans="1:12" x14ac:dyDescent="0.25">
      <c r="A1" t="s">
        <v>10</v>
      </c>
      <c r="B1">
        <v>650</v>
      </c>
    </row>
    <row r="2" spans="1:12" x14ac:dyDescent="0.25">
      <c r="A2" t="s">
        <v>11</v>
      </c>
      <c r="B2" s="3">
        <v>49100</v>
      </c>
    </row>
    <row r="3" spans="1:12" x14ac:dyDescent="0.25">
      <c r="A3" t="s">
        <v>18</v>
      </c>
      <c r="B3" s="3">
        <v>14700</v>
      </c>
      <c r="E3">
        <v>1</v>
      </c>
      <c r="G3" s="3">
        <v>1000000</v>
      </c>
      <c r="H3" t="s">
        <v>13</v>
      </c>
      <c r="I3" s="3">
        <v>1</v>
      </c>
      <c r="J3" t="s">
        <v>14</v>
      </c>
      <c r="K3" s="3">
        <f>G3*I3/I4</f>
        <v>10000</v>
      </c>
    </row>
    <row r="4" spans="1:12" x14ac:dyDescent="0.25">
      <c r="F4" t="s">
        <v>13</v>
      </c>
      <c r="G4">
        <v>1</v>
      </c>
      <c r="H4" t="s">
        <v>14</v>
      </c>
      <c r="I4" s="3">
        <v>100</v>
      </c>
      <c r="J4" t="s">
        <v>15</v>
      </c>
      <c r="L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5248-E830-461E-B22E-6B36F833B7DA}">
  <dimension ref="M1:Q2"/>
  <sheetViews>
    <sheetView workbookViewId="0">
      <selection activeCell="Q2" sqref="Q2"/>
    </sheetView>
  </sheetViews>
  <sheetFormatPr defaultRowHeight="15" x14ac:dyDescent="0.25"/>
  <sheetData>
    <row r="1" spans="13:17" x14ac:dyDescent="0.25"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3:17" x14ac:dyDescent="0.25">
      <c r="M2" t="e">
        <f>AVERAGE(J:J)</f>
        <v>#DIV/0!</v>
      </c>
      <c r="N2">
        <f>COUNT(J:J)-1</f>
        <v>-1</v>
      </c>
      <c r="O2" t="e">
        <f>_xlfn.T.INV(1-0.05*0.5,N2-1)</f>
        <v>#NUM!</v>
      </c>
      <c r="P2" t="e">
        <f>_xlfn.STDEV.S(J:J)</f>
        <v>#DIV/0!</v>
      </c>
      <c r="Q2" t="e">
        <f>P2*O2/SQRT(N2)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9FBA6BD627342A612350B7F5AFC45" ma:contentTypeVersion="2" ma:contentTypeDescription="Create a new document." ma:contentTypeScope="" ma:versionID="66362bd98f44e5f8d84036460c1d59a8">
  <xsd:schema xmlns:xsd="http://www.w3.org/2001/XMLSchema" xmlns:xs="http://www.w3.org/2001/XMLSchema" xmlns:p="http://schemas.microsoft.com/office/2006/metadata/properties" xmlns:ns3="78187c3c-08d0-445e-b166-244fd45ce62e" targetNamespace="http://schemas.microsoft.com/office/2006/metadata/properties" ma:root="true" ma:fieldsID="3a012853dfacfbf9eb4c2d91a8eff625" ns3:_="">
    <xsd:import namespace="78187c3c-08d0-445e-b166-244fd45ce6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87c3c-08d0-445e-b166-244fd45ce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F177DC-A263-4BA6-BD50-9A09D922A15B}">
  <ds:schemaRefs>
    <ds:schemaRef ds:uri="78187c3c-08d0-445e-b166-244fd45ce62e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164F954-337A-41D6-A46A-B2783F9609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187c3c-08d0-445e-b166-244fd45ce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B8135A-3467-434D-A79E-E12735EE4F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absorption coefficient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 Martinez-loran</dc:creator>
  <cp:lastModifiedBy>Erick R Martinez-loran</cp:lastModifiedBy>
  <dcterms:created xsi:type="dcterms:W3CDTF">2024-05-29T23:21:33Z</dcterms:created>
  <dcterms:modified xsi:type="dcterms:W3CDTF">2024-06-08T00:10:22Z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0x0101005879FBA6BD627342A612350B7F5AFC45</vt:lpwstr>
  </property>
</Properties>
</file>