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iCloudDrive\UCR\Métodos cuantitativos\I_Parcial\"/>
    </mc:Choice>
  </mc:AlternateContent>
  <xr:revisionPtr revIDLastSave="0" documentId="13_ncr:1_{9E8FE3AF-E914-4A48-99DB-447FB43E5122}" xr6:coauthVersionLast="47" xr6:coauthVersionMax="47" xr10:uidLastSave="{00000000-0000-0000-0000-000000000000}"/>
  <bookViews>
    <workbookView xWindow="-23148" yWindow="-108" windowWidth="23256" windowHeight="12456" xr2:uid="{C0D33889-B014-4F50-85C6-9B2CCDE4497E}"/>
  </bookViews>
  <sheets>
    <sheet name="Arboles " sheetId="1" r:id="rId1"/>
    <sheet name="Pronósticos" sheetId="2" r:id="rId2"/>
    <sheet name="Inventario" sheetId="3" r:id="rId3"/>
    <sheet name="Programación Lineal" sheetId="4" r:id="rId4"/>
    <sheet name="Inventario con SS" sheetId="5" r:id="rId5"/>
  </sheets>
  <definedNames>
    <definedName name="MinimizeCosts" localSheetId="0">FALSE</definedName>
    <definedName name="Print_Area" localSheetId="0">'Arboles '!TreeDiagram</definedName>
    <definedName name="solver_adj" localSheetId="1" hidden="1">Pronósticos!$S$18:$S$19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Pronósticos!$S$18:$S$19</definedName>
    <definedName name="solver_lhs2" localSheetId="1" hidden="1">Pronósticos!$S$18:$S$19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Pronósticos!$U$33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1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  <definedName name="TreeData" localSheetId="0">'Arboles '!$GH$1001:$GV$1017</definedName>
    <definedName name="TreeDiagBase" localSheetId="0">'Arboles '!$G$24</definedName>
    <definedName name="TreeDiagram" localSheetId="0">'Arboles '!$G$24:$Y$67</definedName>
    <definedName name="UseExpUtility" localSheetId="0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9" i="1" l="1"/>
  <c r="V54" i="1"/>
  <c r="V44" i="1"/>
  <c r="V39" i="1"/>
  <c r="S44" i="1"/>
  <c r="B37" i="1"/>
  <c r="B34" i="1"/>
  <c r="C38" i="1" s="1"/>
  <c r="B33" i="1"/>
  <c r="C37" i="1" s="1"/>
  <c r="J27" i="5"/>
  <c r="J26" i="5"/>
  <c r="J25" i="5"/>
  <c r="J23" i="5"/>
  <c r="J19" i="5"/>
  <c r="J20" i="5" s="1"/>
  <c r="J18" i="5"/>
  <c r="J17" i="5"/>
  <c r="J13" i="5"/>
  <c r="J14" i="5" s="1"/>
  <c r="J12" i="5"/>
  <c r="J11" i="5"/>
  <c r="J7" i="5"/>
  <c r="J5" i="5"/>
  <c r="I34" i="3"/>
  <c r="I32" i="3"/>
  <c r="I31" i="3"/>
  <c r="I30" i="3"/>
  <c r="I28" i="3"/>
  <c r="I24" i="3"/>
  <c r="I13" i="3"/>
  <c r="I10" i="3"/>
  <c r="I9" i="3"/>
  <c r="I8" i="3"/>
  <c r="I6" i="3"/>
  <c r="I2" i="3"/>
  <c r="M33" i="2"/>
  <c r="G33" i="2"/>
  <c r="U23" i="2"/>
  <c r="T23" i="2"/>
  <c r="R23" i="2"/>
  <c r="S23" i="2" s="1"/>
  <c r="M30" i="2"/>
  <c r="M24" i="2"/>
  <c r="L31" i="2"/>
  <c r="L30" i="2"/>
  <c r="L29" i="2"/>
  <c r="M29" i="2" s="1"/>
  <c r="L28" i="2"/>
  <c r="M28" i="2" s="1"/>
  <c r="L27" i="2"/>
  <c r="M27" i="2" s="1"/>
  <c r="L26" i="2"/>
  <c r="M26" i="2" s="1"/>
  <c r="L25" i="2"/>
  <c r="M25" i="2" s="1"/>
  <c r="L24" i="2"/>
  <c r="D35" i="2"/>
  <c r="D34" i="2"/>
  <c r="F22" i="2" s="1"/>
  <c r="G22" i="2" s="1"/>
  <c r="D33" i="2"/>
  <c r="F31" i="2" s="1"/>
  <c r="Y61" i="1"/>
  <c r="W62" i="1" s="1"/>
  <c r="Y56" i="1"/>
  <c r="W57" i="1" s="1"/>
  <c r="Y66" i="1"/>
  <c r="S67" i="1" s="1"/>
  <c r="Y46" i="1"/>
  <c r="W47" i="1" s="1"/>
  <c r="Y41" i="1"/>
  <c r="W42" i="1" s="1"/>
  <c r="Y51" i="1"/>
  <c r="S52" i="1" s="1"/>
  <c r="Y31" i="1"/>
  <c r="S32" i="1" s="1"/>
  <c r="Y26" i="1"/>
  <c r="S27" i="1" s="1"/>
  <c r="Y36" i="1"/>
  <c r="O37" i="1" s="1"/>
  <c r="I17" i="3" l="1"/>
  <c r="I20" i="3" s="1"/>
  <c r="T24" i="2"/>
  <c r="U24" i="2" s="1"/>
  <c r="R24" i="2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O29" i="1"/>
  <c r="K33" i="1" s="1"/>
  <c r="B40" i="1" s="1"/>
  <c r="O48" i="1"/>
  <c r="B38" i="1"/>
  <c r="S59" i="1" s="1"/>
  <c r="O63" i="1" s="1"/>
  <c r="P62" i="1" s="1"/>
  <c r="I19" i="3" l="1"/>
  <c r="I21" i="3" s="1"/>
  <c r="S24" i="2"/>
  <c r="R25" i="2" s="1"/>
  <c r="K55" i="1"/>
  <c r="P47" i="1"/>
  <c r="L32" i="1"/>
  <c r="S25" i="2" l="1"/>
  <c r="R26" i="2" s="1"/>
  <c r="T25" i="2"/>
  <c r="U25" i="2" s="1"/>
  <c r="G44" i="1"/>
  <c r="H43" i="1" s="1"/>
  <c r="D40" i="1"/>
  <c r="B42" i="1" s="1"/>
  <c r="T26" i="2" l="1"/>
  <c r="U26" i="2" s="1"/>
  <c r="S26" i="2"/>
  <c r="T27" i="2" s="1"/>
  <c r="U27" i="2" s="1"/>
  <c r="R27" i="2" l="1"/>
  <c r="S27" i="2" l="1"/>
  <c r="R28" i="2" s="1"/>
  <c r="S28" i="2" l="1"/>
  <c r="T29" i="2" s="1"/>
  <c r="U29" i="2" s="1"/>
  <c r="T28" i="2"/>
  <c r="U28" i="2" s="1"/>
  <c r="R29" i="2" l="1"/>
  <c r="S29" i="2" l="1"/>
  <c r="T30" i="2" s="1"/>
  <c r="U30" i="2" s="1"/>
  <c r="U33" i="2" s="1"/>
  <c r="R30" i="2" l="1"/>
  <c r="S30" i="2" s="1"/>
  <c r="T31" i="2" s="1"/>
</calcChain>
</file>

<file path=xl/sharedStrings.xml><?xml version="1.0" encoding="utf-8"?>
<sst xmlns="http://schemas.openxmlformats.org/spreadsheetml/2006/main" count="218" uniqueCount="123">
  <si>
    <t>ID</t>
  </si>
  <si>
    <t>Name</t>
  </si>
  <si>
    <t>Value</t>
  </si>
  <si>
    <t>Prob</t>
  </si>
  <si>
    <t>TreePlan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</si>
  <si>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</si>
  <si>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</si>
  <si>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</si>
  <si>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</si>
  <si>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</si>
  <si>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</si>
  <si>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</si>
  <si>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</si>
  <si>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</si>
  <si>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</si>
  <si>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</si>
  <si>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D</t>
  </si>
  <si>
    <t>T</t>
  </si>
  <si>
    <t>TreePlan Student License</t>
  </si>
  <si>
    <t>For Education Only</t>
  </si>
  <si>
    <t>Sin consultora</t>
  </si>
  <si>
    <t>Con consultora</t>
  </si>
  <si>
    <t>AnBlack</t>
  </si>
  <si>
    <t>Ir a juicio</t>
  </si>
  <si>
    <t xml:space="preserve">Ganar </t>
  </si>
  <si>
    <t>Perder</t>
  </si>
  <si>
    <t>Ir a Jucio</t>
  </si>
  <si>
    <t>Pagar acuerdo</t>
  </si>
  <si>
    <t>Consultora</t>
  </si>
  <si>
    <t>Diga Ganar</t>
  </si>
  <si>
    <t>Diga Perder</t>
  </si>
  <si>
    <t>Prob.</t>
  </si>
  <si>
    <t>Prob. A Posteriori</t>
  </si>
  <si>
    <t>E</t>
  </si>
  <si>
    <t>Ganar</t>
  </si>
  <si>
    <t>Dice Ganar</t>
  </si>
  <si>
    <t xml:space="preserve">Dice Perder </t>
  </si>
  <si>
    <t>VEIM=</t>
  </si>
  <si>
    <t>-</t>
  </si>
  <si>
    <t>R/ La mejor decisión es contratar a la consultora. Si dice que se gana, se va a juicio,</t>
  </si>
  <si>
    <t xml:space="preserve">Si dice que se pierde, se paga el acuerdo. </t>
  </si>
  <si>
    <t>Lo más que se le podría pagar a la consultora es $3,600</t>
  </si>
  <si>
    <t>Periodos Mensuales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</si>
  <si>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</si>
  <si>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</si>
  <si>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</si>
  <si>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</si>
  <si>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</si>
  <si>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</si>
  <si>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</si>
  <si>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</si>
  <si>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</si>
  <si>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</si>
  <si>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Método Regresión Lineal</t>
  </si>
  <si>
    <t>Ŷ</t>
  </si>
  <si>
    <t>a=</t>
  </si>
  <si>
    <t>b=</t>
  </si>
  <si>
    <t xml:space="preserve">Periodo (x) </t>
  </si>
  <si>
    <t>Demanda (Y)</t>
  </si>
  <si>
    <t>R²=</t>
  </si>
  <si>
    <t>(Yt-Ŷt)²</t>
  </si>
  <si>
    <t>EMC=</t>
  </si>
  <si>
    <t>Método Promedio Móvil (n=2)</t>
  </si>
  <si>
    <t xml:space="preserve">Método Holt </t>
  </si>
  <si>
    <t>At</t>
  </si>
  <si>
    <t>Tt</t>
  </si>
  <si>
    <t>a</t>
  </si>
  <si>
    <t>b</t>
  </si>
  <si>
    <t>D=</t>
  </si>
  <si>
    <t>Co=</t>
  </si>
  <si>
    <t>Ch=</t>
  </si>
  <si>
    <t>$/und*año</t>
  </si>
  <si>
    <t>$/lote</t>
  </si>
  <si>
    <t>Q=</t>
  </si>
  <si>
    <t>kg/pedido</t>
  </si>
  <si>
    <t>kg/año</t>
  </si>
  <si>
    <t>Costo Ordenar</t>
  </si>
  <si>
    <t>Costo Almacenar</t>
  </si>
  <si>
    <t>Costo Total</t>
  </si>
  <si>
    <t>a)</t>
  </si>
  <si>
    <t>b)</t>
  </si>
  <si>
    <t>c)</t>
  </si>
  <si>
    <t>d)</t>
  </si>
  <si>
    <t>Gasto Adicional</t>
  </si>
  <si>
    <t xml:space="preserve">Variables </t>
  </si>
  <si>
    <t>X1=</t>
  </si>
  <si>
    <t>X2=</t>
  </si>
  <si>
    <t>Cantidad de Manteles Rectandulares por semana</t>
  </si>
  <si>
    <t>Cantidad de Manteles Redondos por semana</t>
  </si>
  <si>
    <t>Función Objetivo</t>
  </si>
  <si>
    <t>Max Z= 8X1+10X2</t>
  </si>
  <si>
    <t>Restricciones</t>
  </si>
  <si>
    <t>Sujeto a,</t>
  </si>
  <si>
    <t>Tela</t>
  </si>
  <si>
    <r>
      <t xml:space="preserve">2X1+3X2 </t>
    </r>
    <r>
      <rPr>
        <sz val="11"/>
        <color theme="1"/>
        <rFont val="Calibri"/>
        <family val="2"/>
      </rPr>
      <t>≤ 600</t>
    </r>
  </si>
  <si>
    <t>Esquineros</t>
  </si>
  <si>
    <r>
      <t xml:space="preserve">4X2 </t>
    </r>
    <r>
      <rPr>
        <sz val="11"/>
        <color theme="1"/>
        <rFont val="Calibri"/>
        <family val="2"/>
      </rPr>
      <t>≤ 600</t>
    </r>
  </si>
  <si>
    <t>Horas de MO</t>
  </si>
  <si>
    <r>
      <t xml:space="preserve">2X1+X2 </t>
    </r>
    <r>
      <rPr>
        <sz val="11"/>
        <color theme="1"/>
        <rFont val="Calibri"/>
        <family val="2"/>
      </rPr>
      <t>≤ 500</t>
    </r>
  </si>
  <si>
    <r>
      <t>Xi</t>
    </r>
    <r>
      <rPr>
        <sz val="11"/>
        <color theme="1"/>
        <rFont val="Calibri"/>
        <family val="2"/>
      </rPr>
      <t>≥0 ꓯ i</t>
    </r>
  </si>
  <si>
    <r>
      <t>Xi</t>
    </r>
    <r>
      <rPr>
        <sz val="11"/>
        <color theme="1"/>
        <rFont val="Calibri"/>
        <family val="2"/>
      </rPr>
      <t>≥0,  i ={1,2}</t>
    </r>
  </si>
  <si>
    <t>lb/año</t>
  </si>
  <si>
    <t>σ=</t>
  </si>
  <si>
    <t>Cu=</t>
  </si>
  <si>
    <t>$/lb</t>
  </si>
  <si>
    <t>$/ord</t>
  </si>
  <si>
    <t>Ia=</t>
  </si>
  <si>
    <t>Nivel de Servicio</t>
  </si>
  <si>
    <r>
      <t>SS= Z*</t>
    </r>
    <r>
      <rPr>
        <sz val="11"/>
        <color theme="1"/>
        <rFont val="Calibri"/>
        <family val="2"/>
      </rPr>
      <t>σL</t>
    </r>
    <r>
      <rPr>
        <sz val="11"/>
        <color theme="1"/>
        <rFont val="Calibri"/>
        <family val="2"/>
        <scheme val="minor"/>
      </rPr>
      <t>=</t>
    </r>
  </si>
  <si>
    <t>Tiempo de entreda(L)</t>
  </si>
  <si>
    <t>4 semanas</t>
  </si>
  <si>
    <t>Z=</t>
  </si>
  <si>
    <t>σL=</t>
  </si>
  <si>
    <t>lb</t>
  </si>
  <si>
    <t>PRO=D*L + SS =</t>
  </si>
  <si>
    <t>Costo SS</t>
  </si>
  <si>
    <t>$/año</t>
  </si>
  <si>
    <t>Nivel de inventario para $5500</t>
  </si>
  <si>
    <t>Nivel de servicio</t>
  </si>
  <si>
    <t>Despejado Z=</t>
  </si>
  <si>
    <t>Un faltante en 1000 (1/1000)</t>
  </si>
  <si>
    <t>Costo de Ordenar</t>
  </si>
  <si>
    <t>Costo de Almacenamiento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</si>
</sst>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0.0%"/>
    <numFmt numFmtId="165" formatCode="0.0"/>
    <numFmt numFmtId="166" formatCode="_-* #,##0.00_-;\-* #,##0.0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imes New Roman"/>
      <family val="1"/>
    </font>
    <font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Symbol"/>
      <family val="1"/>
      <charset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34">
    <xf numFmtId="0" fontId="0" fillId="0" borderId="0" xfId="0"/>
    <xf numFmtId="0" fontId="4" fillId="0" borderId="0" xfId="3" applyFont="1" applyProtection="1">
      <protection locked="0" hidden="1"/>
    </xf>
    <xf numFmtId="0" fontId="4" fillId="0" borderId="0" xfId="3" applyFon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2" applyFon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0" xfId="0" applyFont="1"/>
    <xf numFmtId="0" fontId="6" fillId="0" borderId="0" xfId="0" applyFont="1" applyFill="1" applyBorder="1" applyAlignment="1">
      <alignment vertical="center" wrapText="1"/>
    </xf>
    <xf numFmtId="2" fontId="0" fillId="0" borderId="0" xfId="0" applyNumberFormat="1"/>
    <xf numFmtId="2" fontId="6" fillId="0" borderId="4" xfId="0" applyNumberFormat="1" applyFont="1" applyBorder="1" applyAlignment="1">
      <alignment horizontal="center" vertical="center" wrapText="1"/>
    </xf>
    <xf numFmtId="0" fontId="5" fillId="0" borderId="0" xfId="0" applyFont="1"/>
    <xf numFmtId="0" fontId="8" fillId="0" borderId="0" xfId="0" applyFont="1" applyAlignment="1">
      <alignment horizontal="right"/>
    </xf>
    <xf numFmtId="165" fontId="0" fillId="0" borderId="0" xfId="0" applyNumberFormat="1"/>
    <xf numFmtId="2" fontId="6" fillId="2" borderId="4" xfId="0" applyNumberFormat="1" applyFont="1" applyFill="1" applyBorder="1" applyAlignment="1">
      <alignment horizontal="center" vertical="center" wrapText="1"/>
    </xf>
    <xf numFmtId="41" fontId="0" fillId="0" borderId="0" xfId="1" applyFont="1"/>
    <xf numFmtId="166" fontId="0" fillId="0" borderId="0" xfId="1" applyNumberFormat="1" applyFont="1"/>
    <xf numFmtId="0" fontId="0" fillId="0" borderId="0" xfId="0" applyAlignment="1">
      <alignment horizontal="right"/>
    </xf>
    <xf numFmtId="41" fontId="0" fillId="0" borderId="0" xfId="0" applyNumberFormat="1"/>
    <xf numFmtId="0" fontId="0" fillId="0" borderId="0" xfId="0" applyFont="1"/>
    <xf numFmtId="1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center" vertical="center"/>
    </xf>
  </cellXfs>
  <cellStyles count="4">
    <cellStyle name="Millares [0]" xfId="1" builtinId="6"/>
    <cellStyle name="Normal" xfId="0" builtinId="0"/>
    <cellStyle name="Normal 3" xfId="3" xr:uid="{46243DED-A6F8-4A5B-99E9-1FDCFCA58065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7979</xdr:colOff>
      <xdr:row>18</xdr:row>
      <xdr:rowOff>96997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7A7B4C-1028-28DC-6EEB-EE918FCF0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33419" cy="338883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152400</xdr:colOff>
      <xdr:row>31</xdr:row>
      <xdr:rowOff>152400</xdr:rowOff>
    </xdr:to>
    <xdr:sp macro="" textlink="">
      <xdr:nvSpPr>
        <xdr:cNvPr id="40" name="Square 1">
          <a:extLst>
            <a:ext uri="{FF2B5EF4-FFF2-40B4-BE49-F238E27FC236}">
              <a16:creationId xmlns:a16="http://schemas.microsoft.com/office/drawing/2014/main" id="{F5F5A87F-25A8-EAD0-3D71-2DBECB0D0021}"/>
            </a:ext>
          </a:extLst>
        </xdr:cNvPr>
        <xdr:cNvSpPr/>
      </xdr:nvSpPr>
      <xdr:spPr>
        <a:xfrm>
          <a:off x="7421880" y="566928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9</xdr:col>
      <xdr:colOff>0</xdr:colOff>
      <xdr:row>31</xdr:row>
      <xdr:rowOff>76200</xdr:rowOff>
    </xdr:from>
    <xdr:to>
      <xdr:col>11</xdr:col>
      <xdr:colOff>0</xdr:colOff>
      <xdr:row>31</xdr:row>
      <xdr:rowOff>76200</xdr:rowOff>
    </xdr:to>
    <xdr:sp macro="" textlink="">
      <xdr:nvSpPr>
        <xdr:cNvPr id="1105" name="Line 81">
          <a:extLst>
            <a:ext uri="{FF2B5EF4-FFF2-40B4-BE49-F238E27FC236}">
              <a16:creationId xmlns:a16="http://schemas.microsoft.com/office/drawing/2014/main" id="{87B7330E-797E-A0BA-CE27-30D56A0F337F}"/>
            </a:ext>
          </a:extLst>
        </xdr:cNvPr>
        <xdr:cNvSpPr>
          <a:spLocks noChangeShapeType="1"/>
        </xdr:cNvSpPr>
      </xdr:nvSpPr>
      <xdr:spPr bwMode="auto">
        <a:xfrm>
          <a:off x="5836920" y="57454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152400</xdr:colOff>
      <xdr:row>31</xdr:row>
      <xdr:rowOff>76200</xdr:rowOff>
    </xdr:from>
    <xdr:to>
      <xdr:col>9</xdr:col>
      <xdr:colOff>0</xdr:colOff>
      <xdr:row>42</xdr:row>
      <xdr:rowOff>76200</xdr:rowOff>
    </xdr:to>
    <xdr:sp macro="" textlink="">
      <xdr:nvSpPr>
        <xdr:cNvPr id="1106" name="Line 82">
          <a:extLst>
            <a:ext uri="{FF2B5EF4-FFF2-40B4-BE49-F238E27FC236}">
              <a16:creationId xmlns:a16="http://schemas.microsoft.com/office/drawing/2014/main" id="{C5467AC0-5BE2-7FD6-96DC-8CB23940F52B}"/>
            </a:ext>
          </a:extLst>
        </xdr:cNvPr>
        <xdr:cNvSpPr>
          <a:spLocks noChangeShapeType="1"/>
        </xdr:cNvSpPr>
      </xdr:nvSpPr>
      <xdr:spPr bwMode="auto">
        <a:xfrm flipV="1">
          <a:off x="5570220" y="5745480"/>
          <a:ext cx="266700" cy="20116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11</xdr:col>
      <xdr:colOff>0</xdr:colOff>
      <xdr:row>53</xdr:row>
      <xdr:rowOff>0</xdr:rowOff>
    </xdr:from>
    <xdr:to>
      <xdr:col>11</xdr:col>
      <xdr:colOff>152400</xdr:colOff>
      <xdr:row>53</xdr:row>
      <xdr:rowOff>152400</xdr:rowOff>
    </xdr:to>
    <xdr:sp macro="" textlink="">
      <xdr:nvSpPr>
        <xdr:cNvPr id="41" name="Circle 2">
          <a:extLst>
            <a:ext uri="{FF2B5EF4-FFF2-40B4-BE49-F238E27FC236}">
              <a16:creationId xmlns:a16="http://schemas.microsoft.com/office/drawing/2014/main" id="{14BD737D-032F-28C4-CEC6-6238B6001094}"/>
            </a:ext>
          </a:extLst>
        </xdr:cNvPr>
        <xdr:cNvSpPr/>
      </xdr:nvSpPr>
      <xdr:spPr>
        <a:xfrm>
          <a:off x="7421880" y="969264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9</xdr:col>
      <xdr:colOff>0</xdr:colOff>
      <xdr:row>53</xdr:row>
      <xdr:rowOff>76200</xdr:rowOff>
    </xdr:from>
    <xdr:to>
      <xdr:col>11</xdr:col>
      <xdr:colOff>0</xdr:colOff>
      <xdr:row>53</xdr:row>
      <xdr:rowOff>76200</xdr:rowOff>
    </xdr:to>
    <xdr:sp macro="" textlink="">
      <xdr:nvSpPr>
        <xdr:cNvPr id="1107" name="Line 83">
          <a:extLst>
            <a:ext uri="{FF2B5EF4-FFF2-40B4-BE49-F238E27FC236}">
              <a16:creationId xmlns:a16="http://schemas.microsoft.com/office/drawing/2014/main" id="{7453D08E-A703-CA9D-F245-26FF31B8E648}"/>
            </a:ext>
          </a:extLst>
        </xdr:cNvPr>
        <xdr:cNvSpPr>
          <a:spLocks noChangeShapeType="1"/>
        </xdr:cNvSpPr>
      </xdr:nvSpPr>
      <xdr:spPr bwMode="auto">
        <a:xfrm>
          <a:off x="5836920" y="976884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152400</xdr:colOff>
      <xdr:row>42</xdr:row>
      <xdr:rowOff>76200</xdr:rowOff>
    </xdr:from>
    <xdr:to>
      <xdr:col>9</xdr:col>
      <xdr:colOff>0</xdr:colOff>
      <xdr:row>53</xdr:row>
      <xdr:rowOff>76200</xdr:rowOff>
    </xdr:to>
    <xdr:sp macro="" textlink="">
      <xdr:nvSpPr>
        <xdr:cNvPr id="1108" name="Line 84">
          <a:extLst>
            <a:ext uri="{FF2B5EF4-FFF2-40B4-BE49-F238E27FC236}">
              <a16:creationId xmlns:a16="http://schemas.microsoft.com/office/drawing/2014/main" id="{37FBBF01-77F9-8832-8B81-58F21EFEDFA3}"/>
            </a:ext>
          </a:extLst>
        </xdr:cNvPr>
        <xdr:cNvSpPr>
          <a:spLocks noChangeShapeType="1"/>
        </xdr:cNvSpPr>
      </xdr:nvSpPr>
      <xdr:spPr bwMode="auto">
        <a:xfrm>
          <a:off x="5570220" y="7757160"/>
          <a:ext cx="266700" cy="20116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15</xdr:col>
      <xdr:colOff>0</xdr:colOff>
      <xdr:row>27</xdr:row>
      <xdr:rowOff>0</xdr:rowOff>
    </xdr:from>
    <xdr:to>
      <xdr:col>15</xdr:col>
      <xdr:colOff>152400</xdr:colOff>
      <xdr:row>27</xdr:row>
      <xdr:rowOff>152400</xdr:rowOff>
    </xdr:to>
    <xdr:sp macro="" textlink="">
      <xdr:nvSpPr>
        <xdr:cNvPr id="42" name="Circle 3">
          <a:extLst>
            <a:ext uri="{FF2B5EF4-FFF2-40B4-BE49-F238E27FC236}">
              <a16:creationId xmlns:a16="http://schemas.microsoft.com/office/drawing/2014/main" id="{F4EDEF3D-85E2-7327-5B42-6553B018CD19}"/>
            </a:ext>
          </a:extLst>
        </xdr:cNvPr>
        <xdr:cNvSpPr/>
      </xdr:nvSpPr>
      <xdr:spPr>
        <a:xfrm>
          <a:off x="9425940" y="493776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13</xdr:col>
      <xdr:colOff>0</xdr:colOff>
      <xdr:row>27</xdr:row>
      <xdr:rowOff>76200</xdr:rowOff>
    </xdr:from>
    <xdr:to>
      <xdr:col>15</xdr:col>
      <xdr:colOff>0</xdr:colOff>
      <xdr:row>27</xdr:row>
      <xdr:rowOff>76200</xdr:rowOff>
    </xdr:to>
    <xdr:sp macro="" textlink="">
      <xdr:nvSpPr>
        <xdr:cNvPr id="1109" name="Line 85">
          <a:extLst>
            <a:ext uri="{FF2B5EF4-FFF2-40B4-BE49-F238E27FC236}">
              <a16:creationId xmlns:a16="http://schemas.microsoft.com/office/drawing/2014/main" id="{D1445F0A-CEB1-6040-036C-9BBE3A7A58B3}"/>
            </a:ext>
          </a:extLst>
        </xdr:cNvPr>
        <xdr:cNvSpPr>
          <a:spLocks noChangeShapeType="1"/>
        </xdr:cNvSpPr>
      </xdr:nvSpPr>
      <xdr:spPr bwMode="auto">
        <a:xfrm>
          <a:off x="7840980" y="50139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152400</xdr:colOff>
      <xdr:row>27</xdr:row>
      <xdr:rowOff>76200</xdr:rowOff>
    </xdr:from>
    <xdr:to>
      <xdr:col>13</xdr:col>
      <xdr:colOff>0</xdr:colOff>
      <xdr:row>31</xdr:row>
      <xdr:rowOff>76200</xdr:rowOff>
    </xdr:to>
    <xdr:sp macro="" textlink="">
      <xdr:nvSpPr>
        <xdr:cNvPr id="1110" name="Line 86">
          <a:extLst>
            <a:ext uri="{FF2B5EF4-FFF2-40B4-BE49-F238E27FC236}">
              <a16:creationId xmlns:a16="http://schemas.microsoft.com/office/drawing/2014/main" id="{41BB140C-DEA5-31B0-62DC-CA7F195B5A6C}"/>
            </a:ext>
          </a:extLst>
        </xdr:cNvPr>
        <xdr:cNvSpPr>
          <a:spLocks noChangeShapeType="1"/>
        </xdr:cNvSpPr>
      </xdr:nvSpPr>
      <xdr:spPr bwMode="auto">
        <a:xfrm flipV="1">
          <a:off x="7574280" y="5013960"/>
          <a:ext cx="266700" cy="731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15</xdr:col>
      <xdr:colOff>0</xdr:colOff>
      <xdr:row>35</xdr:row>
      <xdr:rowOff>0</xdr:rowOff>
    </xdr:from>
    <xdr:to>
      <xdr:col>15</xdr:col>
      <xdr:colOff>152400</xdr:colOff>
      <xdr:row>35</xdr:row>
      <xdr:rowOff>152400</xdr:rowOff>
    </xdr:to>
    <xdr:sp macro="" textlink="">
      <xdr:nvSpPr>
        <xdr:cNvPr id="43" name="Triangle 4">
          <a:extLst>
            <a:ext uri="{FF2B5EF4-FFF2-40B4-BE49-F238E27FC236}">
              <a16:creationId xmlns:a16="http://schemas.microsoft.com/office/drawing/2014/main" id="{5DD01216-2B5A-8414-DEAC-99310F953906}"/>
            </a:ext>
          </a:extLst>
        </xdr:cNvPr>
        <xdr:cNvSpPr/>
      </xdr:nvSpPr>
      <xdr:spPr>
        <a:xfrm rot="16200000">
          <a:off x="9425940" y="64008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15</xdr:col>
      <xdr:colOff>152400</xdr:colOff>
      <xdr:row>35</xdr:row>
      <xdr:rowOff>76200</xdr:rowOff>
    </xdr:from>
    <xdr:to>
      <xdr:col>23</xdr:col>
      <xdr:colOff>0</xdr:colOff>
      <xdr:row>35</xdr:row>
      <xdr:rowOff>76200</xdr:rowOff>
    </xdr:to>
    <xdr:sp macro="" textlink="">
      <xdr:nvSpPr>
        <xdr:cNvPr id="1111" name="Line 87">
          <a:extLst>
            <a:ext uri="{FF2B5EF4-FFF2-40B4-BE49-F238E27FC236}">
              <a16:creationId xmlns:a16="http://schemas.microsoft.com/office/drawing/2014/main" id="{7EE6B117-CA56-0460-DD2B-E9EDDFA9843C}"/>
            </a:ext>
          </a:extLst>
        </xdr:cNvPr>
        <xdr:cNvSpPr>
          <a:spLocks noChangeShapeType="1"/>
        </xdr:cNvSpPr>
      </xdr:nvSpPr>
      <xdr:spPr bwMode="auto">
        <a:xfrm>
          <a:off x="9578340" y="6477000"/>
          <a:ext cx="385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35</xdr:row>
      <xdr:rowOff>76200</xdr:rowOff>
    </xdr:from>
    <xdr:to>
      <xdr:col>15</xdr:col>
      <xdr:colOff>0</xdr:colOff>
      <xdr:row>35</xdr:row>
      <xdr:rowOff>76200</xdr:rowOff>
    </xdr:to>
    <xdr:sp macro="" textlink="">
      <xdr:nvSpPr>
        <xdr:cNvPr id="1112" name="Line 88">
          <a:extLst>
            <a:ext uri="{FF2B5EF4-FFF2-40B4-BE49-F238E27FC236}">
              <a16:creationId xmlns:a16="http://schemas.microsoft.com/office/drawing/2014/main" id="{E17F5D0E-209E-FE46-E5F8-E6A8DB524540}"/>
            </a:ext>
          </a:extLst>
        </xdr:cNvPr>
        <xdr:cNvSpPr>
          <a:spLocks noChangeShapeType="1"/>
        </xdr:cNvSpPr>
      </xdr:nvSpPr>
      <xdr:spPr bwMode="auto">
        <a:xfrm>
          <a:off x="7840980" y="64770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152400</xdr:colOff>
      <xdr:row>31</xdr:row>
      <xdr:rowOff>76200</xdr:rowOff>
    </xdr:from>
    <xdr:to>
      <xdr:col>13</xdr:col>
      <xdr:colOff>0</xdr:colOff>
      <xdr:row>35</xdr:row>
      <xdr:rowOff>76200</xdr:rowOff>
    </xdr:to>
    <xdr:sp macro="" textlink="">
      <xdr:nvSpPr>
        <xdr:cNvPr id="1113" name="Line 89">
          <a:extLst>
            <a:ext uri="{FF2B5EF4-FFF2-40B4-BE49-F238E27FC236}">
              <a16:creationId xmlns:a16="http://schemas.microsoft.com/office/drawing/2014/main" id="{2DD1D8BA-80F7-DEB7-FE63-C70796F9D029}"/>
            </a:ext>
          </a:extLst>
        </xdr:cNvPr>
        <xdr:cNvSpPr>
          <a:spLocks noChangeShapeType="1"/>
        </xdr:cNvSpPr>
      </xdr:nvSpPr>
      <xdr:spPr bwMode="auto">
        <a:xfrm>
          <a:off x="7574280" y="5745480"/>
          <a:ext cx="266700" cy="731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152400</xdr:colOff>
      <xdr:row>25</xdr:row>
      <xdr:rowOff>152400</xdr:rowOff>
    </xdr:to>
    <xdr:sp macro="" textlink="">
      <xdr:nvSpPr>
        <xdr:cNvPr id="44" name="Triangle 5">
          <a:extLst>
            <a:ext uri="{FF2B5EF4-FFF2-40B4-BE49-F238E27FC236}">
              <a16:creationId xmlns:a16="http://schemas.microsoft.com/office/drawing/2014/main" id="{540FF7AF-8071-482E-CC13-7B4F4F6C126E}"/>
            </a:ext>
          </a:extLst>
        </xdr:cNvPr>
        <xdr:cNvSpPr/>
      </xdr:nvSpPr>
      <xdr:spPr>
        <a:xfrm rot="16200000">
          <a:off x="11430000" y="4572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19</xdr:col>
      <xdr:colOff>152400</xdr:colOff>
      <xdr:row>25</xdr:row>
      <xdr:rowOff>76200</xdr:rowOff>
    </xdr:from>
    <xdr:to>
      <xdr:col>23</xdr:col>
      <xdr:colOff>0</xdr:colOff>
      <xdr:row>25</xdr:row>
      <xdr:rowOff>76200</xdr:rowOff>
    </xdr:to>
    <xdr:sp macro="" textlink="">
      <xdr:nvSpPr>
        <xdr:cNvPr id="1114" name="Line 90">
          <a:extLst>
            <a:ext uri="{FF2B5EF4-FFF2-40B4-BE49-F238E27FC236}">
              <a16:creationId xmlns:a16="http://schemas.microsoft.com/office/drawing/2014/main" id="{B9446BE9-DB11-79DC-B161-4438A7B4608B}"/>
            </a:ext>
          </a:extLst>
        </xdr:cNvPr>
        <xdr:cNvSpPr>
          <a:spLocks noChangeShapeType="1"/>
        </xdr:cNvSpPr>
      </xdr:nvSpPr>
      <xdr:spPr bwMode="auto">
        <a:xfrm>
          <a:off x="11582400" y="464820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0</xdr:colOff>
      <xdr:row>25</xdr:row>
      <xdr:rowOff>76200</xdr:rowOff>
    </xdr:from>
    <xdr:to>
      <xdr:col>19</xdr:col>
      <xdr:colOff>0</xdr:colOff>
      <xdr:row>25</xdr:row>
      <xdr:rowOff>76200</xdr:rowOff>
    </xdr:to>
    <xdr:sp macro="" textlink="">
      <xdr:nvSpPr>
        <xdr:cNvPr id="1115" name="Line 91">
          <a:extLst>
            <a:ext uri="{FF2B5EF4-FFF2-40B4-BE49-F238E27FC236}">
              <a16:creationId xmlns:a16="http://schemas.microsoft.com/office/drawing/2014/main" id="{BFACB7FE-3634-484E-71DD-9AB5E0625CAF}"/>
            </a:ext>
          </a:extLst>
        </xdr:cNvPr>
        <xdr:cNvSpPr>
          <a:spLocks noChangeShapeType="1"/>
        </xdr:cNvSpPr>
      </xdr:nvSpPr>
      <xdr:spPr bwMode="auto">
        <a:xfrm>
          <a:off x="9845040" y="46482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152400</xdr:colOff>
      <xdr:row>25</xdr:row>
      <xdr:rowOff>76200</xdr:rowOff>
    </xdr:from>
    <xdr:to>
      <xdr:col>17</xdr:col>
      <xdr:colOff>0</xdr:colOff>
      <xdr:row>27</xdr:row>
      <xdr:rowOff>76200</xdr:rowOff>
    </xdr:to>
    <xdr:sp macro="" textlink="">
      <xdr:nvSpPr>
        <xdr:cNvPr id="1116" name="Line 92">
          <a:extLst>
            <a:ext uri="{FF2B5EF4-FFF2-40B4-BE49-F238E27FC236}">
              <a16:creationId xmlns:a16="http://schemas.microsoft.com/office/drawing/2014/main" id="{1E744FDA-9861-CDCB-5B02-C7586756AFF6}"/>
            </a:ext>
          </a:extLst>
        </xdr:cNvPr>
        <xdr:cNvSpPr>
          <a:spLocks noChangeShapeType="1"/>
        </xdr:cNvSpPr>
      </xdr:nvSpPr>
      <xdr:spPr bwMode="auto">
        <a:xfrm flipV="1">
          <a:off x="9578340" y="464820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152400</xdr:colOff>
      <xdr:row>30</xdr:row>
      <xdr:rowOff>152400</xdr:rowOff>
    </xdr:to>
    <xdr:sp macro="" textlink="">
      <xdr:nvSpPr>
        <xdr:cNvPr id="45" name="Triangle 6">
          <a:extLst>
            <a:ext uri="{FF2B5EF4-FFF2-40B4-BE49-F238E27FC236}">
              <a16:creationId xmlns:a16="http://schemas.microsoft.com/office/drawing/2014/main" id="{C5D5B0F5-2B0F-F4D8-20A5-4B844970CC6D}"/>
            </a:ext>
          </a:extLst>
        </xdr:cNvPr>
        <xdr:cNvSpPr/>
      </xdr:nvSpPr>
      <xdr:spPr>
        <a:xfrm rot="16200000">
          <a:off x="11430000" y="5486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19</xdr:col>
      <xdr:colOff>152400</xdr:colOff>
      <xdr:row>30</xdr:row>
      <xdr:rowOff>76200</xdr:rowOff>
    </xdr:from>
    <xdr:to>
      <xdr:col>23</xdr:col>
      <xdr:colOff>0</xdr:colOff>
      <xdr:row>30</xdr:row>
      <xdr:rowOff>76200</xdr:rowOff>
    </xdr:to>
    <xdr:sp macro="" textlink="">
      <xdr:nvSpPr>
        <xdr:cNvPr id="1117" name="Line 93">
          <a:extLst>
            <a:ext uri="{FF2B5EF4-FFF2-40B4-BE49-F238E27FC236}">
              <a16:creationId xmlns:a16="http://schemas.microsoft.com/office/drawing/2014/main" id="{5480F63A-5A8C-F9A7-06D8-21C5C5F3FD82}"/>
            </a:ext>
          </a:extLst>
        </xdr:cNvPr>
        <xdr:cNvSpPr>
          <a:spLocks noChangeShapeType="1"/>
        </xdr:cNvSpPr>
      </xdr:nvSpPr>
      <xdr:spPr bwMode="auto">
        <a:xfrm>
          <a:off x="11582400" y="556260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0</xdr:colOff>
      <xdr:row>30</xdr:row>
      <xdr:rowOff>76200</xdr:rowOff>
    </xdr:from>
    <xdr:to>
      <xdr:col>19</xdr:col>
      <xdr:colOff>0</xdr:colOff>
      <xdr:row>30</xdr:row>
      <xdr:rowOff>76200</xdr:rowOff>
    </xdr:to>
    <xdr:sp macro="" textlink="">
      <xdr:nvSpPr>
        <xdr:cNvPr id="1118" name="Line 94">
          <a:extLst>
            <a:ext uri="{FF2B5EF4-FFF2-40B4-BE49-F238E27FC236}">
              <a16:creationId xmlns:a16="http://schemas.microsoft.com/office/drawing/2014/main" id="{453A96B2-63C6-D5D0-A7E1-96BD2FC20674}"/>
            </a:ext>
          </a:extLst>
        </xdr:cNvPr>
        <xdr:cNvSpPr>
          <a:spLocks noChangeShapeType="1"/>
        </xdr:cNvSpPr>
      </xdr:nvSpPr>
      <xdr:spPr bwMode="auto">
        <a:xfrm>
          <a:off x="9845040" y="55626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152400</xdr:colOff>
      <xdr:row>27</xdr:row>
      <xdr:rowOff>76200</xdr:rowOff>
    </xdr:from>
    <xdr:to>
      <xdr:col>17</xdr:col>
      <xdr:colOff>0</xdr:colOff>
      <xdr:row>30</xdr:row>
      <xdr:rowOff>76200</xdr:rowOff>
    </xdr:to>
    <xdr:sp macro="" textlink="">
      <xdr:nvSpPr>
        <xdr:cNvPr id="1119" name="Line 95">
          <a:extLst>
            <a:ext uri="{FF2B5EF4-FFF2-40B4-BE49-F238E27FC236}">
              <a16:creationId xmlns:a16="http://schemas.microsoft.com/office/drawing/2014/main" id="{8BEFE479-9008-B551-3672-F1A45598A42B}"/>
            </a:ext>
          </a:extLst>
        </xdr:cNvPr>
        <xdr:cNvSpPr>
          <a:spLocks noChangeShapeType="1"/>
        </xdr:cNvSpPr>
      </xdr:nvSpPr>
      <xdr:spPr bwMode="auto">
        <a:xfrm>
          <a:off x="9578340" y="501396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15</xdr:col>
      <xdr:colOff>0</xdr:colOff>
      <xdr:row>46</xdr:row>
      <xdr:rowOff>0</xdr:rowOff>
    </xdr:from>
    <xdr:to>
      <xdr:col>15</xdr:col>
      <xdr:colOff>152400</xdr:colOff>
      <xdr:row>46</xdr:row>
      <xdr:rowOff>152400</xdr:rowOff>
    </xdr:to>
    <xdr:sp macro="" textlink="">
      <xdr:nvSpPr>
        <xdr:cNvPr id="46" name="Square 7">
          <a:extLst>
            <a:ext uri="{FF2B5EF4-FFF2-40B4-BE49-F238E27FC236}">
              <a16:creationId xmlns:a16="http://schemas.microsoft.com/office/drawing/2014/main" id="{749463F8-E951-9F47-A6A6-81E62C6B2C65}"/>
            </a:ext>
          </a:extLst>
        </xdr:cNvPr>
        <xdr:cNvSpPr/>
      </xdr:nvSpPr>
      <xdr:spPr>
        <a:xfrm>
          <a:off x="9425940" y="841248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13</xdr:col>
      <xdr:colOff>0</xdr:colOff>
      <xdr:row>46</xdr:row>
      <xdr:rowOff>76200</xdr:rowOff>
    </xdr:from>
    <xdr:to>
      <xdr:col>15</xdr:col>
      <xdr:colOff>0</xdr:colOff>
      <xdr:row>46</xdr:row>
      <xdr:rowOff>76200</xdr:rowOff>
    </xdr:to>
    <xdr:sp macro="" textlink="">
      <xdr:nvSpPr>
        <xdr:cNvPr id="1120" name="Line 96">
          <a:extLst>
            <a:ext uri="{FF2B5EF4-FFF2-40B4-BE49-F238E27FC236}">
              <a16:creationId xmlns:a16="http://schemas.microsoft.com/office/drawing/2014/main" id="{1ED4050D-BFA3-EB1D-47B0-365E207F6CBF}"/>
            </a:ext>
          </a:extLst>
        </xdr:cNvPr>
        <xdr:cNvSpPr>
          <a:spLocks noChangeShapeType="1"/>
        </xdr:cNvSpPr>
      </xdr:nvSpPr>
      <xdr:spPr bwMode="auto">
        <a:xfrm>
          <a:off x="7840980" y="84886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152400</xdr:colOff>
      <xdr:row>46</xdr:row>
      <xdr:rowOff>76200</xdr:rowOff>
    </xdr:from>
    <xdr:to>
      <xdr:col>13</xdr:col>
      <xdr:colOff>0</xdr:colOff>
      <xdr:row>53</xdr:row>
      <xdr:rowOff>76200</xdr:rowOff>
    </xdr:to>
    <xdr:sp macro="" textlink="">
      <xdr:nvSpPr>
        <xdr:cNvPr id="1121" name="Line 97">
          <a:extLst>
            <a:ext uri="{FF2B5EF4-FFF2-40B4-BE49-F238E27FC236}">
              <a16:creationId xmlns:a16="http://schemas.microsoft.com/office/drawing/2014/main" id="{BAC295E1-C72D-4A18-88D8-DA31628E3B07}"/>
            </a:ext>
          </a:extLst>
        </xdr:cNvPr>
        <xdr:cNvSpPr>
          <a:spLocks noChangeShapeType="1"/>
        </xdr:cNvSpPr>
      </xdr:nvSpPr>
      <xdr:spPr bwMode="auto">
        <a:xfrm flipV="1">
          <a:off x="7574280" y="8488680"/>
          <a:ext cx="266700" cy="12801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15</xdr:col>
      <xdr:colOff>0</xdr:colOff>
      <xdr:row>61</xdr:row>
      <xdr:rowOff>0</xdr:rowOff>
    </xdr:from>
    <xdr:to>
      <xdr:col>15</xdr:col>
      <xdr:colOff>152400</xdr:colOff>
      <xdr:row>61</xdr:row>
      <xdr:rowOff>152400</xdr:rowOff>
    </xdr:to>
    <xdr:sp macro="" textlink="">
      <xdr:nvSpPr>
        <xdr:cNvPr id="47" name="Square 8">
          <a:extLst>
            <a:ext uri="{FF2B5EF4-FFF2-40B4-BE49-F238E27FC236}">
              <a16:creationId xmlns:a16="http://schemas.microsoft.com/office/drawing/2014/main" id="{0371E7BF-3F38-F20B-D77D-EF57D57B60E9}"/>
            </a:ext>
          </a:extLst>
        </xdr:cNvPr>
        <xdr:cNvSpPr/>
      </xdr:nvSpPr>
      <xdr:spPr>
        <a:xfrm>
          <a:off x="9425940" y="1115568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13</xdr:col>
      <xdr:colOff>0</xdr:colOff>
      <xdr:row>61</xdr:row>
      <xdr:rowOff>76200</xdr:rowOff>
    </xdr:from>
    <xdr:to>
      <xdr:col>15</xdr:col>
      <xdr:colOff>0</xdr:colOff>
      <xdr:row>61</xdr:row>
      <xdr:rowOff>76200</xdr:rowOff>
    </xdr:to>
    <xdr:sp macro="" textlink="">
      <xdr:nvSpPr>
        <xdr:cNvPr id="1122" name="Line 98">
          <a:extLst>
            <a:ext uri="{FF2B5EF4-FFF2-40B4-BE49-F238E27FC236}">
              <a16:creationId xmlns:a16="http://schemas.microsoft.com/office/drawing/2014/main" id="{07D84D51-F511-1D7C-FE19-8F3F145FD9E4}"/>
            </a:ext>
          </a:extLst>
        </xdr:cNvPr>
        <xdr:cNvSpPr>
          <a:spLocks noChangeShapeType="1"/>
        </xdr:cNvSpPr>
      </xdr:nvSpPr>
      <xdr:spPr bwMode="auto">
        <a:xfrm>
          <a:off x="7840980" y="1123188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152400</xdr:colOff>
      <xdr:row>53</xdr:row>
      <xdr:rowOff>76200</xdr:rowOff>
    </xdr:from>
    <xdr:to>
      <xdr:col>13</xdr:col>
      <xdr:colOff>0</xdr:colOff>
      <xdr:row>61</xdr:row>
      <xdr:rowOff>76200</xdr:rowOff>
    </xdr:to>
    <xdr:sp macro="" textlink="">
      <xdr:nvSpPr>
        <xdr:cNvPr id="1123" name="Line 99">
          <a:extLst>
            <a:ext uri="{FF2B5EF4-FFF2-40B4-BE49-F238E27FC236}">
              <a16:creationId xmlns:a16="http://schemas.microsoft.com/office/drawing/2014/main" id="{3ADC3519-5023-BD2D-F921-CBA8917A6540}"/>
            </a:ext>
          </a:extLst>
        </xdr:cNvPr>
        <xdr:cNvSpPr>
          <a:spLocks noChangeShapeType="1"/>
        </xdr:cNvSpPr>
      </xdr:nvSpPr>
      <xdr:spPr bwMode="auto">
        <a:xfrm>
          <a:off x="7574280" y="9768840"/>
          <a:ext cx="266700" cy="14630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19</xdr:col>
      <xdr:colOff>0</xdr:colOff>
      <xdr:row>42</xdr:row>
      <xdr:rowOff>0</xdr:rowOff>
    </xdr:from>
    <xdr:to>
      <xdr:col>19</xdr:col>
      <xdr:colOff>152400</xdr:colOff>
      <xdr:row>42</xdr:row>
      <xdr:rowOff>152400</xdr:rowOff>
    </xdr:to>
    <xdr:sp macro="" textlink="">
      <xdr:nvSpPr>
        <xdr:cNvPr id="48" name="Circle 9">
          <a:extLst>
            <a:ext uri="{FF2B5EF4-FFF2-40B4-BE49-F238E27FC236}">
              <a16:creationId xmlns:a16="http://schemas.microsoft.com/office/drawing/2014/main" id="{EF312292-EBB8-C2FB-2BD2-B1AF15275402}"/>
            </a:ext>
          </a:extLst>
        </xdr:cNvPr>
        <xdr:cNvSpPr/>
      </xdr:nvSpPr>
      <xdr:spPr>
        <a:xfrm>
          <a:off x="11430000" y="768096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17</xdr:col>
      <xdr:colOff>0</xdr:colOff>
      <xdr:row>42</xdr:row>
      <xdr:rowOff>76200</xdr:rowOff>
    </xdr:from>
    <xdr:to>
      <xdr:col>19</xdr:col>
      <xdr:colOff>0</xdr:colOff>
      <xdr:row>42</xdr:row>
      <xdr:rowOff>76200</xdr:rowOff>
    </xdr:to>
    <xdr:sp macro="" textlink="">
      <xdr:nvSpPr>
        <xdr:cNvPr id="1124" name="Line 100">
          <a:extLst>
            <a:ext uri="{FF2B5EF4-FFF2-40B4-BE49-F238E27FC236}">
              <a16:creationId xmlns:a16="http://schemas.microsoft.com/office/drawing/2014/main" id="{E8269A72-1DB9-1833-76AE-40FFC8C3BFF1}"/>
            </a:ext>
          </a:extLst>
        </xdr:cNvPr>
        <xdr:cNvSpPr>
          <a:spLocks noChangeShapeType="1"/>
        </xdr:cNvSpPr>
      </xdr:nvSpPr>
      <xdr:spPr bwMode="auto">
        <a:xfrm>
          <a:off x="9845040" y="77571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152400</xdr:colOff>
      <xdr:row>42</xdr:row>
      <xdr:rowOff>76200</xdr:rowOff>
    </xdr:from>
    <xdr:to>
      <xdr:col>17</xdr:col>
      <xdr:colOff>0</xdr:colOff>
      <xdr:row>46</xdr:row>
      <xdr:rowOff>76200</xdr:rowOff>
    </xdr:to>
    <xdr:sp macro="" textlink="">
      <xdr:nvSpPr>
        <xdr:cNvPr id="1125" name="Line 101">
          <a:extLst>
            <a:ext uri="{FF2B5EF4-FFF2-40B4-BE49-F238E27FC236}">
              <a16:creationId xmlns:a16="http://schemas.microsoft.com/office/drawing/2014/main" id="{8D6CCD90-3050-5404-7C6D-8C8C27917B73}"/>
            </a:ext>
          </a:extLst>
        </xdr:cNvPr>
        <xdr:cNvSpPr>
          <a:spLocks noChangeShapeType="1"/>
        </xdr:cNvSpPr>
      </xdr:nvSpPr>
      <xdr:spPr bwMode="auto">
        <a:xfrm flipV="1">
          <a:off x="9578340" y="7757160"/>
          <a:ext cx="266700" cy="731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19</xdr:col>
      <xdr:colOff>0</xdr:colOff>
      <xdr:row>50</xdr:row>
      <xdr:rowOff>0</xdr:rowOff>
    </xdr:from>
    <xdr:to>
      <xdr:col>19</xdr:col>
      <xdr:colOff>152400</xdr:colOff>
      <xdr:row>50</xdr:row>
      <xdr:rowOff>152400</xdr:rowOff>
    </xdr:to>
    <xdr:sp macro="" textlink="">
      <xdr:nvSpPr>
        <xdr:cNvPr id="49" name="Triangle 10">
          <a:extLst>
            <a:ext uri="{FF2B5EF4-FFF2-40B4-BE49-F238E27FC236}">
              <a16:creationId xmlns:a16="http://schemas.microsoft.com/office/drawing/2014/main" id="{9D26986E-194D-6831-13C1-E11A14A0310F}"/>
            </a:ext>
          </a:extLst>
        </xdr:cNvPr>
        <xdr:cNvSpPr/>
      </xdr:nvSpPr>
      <xdr:spPr>
        <a:xfrm rot="16200000">
          <a:off x="11430000" y="9144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19</xdr:col>
      <xdr:colOff>152400</xdr:colOff>
      <xdr:row>50</xdr:row>
      <xdr:rowOff>76200</xdr:rowOff>
    </xdr:from>
    <xdr:to>
      <xdr:col>23</xdr:col>
      <xdr:colOff>0</xdr:colOff>
      <xdr:row>50</xdr:row>
      <xdr:rowOff>76200</xdr:rowOff>
    </xdr:to>
    <xdr:sp macro="" textlink="">
      <xdr:nvSpPr>
        <xdr:cNvPr id="1126" name="Line 102">
          <a:extLst>
            <a:ext uri="{FF2B5EF4-FFF2-40B4-BE49-F238E27FC236}">
              <a16:creationId xmlns:a16="http://schemas.microsoft.com/office/drawing/2014/main" id="{BE36DF32-EA98-250D-B906-2E5D524C6007}"/>
            </a:ext>
          </a:extLst>
        </xdr:cNvPr>
        <xdr:cNvSpPr>
          <a:spLocks noChangeShapeType="1"/>
        </xdr:cNvSpPr>
      </xdr:nvSpPr>
      <xdr:spPr bwMode="auto">
        <a:xfrm>
          <a:off x="11582400" y="922020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0</xdr:colOff>
      <xdr:row>50</xdr:row>
      <xdr:rowOff>76200</xdr:rowOff>
    </xdr:from>
    <xdr:to>
      <xdr:col>19</xdr:col>
      <xdr:colOff>0</xdr:colOff>
      <xdr:row>50</xdr:row>
      <xdr:rowOff>76200</xdr:rowOff>
    </xdr:to>
    <xdr:sp macro="" textlink="">
      <xdr:nvSpPr>
        <xdr:cNvPr id="1127" name="Line 103">
          <a:extLst>
            <a:ext uri="{FF2B5EF4-FFF2-40B4-BE49-F238E27FC236}">
              <a16:creationId xmlns:a16="http://schemas.microsoft.com/office/drawing/2014/main" id="{36D10BBE-68EF-782F-8923-50E846DCC890}"/>
            </a:ext>
          </a:extLst>
        </xdr:cNvPr>
        <xdr:cNvSpPr>
          <a:spLocks noChangeShapeType="1"/>
        </xdr:cNvSpPr>
      </xdr:nvSpPr>
      <xdr:spPr bwMode="auto">
        <a:xfrm>
          <a:off x="9845040" y="92202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152400</xdr:colOff>
      <xdr:row>46</xdr:row>
      <xdr:rowOff>76200</xdr:rowOff>
    </xdr:from>
    <xdr:to>
      <xdr:col>17</xdr:col>
      <xdr:colOff>0</xdr:colOff>
      <xdr:row>50</xdr:row>
      <xdr:rowOff>76200</xdr:rowOff>
    </xdr:to>
    <xdr:sp macro="" textlink="">
      <xdr:nvSpPr>
        <xdr:cNvPr id="1128" name="Line 104">
          <a:extLst>
            <a:ext uri="{FF2B5EF4-FFF2-40B4-BE49-F238E27FC236}">
              <a16:creationId xmlns:a16="http://schemas.microsoft.com/office/drawing/2014/main" id="{F96A13C0-AF24-7054-843B-6EE183071062}"/>
            </a:ext>
          </a:extLst>
        </xdr:cNvPr>
        <xdr:cNvSpPr>
          <a:spLocks noChangeShapeType="1"/>
        </xdr:cNvSpPr>
      </xdr:nvSpPr>
      <xdr:spPr bwMode="auto">
        <a:xfrm>
          <a:off x="9578340" y="8488680"/>
          <a:ext cx="266700" cy="731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23</xdr:col>
      <xdr:colOff>1</xdr:colOff>
      <xdr:row>40</xdr:row>
      <xdr:rowOff>0</xdr:rowOff>
    </xdr:from>
    <xdr:to>
      <xdr:col>23</xdr:col>
      <xdr:colOff>152401</xdr:colOff>
      <xdr:row>40</xdr:row>
      <xdr:rowOff>152400</xdr:rowOff>
    </xdr:to>
    <xdr:sp macro="" textlink="">
      <xdr:nvSpPr>
        <xdr:cNvPr id="50" name="Triangle 11">
          <a:extLst>
            <a:ext uri="{FF2B5EF4-FFF2-40B4-BE49-F238E27FC236}">
              <a16:creationId xmlns:a16="http://schemas.microsoft.com/office/drawing/2014/main" id="{1899D4F1-FBCE-1ED0-6818-2BFDE391E795}"/>
            </a:ext>
          </a:extLst>
        </xdr:cNvPr>
        <xdr:cNvSpPr/>
      </xdr:nvSpPr>
      <xdr:spPr>
        <a:xfrm rot="16200000">
          <a:off x="13434061" y="73152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21</xdr:col>
      <xdr:colOff>0</xdr:colOff>
      <xdr:row>40</xdr:row>
      <xdr:rowOff>76200</xdr:rowOff>
    </xdr:from>
    <xdr:to>
      <xdr:col>23</xdr:col>
      <xdr:colOff>0</xdr:colOff>
      <xdr:row>40</xdr:row>
      <xdr:rowOff>76200</xdr:rowOff>
    </xdr:to>
    <xdr:sp macro="" textlink="">
      <xdr:nvSpPr>
        <xdr:cNvPr id="1129" name="Line 105">
          <a:extLst>
            <a:ext uri="{FF2B5EF4-FFF2-40B4-BE49-F238E27FC236}">
              <a16:creationId xmlns:a16="http://schemas.microsoft.com/office/drawing/2014/main" id="{6C6FCC3C-967C-E91B-5A05-04CF2EF42C91}"/>
            </a:ext>
          </a:extLst>
        </xdr:cNvPr>
        <xdr:cNvSpPr>
          <a:spLocks noChangeShapeType="1"/>
        </xdr:cNvSpPr>
      </xdr:nvSpPr>
      <xdr:spPr bwMode="auto">
        <a:xfrm>
          <a:off x="11849100" y="73914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152400</xdr:colOff>
      <xdr:row>40</xdr:row>
      <xdr:rowOff>76200</xdr:rowOff>
    </xdr:from>
    <xdr:to>
      <xdr:col>21</xdr:col>
      <xdr:colOff>0</xdr:colOff>
      <xdr:row>42</xdr:row>
      <xdr:rowOff>76200</xdr:rowOff>
    </xdr:to>
    <xdr:sp macro="" textlink="">
      <xdr:nvSpPr>
        <xdr:cNvPr id="1130" name="Line 106">
          <a:extLst>
            <a:ext uri="{FF2B5EF4-FFF2-40B4-BE49-F238E27FC236}">
              <a16:creationId xmlns:a16="http://schemas.microsoft.com/office/drawing/2014/main" id="{4B630D9D-2796-DF43-0DF4-514709623DC0}"/>
            </a:ext>
          </a:extLst>
        </xdr:cNvPr>
        <xdr:cNvSpPr>
          <a:spLocks noChangeShapeType="1"/>
        </xdr:cNvSpPr>
      </xdr:nvSpPr>
      <xdr:spPr bwMode="auto">
        <a:xfrm flipV="1">
          <a:off x="11582400" y="739140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23</xdr:col>
      <xdr:colOff>1</xdr:colOff>
      <xdr:row>45</xdr:row>
      <xdr:rowOff>0</xdr:rowOff>
    </xdr:from>
    <xdr:to>
      <xdr:col>23</xdr:col>
      <xdr:colOff>152401</xdr:colOff>
      <xdr:row>45</xdr:row>
      <xdr:rowOff>152400</xdr:rowOff>
    </xdr:to>
    <xdr:sp macro="" textlink="">
      <xdr:nvSpPr>
        <xdr:cNvPr id="51" name="Triangle 12">
          <a:extLst>
            <a:ext uri="{FF2B5EF4-FFF2-40B4-BE49-F238E27FC236}">
              <a16:creationId xmlns:a16="http://schemas.microsoft.com/office/drawing/2014/main" id="{CE7CDA36-36DF-7315-AE5F-1DBF93B08A24}"/>
            </a:ext>
          </a:extLst>
        </xdr:cNvPr>
        <xdr:cNvSpPr/>
      </xdr:nvSpPr>
      <xdr:spPr>
        <a:xfrm rot="16200000">
          <a:off x="13434061" y="8229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21</xdr:col>
      <xdr:colOff>0</xdr:colOff>
      <xdr:row>45</xdr:row>
      <xdr:rowOff>76200</xdr:rowOff>
    </xdr:from>
    <xdr:to>
      <xdr:col>23</xdr:col>
      <xdr:colOff>0</xdr:colOff>
      <xdr:row>45</xdr:row>
      <xdr:rowOff>76200</xdr:rowOff>
    </xdr:to>
    <xdr:sp macro="" textlink="">
      <xdr:nvSpPr>
        <xdr:cNvPr id="1131" name="Line 107">
          <a:extLst>
            <a:ext uri="{FF2B5EF4-FFF2-40B4-BE49-F238E27FC236}">
              <a16:creationId xmlns:a16="http://schemas.microsoft.com/office/drawing/2014/main" id="{90245164-B937-03A6-AFFF-8DF3FE0694E6}"/>
            </a:ext>
          </a:extLst>
        </xdr:cNvPr>
        <xdr:cNvSpPr>
          <a:spLocks noChangeShapeType="1"/>
        </xdr:cNvSpPr>
      </xdr:nvSpPr>
      <xdr:spPr bwMode="auto">
        <a:xfrm>
          <a:off x="11849100" y="83058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152400</xdr:colOff>
      <xdr:row>42</xdr:row>
      <xdr:rowOff>76200</xdr:rowOff>
    </xdr:from>
    <xdr:to>
      <xdr:col>21</xdr:col>
      <xdr:colOff>0</xdr:colOff>
      <xdr:row>45</xdr:row>
      <xdr:rowOff>76200</xdr:rowOff>
    </xdr:to>
    <xdr:sp macro="" textlink="">
      <xdr:nvSpPr>
        <xdr:cNvPr id="1132" name="Line 108">
          <a:extLst>
            <a:ext uri="{FF2B5EF4-FFF2-40B4-BE49-F238E27FC236}">
              <a16:creationId xmlns:a16="http://schemas.microsoft.com/office/drawing/2014/main" id="{1E00A9D1-B4E5-8995-A2A9-7DE415238430}"/>
            </a:ext>
          </a:extLst>
        </xdr:cNvPr>
        <xdr:cNvSpPr>
          <a:spLocks noChangeShapeType="1"/>
        </xdr:cNvSpPr>
      </xdr:nvSpPr>
      <xdr:spPr bwMode="auto">
        <a:xfrm>
          <a:off x="11582400" y="775716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19</xdr:col>
      <xdr:colOff>0</xdr:colOff>
      <xdr:row>57</xdr:row>
      <xdr:rowOff>0</xdr:rowOff>
    </xdr:from>
    <xdr:to>
      <xdr:col>19</xdr:col>
      <xdr:colOff>152400</xdr:colOff>
      <xdr:row>57</xdr:row>
      <xdr:rowOff>152400</xdr:rowOff>
    </xdr:to>
    <xdr:sp macro="" textlink="">
      <xdr:nvSpPr>
        <xdr:cNvPr id="52" name="Circle 13">
          <a:extLst>
            <a:ext uri="{FF2B5EF4-FFF2-40B4-BE49-F238E27FC236}">
              <a16:creationId xmlns:a16="http://schemas.microsoft.com/office/drawing/2014/main" id="{C8531D34-939B-EBD8-2FA9-4504CBDED1EB}"/>
            </a:ext>
          </a:extLst>
        </xdr:cNvPr>
        <xdr:cNvSpPr/>
      </xdr:nvSpPr>
      <xdr:spPr>
        <a:xfrm>
          <a:off x="11430000" y="1042416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17</xdr:col>
      <xdr:colOff>0</xdr:colOff>
      <xdr:row>57</xdr:row>
      <xdr:rowOff>76200</xdr:rowOff>
    </xdr:from>
    <xdr:to>
      <xdr:col>19</xdr:col>
      <xdr:colOff>0</xdr:colOff>
      <xdr:row>57</xdr:row>
      <xdr:rowOff>76200</xdr:rowOff>
    </xdr:to>
    <xdr:sp macro="" textlink="">
      <xdr:nvSpPr>
        <xdr:cNvPr id="1133" name="Line 109">
          <a:extLst>
            <a:ext uri="{FF2B5EF4-FFF2-40B4-BE49-F238E27FC236}">
              <a16:creationId xmlns:a16="http://schemas.microsoft.com/office/drawing/2014/main" id="{525DCF99-A298-D123-7BDA-13E6C9E5640C}"/>
            </a:ext>
          </a:extLst>
        </xdr:cNvPr>
        <xdr:cNvSpPr>
          <a:spLocks noChangeShapeType="1"/>
        </xdr:cNvSpPr>
      </xdr:nvSpPr>
      <xdr:spPr bwMode="auto">
        <a:xfrm>
          <a:off x="9845040" y="105003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152400</xdr:colOff>
      <xdr:row>57</xdr:row>
      <xdr:rowOff>76200</xdr:rowOff>
    </xdr:from>
    <xdr:to>
      <xdr:col>17</xdr:col>
      <xdr:colOff>0</xdr:colOff>
      <xdr:row>61</xdr:row>
      <xdr:rowOff>76200</xdr:rowOff>
    </xdr:to>
    <xdr:sp macro="" textlink="">
      <xdr:nvSpPr>
        <xdr:cNvPr id="1134" name="Line 110">
          <a:extLst>
            <a:ext uri="{FF2B5EF4-FFF2-40B4-BE49-F238E27FC236}">
              <a16:creationId xmlns:a16="http://schemas.microsoft.com/office/drawing/2014/main" id="{4ED6F354-2B92-CAE9-977A-EF3640AF187E}"/>
            </a:ext>
          </a:extLst>
        </xdr:cNvPr>
        <xdr:cNvSpPr>
          <a:spLocks noChangeShapeType="1"/>
        </xdr:cNvSpPr>
      </xdr:nvSpPr>
      <xdr:spPr bwMode="auto">
        <a:xfrm flipV="1">
          <a:off x="9578340" y="10500360"/>
          <a:ext cx="266700" cy="731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19</xdr:col>
      <xdr:colOff>0</xdr:colOff>
      <xdr:row>65</xdr:row>
      <xdr:rowOff>0</xdr:rowOff>
    </xdr:from>
    <xdr:to>
      <xdr:col>19</xdr:col>
      <xdr:colOff>152400</xdr:colOff>
      <xdr:row>65</xdr:row>
      <xdr:rowOff>152400</xdr:rowOff>
    </xdr:to>
    <xdr:sp macro="" textlink="">
      <xdr:nvSpPr>
        <xdr:cNvPr id="53" name="Triangle 14">
          <a:extLst>
            <a:ext uri="{FF2B5EF4-FFF2-40B4-BE49-F238E27FC236}">
              <a16:creationId xmlns:a16="http://schemas.microsoft.com/office/drawing/2014/main" id="{CEFCE500-2C4F-D62F-1269-1AFFE25CB0D3}"/>
            </a:ext>
          </a:extLst>
        </xdr:cNvPr>
        <xdr:cNvSpPr/>
      </xdr:nvSpPr>
      <xdr:spPr>
        <a:xfrm rot="16200000">
          <a:off x="11430000" y="118872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19</xdr:col>
      <xdr:colOff>152400</xdr:colOff>
      <xdr:row>65</xdr:row>
      <xdr:rowOff>76200</xdr:rowOff>
    </xdr:from>
    <xdr:to>
      <xdr:col>23</xdr:col>
      <xdr:colOff>0</xdr:colOff>
      <xdr:row>65</xdr:row>
      <xdr:rowOff>76200</xdr:rowOff>
    </xdr:to>
    <xdr:sp macro="" textlink="">
      <xdr:nvSpPr>
        <xdr:cNvPr id="1135" name="Line 111">
          <a:extLst>
            <a:ext uri="{FF2B5EF4-FFF2-40B4-BE49-F238E27FC236}">
              <a16:creationId xmlns:a16="http://schemas.microsoft.com/office/drawing/2014/main" id="{44E4C5D9-080B-886E-D2DB-DC3494B1F383}"/>
            </a:ext>
          </a:extLst>
        </xdr:cNvPr>
        <xdr:cNvSpPr>
          <a:spLocks noChangeShapeType="1"/>
        </xdr:cNvSpPr>
      </xdr:nvSpPr>
      <xdr:spPr bwMode="auto">
        <a:xfrm>
          <a:off x="11582400" y="11963400"/>
          <a:ext cx="18516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0</xdr:colOff>
      <xdr:row>65</xdr:row>
      <xdr:rowOff>76200</xdr:rowOff>
    </xdr:from>
    <xdr:to>
      <xdr:col>19</xdr:col>
      <xdr:colOff>0</xdr:colOff>
      <xdr:row>65</xdr:row>
      <xdr:rowOff>76200</xdr:rowOff>
    </xdr:to>
    <xdr:sp macro="" textlink="">
      <xdr:nvSpPr>
        <xdr:cNvPr id="1136" name="Line 112">
          <a:extLst>
            <a:ext uri="{FF2B5EF4-FFF2-40B4-BE49-F238E27FC236}">
              <a16:creationId xmlns:a16="http://schemas.microsoft.com/office/drawing/2014/main" id="{8C5D3896-E280-6934-F3BC-732AAE8BCC77}"/>
            </a:ext>
          </a:extLst>
        </xdr:cNvPr>
        <xdr:cNvSpPr>
          <a:spLocks noChangeShapeType="1"/>
        </xdr:cNvSpPr>
      </xdr:nvSpPr>
      <xdr:spPr bwMode="auto">
        <a:xfrm>
          <a:off x="9845040" y="119634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152400</xdr:colOff>
      <xdr:row>61</xdr:row>
      <xdr:rowOff>76200</xdr:rowOff>
    </xdr:from>
    <xdr:to>
      <xdr:col>17</xdr:col>
      <xdr:colOff>0</xdr:colOff>
      <xdr:row>65</xdr:row>
      <xdr:rowOff>76200</xdr:rowOff>
    </xdr:to>
    <xdr:sp macro="" textlink="">
      <xdr:nvSpPr>
        <xdr:cNvPr id="1137" name="Line 113">
          <a:extLst>
            <a:ext uri="{FF2B5EF4-FFF2-40B4-BE49-F238E27FC236}">
              <a16:creationId xmlns:a16="http://schemas.microsoft.com/office/drawing/2014/main" id="{8C222511-77EC-5560-87AB-33AFE0CA85B2}"/>
            </a:ext>
          </a:extLst>
        </xdr:cNvPr>
        <xdr:cNvSpPr>
          <a:spLocks noChangeShapeType="1"/>
        </xdr:cNvSpPr>
      </xdr:nvSpPr>
      <xdr:spPr bwMode="auto">
        <a:xfrm>
          <a:off x="9578340" y="11231880"/>
          <a:ext cx="266700" cy="7315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23</xdr:col>
      <xdr:colOff>1</xdr:colOff>
      <xdr:row>55</xdr:row>
      <xdr:rowOff>0</xdr:rowOff>
    </xdr:from>
    <xdr:to>
      <xdr:col>23</xdr:col>
      <xdr:colOff>152401</xdr:colOff>
      <xdr:row>55</xdr:row>
      <xdr:rowOff>152400</xdr:rowOff>
    </xdr:to>
    <xdr:sp macro="" textlink="">
      <xdr:nvSpPr>
        <xdr:cNvPr id="54" name="Triangle 15">
          <a:extLst>
            <a:ext uri="{FF2B5EF4-FFF2-40B4-BE49-F238E27FC236}">
              <a16:creationId xmlns:a16="http://schemas.microsoft.com/office/drawing/2014/main" id="{13451A08-8524-6B69-1A95-E3195B0ACF23}"/>
            </a:ext>
          </a:extLst>
        </xdr:cNvPr>
        <xdr:cNvSpPr/>
      </xdr:nvSpPr>
      <xdr:spPr>
        <a:xfrm rot="16200000">
          <a:off x="13434061" y="10058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21</xdr:col>
      <xdr:colOff>0</xdr:colOff>
      <xdr:row>55</xdr:row>
      <xdr:rowOff>76200</xdr:rowOff>
    </xdr:from>
    <xdr:to>
      <xdr:col>23</xdr:col>
      <xdr:colOff>0</xdr:colOff>
      <xdr:row>55</xdr:row>
      <xdr:rowOff>76200</xdr:rowOff>
    </xdr:to>
    <xdr:sp macro="" textlink="">
      <xdr:nvSpPr>
        <xdr:cNvPr id="1138" name="Line 114">
          <a:extLst>
            <a:ext uri="{FF2B5EF4-FFF2-40B4-BE49-F238E27FC236}">
              <a16:creationId xmlns:a16="http://schemas.microsoft.com/office/drawing/2014/main" id="{AEEA37B4-3026-6CD8-8636-D30C508A615C}"/>
            </a:ext>
          </a:extLst>
        </xdr:cNvPr>
        <xdr:cNvSpPr>
          <a:spLocks noChangeShapeType="1"/>
        </xdr:cNvSpPr>
      </xdr:nvSpPr>
      <xdr:spPr bwMode="auto">
        <a:xfrm>
          <a:off x="11849100" y="101346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152400</xdr:colOff>
      <xdr:row>55</xdr:row>
      <xdr:rowOff>76200</xdr:rowOff>
    </xdr:from>
    <xdr:to>
      <xdr:col>21</xdr:col>
      <xdr:colOff>0</xdr:colOff>
      <xdr:row>57</xdr:row>
      <xdr:rowOff>76200</xdr:rowOff>
    </xdr:to>
    <xdr:sp macro="" textlink="">
      <xdr:nvSpPr>
        <xdr:cNvPr id="1139" name="Line 115">
          <a:extLst>
            <a:ext uri="{FF2B5EF4-FFF2-40B4-BE49-F238E27FC236}">
              <a16:creationId xmlns:a16="http://schemas.microsoft.com/office/drawing/2014/main" id="{EA23F03F-C363-C7B6-D1F5-4E7A0BCEFF07}"/>
            </a:ext>
          </a:extLst>
        </xdr:cNvPr>
        <xdr:cNvSpPr>
          <a:spLocks noChangeShapeType="1"/>
        </xdr:cNvSpPr>
      </xdr:nvSpPr>
      <xdr:spPr bwMode="auto">
        <a:xfrm flipV="1">
          <a:off x="11582400" y="1013460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23</xdr:col>
      <xdr:colOff>1</xdr:colOff>
      <xdr:row>60</xdr:row>
      <xdr:rowOff>0</xdr:rowOff>
    </xdr:from>
    <xdr:to>
      <xdr:col>23</xdr:col>
      <xdr:colOff>152401</xdr:colOff>
      <xdr:row>60</xdr:row>
      <xdr:rowOff>152400</xdr:rowOff>
    </xdr:to>
    <xdr:sp macro="" textlink="">
      <xdr:nvSpPr>
        <xdr:cNvPr id="55" name="Triangle 16">
          <a:extLst>
            <a:ext uri="{FF2B5EF4-FFF2-40B4-BE49-F238E27FC236}">
              <a16:creationId xmlns:a16="http://schemas.microsoft.com/office/drawing/2014/main" id="{3557DA59-6F2A-A522-9EE0-7B89A2C67606}"/>
            </a:ext>
          </a:extLst>
        </xdr:cNvPr>
        <xdr:cNvSpPr/>
      </xdr:nvSpPr>
      <xdr:spPr>
        <a:xfrm rot="16200000">
          <a:off x="13434061" y="109728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21</xdr:col>
      <xdr:colOff>0</xdr:colOff>
      <xdr:row>60</xdr:row>
      <xdr:rowOff>76200</xdr:rowOff>
    </xdr:from>
    <xdr:to>
      <xdr:col>23</xdr:col>
      <xdr:colOff>0</xdr:colOff>
      <xdr:row>60</xdr:row>
      <xdr:rowOff>76200</xdr:rowOff>
    </xdr:to>
    <xdr:sp macro="" textlink="">
      <xdr:nvSpPr>
        <xdr:cNvPr id="1140" name="Line 116">
          <a:extLst>
            <a:ext uri="{FF2B5EF4-FFF2-40B4-BE49-F238E27FC236}">
              <a16:creationId xmlns:a16="http://schemas.microsoft.com/office/drawing/2014/main" id="{6F5321B0-0475-04B8-46C4-466B87944545}"/>
            </a:ext>
          </a:extLst>
        </xdr:cNvPr>
        <xdr:cNvSpPr>
          <a:spLocks noChangeShapeType="1"/>
        </xdr:cNvSpPr>
      </xdr:nvSpPr>
      <xdr:spPr bwMode="auto">
        <a:xfrm>
          <a:off x="11849100" y="110490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152400</xdr:colOff>
      <xdr:row>57</xdr:row>
      <xdr:rowOff>76200</xdr:rowOff>
    </xdr:from>
    <xdr:to>
      <xdr:col>21</xdr:col>
      <xdr:colOff>0</xdr:colOff>
      <xdr:row>60</xdr:row>
      <xdr:rowOff>76200</xdr:rowOff>
    </xdr:to>
    <xdr:sp macro="" textlink="">
      <xdr:nvSpPr>
        <xdr:cNvPr id="1141" name="Line 117">
          <a:extLst>
            <a:ext uri="{FF2B5EF4-FFF2-40B4-BE49-F238E27FC236}">
              <a16:creationId xmlns:a16="http://schemas.microsoft.com/office/drawing/2014/main" id="{1558B831-C2D6-DC24-1F90-BB62E9854DC4}"/>
            </a:ext>
          </a:extLst>
        </xdr:cNvPr>
        <xdr:cNvSpPr>
          <a:spLocks noChangeShapeType="1"/>
        </xdr:cNvSpPr>
      </xdr:nvSpPr>
      <xdr:spPr bwMode="auto">
        <a:xfrm>
          <a:off x="11582400" y="1050036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7</xdr:col>
      <xdr:colOff>0</xdr:colOff>
      <xdr:row>42</xdr:row>
      <xdr:rowOff>0</xdr:rowOff>
    </xdr:from>
    <xdr:to>
      <xdr:col>7</xdr:col>
      <xdr:colOff>152400</xdr:colOff>
      <xdr:row>42</xdr:row>
      <xdr:rowOff>152400</xdr:rowOff>
    </xdr:to>
    <xdr:sp macro="" textlink="">
      <xdr:nvSpPr>
        <xdr:cNvPr id="56" name="Square 0">
          <a:extLst>
            <a:ext uri="{FF2B5EF4-FFF2-40B4-BE49-F238E27FC236}">
              <a16:creationId xmlns:a16="http://schemas.microsoft.com/office/drawing/2014/main" id="{CFCBBDAB-3038-D181-E685-4214B3603FA5}"/>
            </a:ext>
          </a:extLst>
        </xdr:cNvPr>
        <xdr:cNvSpPr/>
      </xdr:nvSpPr>
      <xdr:spPr>
        <a:xfrm>
          <a:off x="5417820" y="768096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R" sz="1100"/>
        </a:p>
      </xdr:txBody>
    </xdr:sp>
    <xdr:clientData/>
  </xdr:twoCellAnchor>
  <xdr:twoCellAnchor>
    <xdr:from>
      <xdr:col>6</xdr:col>
      <xdr:colOff>0</xdr:colOff>
      <xdr:row>42</xdr:row>
      <xdr:rowOff>76200</xdr:rowOff>
    </xdr:from>
    <xdr:to>
      <xdr:col>7</xdr:col>
      <xdr:colOff>0</xdr:colOff>
      <xdr:row>42</xdr:row>
      <xdr:rowOff>76200</xdr:rowOff>
    </xdr:to>
    <xdr:sp macro="" textlink="">
      <xdr:nvSpPr>
        <xdr:cNvPr id="1142" name="Line 118">
          <a:extLst>
            <a:ext uri="{FF2B5EF4-FFF2-40B4-BE49-F238E27FC236}">
              <a16:creationId xmlns:a16="http://schemas.microsoft.com/office/drawing/2014/main" id="{518220B9-EB5F-0E33-2F85-B0067BC9D881}"/>
            </a:ext>
          </a:extLst>
        </xdr:cNvPr>
        <xdr:cNvSpPr>
          <a:spLocks noChangeShapeType="1"/>
        </xdr:cNvSpPr>
      </xdr:nvSpPr>
      <xdr:spPr bwMode="auto">
        <a:xfrm>
          <a:off x="4625340" y="7757160"/>
          <a:ext cx="792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121920</xdr:colOff>
      <xdr:row>17</xdr:row>
      <xdr:rowOff>154773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DD7678-DAB6-38FE-1209-57D7F2CD3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45480" cy="32637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109037</xdr:colOff>
      <xdr:row>15</xdr:row>
      <xdr:rowOff>141893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255B654-0D0B-B5FB-11F2-EF2FEA06B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63917" cy="28850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174230</xdr:colOff>
      <xdr:row>8</xdr:row>
      <xdr:rowOff>165478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17C235-4F7B-34BB-F71E-B26307A80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14070" cy="16285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620647</xdr:colOff>
      <xdr:row>9</xdr:row>
      <xdr:rowOff>165503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DFEE82B-F92D-87FE-FA3E-094CE7418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64097" cy="1794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01A3-D618-452D-8463-12109CFBF498}">
  <dimension ref="A21:GV1017"/>
  <sheetViews>
    <sheetView tabSelected="1" zoomScale="89" zoomScaleNormal="150" workbookViewId="0">
      <selection activeCell="V11" sqref="V11"/>
    </sheetView>
  </sheetViews>
  <sheetFormatPr baseColWidth="10" defaultRowHeight="15" x14ac:dyDescent="0.25"/>
  <cols>
    <col min="1" max="1" width="15.28515625" customWidth="1"/>
    <col min="4" max="5" width="8.7109375" customWidth="1"/>
    <col min="8" max="8" width="2.28515625" customWidth="1"/>
    <col min="9" max="9" width="3.7109375" customWidth="1"/>
    <col min="12" max="12" width="2.28515625" customWidth="1"/>
    <col min="13" max="13" width="3.7109375" customWidth="1"/>
    <col min="16" max="16" width="2.28515625" customWidth="1"/>
    <col min="17" max="17" width="3.7109375" customWidth="1"/>
    <col min="20" max="20" width="2.28515625" customWidth="1"/>
    <col min="21" max="21" width="3.7109375" customWidth="1"/>
    <col min="24" max="24" width="2.28515625" customWidth="1"/>
  </cols>
  <sheetData>
    <row r="21" spans="1:25" x14ac:dyDescent="0.25">
      <c r="A21" t="s">
        <v>22</v>
      </c>
    </row>
    <row r="22" spans="1:25" x14ac:dyDescent="0.25">
      <c r="B22" t="s">
        <v>24</v>
      </c>
      <c r="C22" t="s">
        <v>25</v>
      </c>
    </row>
    <row r="23" spans="1:25" x14ac:dyDescent="0.25">
      <c r="A23" s="33" t="s">
        <v>23</v>
      </c>
      <c r="B23" s="8">
        <v>0.7</v>
      </c>
      <c r="C23" s="8">
        <v>0.3</v>
      </c>
    </row>
    <row r="24" spans="1:25" x14ac:dyDescent="0.25">
      <c r="A24" s="33"/>
      <c r="B24" s="7">
        <v>0</v>
      </c>
      <c r="C24" s="7">
        <v>-360000</v>
      </c>
      <c r="G24" s="4" t="s">
        <v>18</v>
      </c>
      <c r="R24" s="3">
        <v>0.7</v>
      </c>
      <c r="Y24" s="5" t="s">
        <v>19</v>
      </c>
    </row>
    <row r="25" spans="1:25" x14ac:dyDescent="0.25">
      <c r="R25" t="s">
        <v>34</v>
      </c>
    </row>
    <row r="26" spans="1:25" x14ac:dyDescent="0.25">
      <c r="Y26">
        <f>SUM(J33,N29,R27)</f>
        <v>0</v>
      </c>
    </row>
    <row r="27" spans="1:25" x14ac:dyDescent="0.25">
      <c r="A27" t="s">
        <v>28</v>
      </c>
      <c r="B27" s="7" t="s">
        <v>24</v>
      </c>
      <c r="C27" s="7" t="s">
        <v>25</v>
      </c>
      <c r="N27" t="s">
        <v>26</v>
      </c>
      <c r="R27" s="3">
        <v>0</v>
      </c>
      <c r="S27">
        <f>Y26</f>
        <v>0</v>
      </c>
    </row>
    <row r="28" spans="1:25" x14ac:dyDescent="0.25">
      <c r="A28" t="s">
        <v>29</v>
      </c>
      <c r="B28" s="8">
        <v>0.9</v>
      </c>
      <c r="C28" s="8">
        <v>0.3</v>
      </c>
    </row>
    <row r="29" spans="1:25" x14ac:dyDescent="0.25">
      <c r="A29" t="s">
        <v>30</v>
      </c>
      <c r="B29" s="8">
        <v>0.1</v>
      </c>
      <c r="C29" s="8">
        <v>0.7</v>
      </c>
      <c r="N29" s="3">
        <v>0</v>
      </c>
      <c r="O29">
        <f>IF(ABS(1-(R24+R29))&lt;=0.00001,R24*S27+R29*S32,NA())</f>
        <v>-108000</v>
      </c>
      <c r="R29" s="3">
        <v>0.3</v>
      </c>
    </row>
    <row r="30" spans="1:25" x14ac:dyDescent="0.25">
      <c r="R30" t="s">
        <v>25</v>
      </c>
    </row>
    <row r="31" spans="1:25" x14ac:dyDescent="0.25">
      <c r="J31" t="s">
        <v>20</v>
      </c>
      <c r="Y31">
        <f>SUM(J33,N29,R32)</f>
        <v>-360000</v>
      </c>
    </row>
    <row r="32" spans="1:25" x14ac:dyDescent="0.25">
      <c r="A32" t="s">
        <v>28</v>
      </c>
      <c r="B32" t="s">
        <v>31</v>
      </c>
      <c r="L32">
        <f>IF(K33=O29,1,IF(K33=O37,2))</f>
        <v>2</v>
      </c>
      <c r="R32" s="3">
        <v>-360000</v>
      </c>
      <c r="S32">
        <f>Y31</f>
        <v>-360000</v>
      </c>
    </row>
    <row r="33" spans="1:25" x14ac:dyDescent="0.25">
      <c r="A33" t="s">
        <v>29</v>
      </c>
      <c r="B33" s="9">
        <f>SUMPRODUCT($B$23:$C$23,B28:C28)</f>
        <v>0.72</v>
      </c>
      <c r="J33" s="3">
        <v>0</v>
      </c>
      <c r="K33">
        <f>MAX(O29,O37)</f>
        <v>-50000</v>
      </c>
    </row>
    <row r="34" spans="1:25" x14ac:dyDescent="0.25">
      <c r="A34" t="s">
        <v>30</v>
      </c>
      <c r="B34" s="9">
        <f>SUMPRODUCT($B$23:$C$23,B29:C29)</f>
        <v>0.27999999999999997</v>
      </c>
    </row>
    <row r="35" spans="1:25" x14ac:dyDescent="0.25">
      <c r="N35" t="s">
        <v>27</v>
      </c>
    </row>
    <row r="36" spans="1:25" x14ac:dyDescent="0.25">
      <c r="A36" t="s">
        <v>32</v>
      </c>
      <c r="B36" s="7" t="s">
        <v>24</v>
      </c>
      <c r="C36" s="7" t="s">
        <v>25</v>
      </c>
      <c r="Y36">
        <f>SUM(J33,N37)</f>
        <v>-50000</v>
      </c>
    </row>
    <row r="37" spans="1:25" x14ac:dyDescent="0.25">
      <c r="A37" t="s">
        <v>29</v>
      </c>
      <c r="B37" s="10">
        <f>(B23*B28)/B33</f>
        <v>0.875</v>
      </c>
      <c r="C37" s="10">
        <f>(C23*C28)/B33</f>
        <v>0.125</v>
      </c>
      <c r="N37" s="3">
        <v>-50000</v>
      </c>
      <c r="O37">
        <f>Y36</f>
        <v>-50000</v>
      </c>
    </row>
    <row r="38" spans="1:25" x14ac:dyDescent="0.25">
      <c r="A38" t="s">
        <v>30</v>
      </c>
      <c r="B38" s="10">
        <f>(B23*B29)/B34</f>
        <v>0.25</v>
      </c>
      <c r="C38" s="10">
        <f>(C23*C29)/B34</f>
        <v>0.75</v>
      </c>
    </row>
    <row r="39" spans="1:25" x14ac:dyDescent="0.25">
      <c r="V39" s="11">
        <f>B37</f>
        <v>0.875</v>
      </c>
    </row>
    <row r="40" spans="1:25" x14ac:dyDescent="0.25">
      <c r="A40" t="s">
        <v>37</v>
      </c>
      <c r="B40">
        <f>K33</f>
        <v>-50000</v>
      </c>
      <c r="C40" t="s">
        <v>38</v>
      </c>
      <c r="D40">
        <f>K55</f>
        <v>-46400</v>
      </c>
      <c r="V40" t="s">
        <v>34</v>
      </c>
    </row>
    <row r="41" spans="1:25" x14ac:dyDescent="0.25">
      <c r="Y41">
        <f>SUM(J55,N48,R44,V42)</f>
        <v>0</v>
      </c>
    </row>
    <row r="42" spans="1:25" x14ac:dyDescent="0.25">
      <c r="A42" t="s">
        <v>37</v>
      </c>
      <c r="B42">
        <f>B40-D40</f>
        <v>-3600</v>
      </c>
      <c r="R42" t="s">
        <v>26</v>
      </c>
      <c r="V42" s="3">
        <v>0</v>
      </c>
      <c r="W42">
        <f>Y41</f>
        <v>0</v>
      </c>
    </row>
    <row r="43" spans="1:25" x14ac:dyDescent="0.25">
      <c r="H43">
        <f>IF(G44=K33,1,IF(G44=K55,2))</f>
        <v>2</v>
      </c>
    </row>
    <row r="44" spans="1:25" x14ac:dyDescent="0.25">
      <c r="A44" t="s">
        <v>39</v>
      </c>
      <c r="G44">
        <f>MAX(K33,K55)</f>
        <v>-46400</v>
      </c>
      <c r="R44" s="3">
        <v>0</v>
      </c>
      <c r="S44">
        <f>IF(ABS(1-(V39+V44))&lt;=0.00001,V39*W42+V44*W47,NA())</f>
        <v>-45000</v>
      </c>
      <c r="V44" s="11">
        <f>C37</f>
        <v>0.125</v>
      </c>
    </row>
    <row r="45" spans="1:25" x14ac:dyDescent="0.25">
      <c r="A45" t="s">
        <v>40</v>
      </c>
      <c r="N45" s="3">
        <v>0.72</v>
      </c>
      <c r="V45" t="s">
        <v>25</v>
      </c>
    </row>
    <row r="46" spans="1:25" x14ac:dyDescent="0.25">
      <c r="A46" t="s">
        <v>41</v>
      </c>
      <c r="N46" t="s">
        <v>35</v>
      </c>
      <c r="Y46">
        <f>SUM(J55,N48,R44,V47)</f>
        <v>-360000</v>
      </c>
    </row>
    <row r="47" spans="1:25" x14ac:dyDescent="0.25">
      <c r="P47">
        <f>IF(O48=S44,1,IF(O48=S52,2))</f>
        <v>1</v>
      </c>
      <c r="V47" s="3">
        <v>-360000</v>
      </c>
      <c r="W47">
        <f>Y46</f>
        <v>-360000</v>
      </c>
    </row>
    <row r="48" spans="1:25" x14ac:dyDescent="0.25">
      <c r="N48" s="3">
        <v>0</v>
      </c>
      <c r="O48">
        <f>MAX(S44,S52)</f>
        <v>-45000</v>
      </c>
    </row>
    <row r="50" spans="10:25" x14ac:dyDescent="0.25">
      <c r="R50" t="s">
        <v>27</v>
      </c>
    </row>
    <row r="51" spans="10:25" x14ac:dyDescent="0.25">
      <c r="Y51">
        <f>SUM(J55,N48,R52)</f>
        <v>-50000</v>
      </c>
    </row>
    <row r="52" spans="10:25" x14ac:dyDescent="0.25">
      <c r="R52" s="3">
        <v>-50000</v>
      </c>
      <c r="S52">
        <f>Y51</f>
        <v>-50000</v>
      </c>
    </row>
    <row r="53" spans="10:25" x14ac:dyDescent="0.25">
      <c r="J53" t="s">
        <v>21</v>
      </c>
    </row>
    <row r="54" spans="10:25" x14ac:dyDescent="0.25">
      <c r="V54" s="11">
        <f>B38</f>
        <v>0.25</v>
      </c>
    </row>
    <row r="55" spans="10:25" x14ac:dyDescent="0.25">
      <c r="J55" s="3">
        <v>0</v>
      </c>
      <c r="K55">
        <f>IF(ABS(1-(N45+N60))&lt;=0.00001,N45*O48+N60*O63,NA())</f>
        <v>-46400</v>
      </c>
      <c r="V55" t="s">
        <v>34</v>
      </c>
    </row>
    <row r="56" spans="10:25" x14ac:dyDescent="0.25">
      <c r="Y56">
        <f>SUM(J55,N63,R59,V57)</f>
        <v>0</v>
      </c>
    </row>
    <row r="57" spans="10:25" x14ac:dyDescent="0.25">
      <c r="R57" t="s">
        <v>26</v>
      </c>
      <c r="V57" s="3">
        <v>0</v>
      </c>
      <c r="W57">
        <f>Y56</f>
        <v>0</v>
      </c>
    </row>
    <row r="59" spans="10:25" x14ac:dyDescent="0.25">
      <c r="R59" s="3">
        <v>0</v>
      </c>
      <c r="S59">
        <f>IF(ABS(1-(V54+V59))&lt;=0.00001,V54*W57+V59*W62,NA())</f>
        <v>-270000</v>
      </c>
      <c r="V59" s="11">
        <f>C38</f>
        <v>0.75</v>
      </c>
    </row>
    <row r="60" spans="10:25" x14ac:dyDescent="0.25">
      <c r="N60" s="3">
        <v>0.28000000000000003</v>
      </c>
      <c r="V60" t="s">
        <v>25</v>
      </c>
    </row>
    <row r="61" spans="10:25" x14ac:dyDescent="0.25">
      <c r="N61" t="s">
        <v>36</v>
      </c>
      <c r="Y61">
        <f>SUM(J55,N63,R59,V62)</f>
        <v>-360000</v>
      </c>
    </row>
    <row r="62" spans="10:25" x14ac:dyDescent="0.25">
      <c r="P62">
        <f>IF(O63=S59,1,IF(O63=S67,2))</f>
        <v>2</v>
      </c>
      <c r="V62" s="3">
        <v>-360000</v>
      </c>
      <c r="W62">
        <f>Y61</f>
        <v>-360000</v>
      </c>
    </row>
    <row r="63" spans="10:25" x14ac:dyDescent="0.25">
      <c r="N63" s="3">
        <v>0</v>
      </c>
      <c r="O63">
        <f>MAX(S59,S67)</f>
        <v>-50000</v>
      </c>
    </row>
    <row r="65" spans="18:25" x14ac:dyDescent="0.25">
      <c r="R65" t="s">
        <v>27</v>
      </c>
    </row>
    <row r="66" spans="18:25" x14ac:dyDescent="0.25">
      <c r="Y66">
        <f>SUM(J55,N63,R67)</f>
        <v>-50000</v>
      </c>
    </row>
    <row r="67" spans="18:25" x14ac:dyDescent="0.25">
      <c r="R67" s="3">
        <v>-50000</v>
      </c>
      <c r="S67">
        <f>Y66</f>
        <v>-50000</v>
      </c>
    </row>
    <row r="1000" spans="189:204" x14ac:dyDescent="0.25">
      <c r="GH1000" s="1" t="s">
        <v>0</v>
      </c>
      <c r="GI1000" s="1" t="s">
        <v>1</v>
      </c>
      <c r="GJ1000" s="1" t="s">
        <v>2</v>
      </c>
      <c r="GK1000" s="1" t="s">
        <v>3</v>
      </c>
      <c r="GL1000" s="1" t="s">
        <v>5</v>
      </c>
      <c r="GM1000" s="1" t="s">
        <v>6</v>
      </c>
      <c r="GN1000" s="1" t="s">
        <v>7</v>
      </c>
      <c r="GO1000" s="1" t="s">
        <v>8</v>
      </c>
      <c r="GP1000" s="1" t="s">
        <v>9</v>
      </c>
      <c r="GQ1000" s="1" t="s">
        <v>10</v>
      </c>
      <c r="GR1000" s="1" t="s">
        <v>11</v>
      </c>
      <c r="GS1000" s="1" t="s">
        <v>12</v>
      </c>
      <c r="GT1000" s="1" t="s">
        <v>13</v>
      </c>
      <c r="GU1000" s="1" t="s">
        <v>14</v>
      </c>
      <c r="GV1000" s="1" t="s">
        <v>15</v>
      </c>
    </row>
    <row r="1001" spans="189:204" x14ac:dyDescent="0.25">
      <c r="GG1001">
        <v>0</v>
      </c>
      <c r="GH1001" s="1">
        <v>0</v>
      </c>
      <c r="GI1001" s="1" t="s">
        <v>4</v>
      </c>
      <c r="GJ1001" s="1">
        <v>0</v>
      </c>
      <c r="GK1001" s="1">
        <v>0</v>
      </c>
      <c r="GL1001" s="1">
        <v>0</v>
      </c>
      <c r="GM1001" s="1" t="s">
        <v>16</v>
      </c>
      <c r="GN1001" s="1">
        <v>2</v>
      </c>
      <c r="GO1001" s="1">
        <v>1</v>
      </c>
      <c r="GP1001" s="1">
        <v>2</v>
      </c>
      <c r="GQ1001" s="1">
        <v>0</v>
      </c>
      <c r="GR1001" s="1">
        <v>0</v>
      </c>
      <c r="GS1001" s="1">
        <v>0</v>
      </c>
      <c r="GT1001" s="2">
        <v>19</v>
      </c>
      <c r="GU1001" s="2">
        <v>1</v>
      </c>
      <c r="GV1001" s="2" t="b">
        <v>1</v>
      </c>
    </row>
    <row r="1002" spans="189:204" x14ac:dyDescent="0.25">
      <c r="GG1002">
        <v>0</v>
      </c>
      <c r="GH1002" s="1">
        <v>1</v>
      </c>
      <c r="GK1002">
        <v>0</v>
      </c>
      <c r="GL1002" s="1">
        <v>0</v>
      </c>
      <c r="GM1002" s="1" t="s">
        <v>16</v>
      </c>
      <c r="GN1002" s="1">
        <v>2</v>
      </c>
      <c r="GO1002" s="1">
        <v>3</v>
      </c>
      <c r="GP1002" s="1">
        <v>4</v>
      </c>
      <c r="GQ1002" s="1">
        <v>0</v>
      </c>
      <c r="GR1002" s="1">
        <v>0</v>
      </c>
      <c r="GS1002" s="1">
        <v>0</v>
      </c>
      <c r="GT1002" s="2">
        <v>8</v>
      </c>
      <c r="GU1002" s="2">
        <v>5</v>
      </c>
      <c r="GV1002" s="2" t="b">
        <v>1</v>
      </c>
    </row>
    <row r="1003" spans="189:204" x14ac:dyDescent="0.25">
      <c r="GG1003">
        <v>0</v>
      </c>
      <c r="GH1003" s="1">
        <v>2</v>
      </c>
      <c r="GK1003">
        <v>0</v>
      </c>
      <c r="GL1003" s="1">
        <v>0</v>
      </c>
      <c r="GM1003" s="1" t="s">
        <v>33</v>
      </c>
      <c r="GN1003" s="1">
        <v>2</v>
      </c>
      <c r="GO1003" s="1">
        <v>7</v>
      </c>
      <c r="GP1003" s="1">
        <v>8</v>
      </c>
      <c r="GQ1003" s="1">
        <v>0</v>
      </c>
      <c r="GR1003" s="1">
        <v>0</v>
      </c>
      <c r="GS1003" s="1">
        <v>0</v>
      </c>
      <c r="GT1003" s="2">
        <v>30</v>
      </c>
      <c r="GU1003" s="2">
        <v>5</v>
      </c>
      <c r="GV1003" s="2" t="b">
        <v>1</v>
      </c>
    </row>
    <row r="1004" spans="189:204" x14ac:dyDescent="0.25">
      <c r="GG1004">
        <v>0</v>
      </c>
      <c r="GH1004">
        <v>3</v>
      </c>
      <c r="GK1004">
        <v>0</v>
      </c>
      <c r="GL1004">
        <v>1</v>
      </c>
      <c r="GM1004" t="s">
        <v>33</v>
      </c>
      <c r="GN1004">
        <v>2</v>
      </c>
      <c r="GO1004">
        <v>5</v>
      </c>
      <c r="GP1004">
        <v>6</v>
      </c>
      <c r="GQ1004">
        <v>0</v>
      </c>
      <c r="GR1004">
        <v>0</v>
      </c>
      <c r="GS1004">
        <v>0</v>
      </c>
      <c r="GT1004">
        <v>4</v>
      </c>
      <c r="GU1004">
        <v>9</v>
      </c>
      <c r="GV1004" t="b">
        <v>1</v>
      </c>
    </row>
    <row r="1005" spans="189:204" x14ac:dyDescent="0.25">
      <c r="GG1005">
        <v>0</v>
      </c>
      <c r="GH1005">
        <v>4</v>
      </c>
      <c r="GK1005">
        <v>0</v>
      </c>
      <c r="GL1005">
        <v>1</v>
      </c>
      <c r="GM1005" t="s">
        <v>17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12</v>
      </c>
      <c r="GU1005">
        <v>9</v>
      </c>
      <c r="GV1005" t="b">
        <v>1</v>
      </c>
    </row>
    <row r="1006" spans="189:204" x14ac:dyDescent="0.25">
      <c r="GG1006">
        <v>0</v>
      </c>
      <c r="GH1006">
        <v>5</v>
      </c>
      <c r="GL1006">
        <v>3</v>
      </c>
      <c r="GM1006" t="s">
        <v>17</v>
      </c>
      <c r="GN1006">
        <v>0</v>
      </c>
      <c r="GO1006">
        <v>0</v>
      </c>
      <c r="GP1006">
        <v>0</v>
      </c>
      <c r="GQ1006">
        <v>0</v>
      </c>
      <c r="GR1006">
        <v>0</v>
      </c>
      <c r="GS1006">
        <v>0</v>
      </c>
      <c r="GT1006">
        <v>2</v>
      </c>
      <c r="GU1006">
        <v>13</v>
      </c>
      <c r="GV1006" t="b">
        <v>1</v>
      </c>
    </row>
    <row r="1007" spans="189:204" x14ac:dyDescent="0.25">
      <c r="GG1007">
        <v>0</v>
      </c>
      <c r="GH1007">
        <v>6</v>
      </c>
      <c r="GL1007">
        <v>3</v>
      </c>
      <c r="GM1007" t="s">
        <v>17</v>
      </c>
      <c r="GN1007">
        <v>0</v>
      </c>
      <c r="GO1007">
        <v>0</v>
      </c>
      <c r="GP1007">
        <v>0</v>
      </c>
      <c r="GQ1007">
        <v>0</v>
      </c>
      <c r="GR1007">
        <v>0</v>
      </c>
      <c r="GS1007">
        <v>0</v>
      </c>
      <c r="GT1007">
        <v>7</v>
      </c>
      <c r="GU1007">
        <v>13</v>
      </c>
      <c r="GV1007" t="b">
        <v>1</v>
      </c>
    </row>
    <row r="1008" spans="189:204" x14ac:dyDescent="0.25">
      <c r="GG1008">
        <v>8</v>
      </c>
      <c r="GH1008">
        <v>7</v>
      </c>
      <c r="GL1008">
        <v>2</v>
      </c>
      <c r="GM1008" s="1" t="s">
        <v>16</v>
      </c>
      <c r="GN1008" s="1">
        <v>2</v>
      </c>
      <c r="GO1008">
        <v>9</v>
      </c>
      <c r="GP1008">
        <v>10</v>
      </c>
      <c r="GQ1008">
        <v>0</v>
      </c>
      <c r="GR1008">
        <v>0</v>
      </c>
      <c r="GS1008">
        <v>0</v>
      </c>
      <c r="GT1008">
        <v>23</v>
      </c>
      <c r="GU1008">
        <v>9</v>
      </c>
      <c r="GV1008" t="b">
        <v>1</v>
      </c>
    </row>
    <row r="1009" spans="189:204" x14ac:dyDescent="0.25">
      <c r="GG1009">
        <v>0</v>
      </c>
      <c r="GH1009">
        <v>8</v>
      </c>
      <c r="GL1009">
        <v>2</v>
      </c>
      <c r="GM1009" s="1" t="s">
        <v>16</v>
      </c>
      <c r="GN1009" s="1">
        <v>2</v>
      </c>
      <c r="GO1009">
        <v>13</v>
      </c>
      <c r="GP1009">
        <v>14</v>
      </c>
      <c r="GQ1009">
        <v>0</v>
      </c>
      <c r="GR1009">
        <v>0</v>
      </c>
      <c r="GS1009">
        <v>0</v>
      </c>
      <c r="GT1009">
        <v>38</v>
      </c>
      <c r="GU1009">
        <v>9</v>
      </c>
      <c r="GV1009" t="b">
        <v>1</v>
      </c>
    </row>
    <row r="1010" spans="189:204" x14ac:dyDescent="0.25">
      <c r="GG1010">
        <v>13</v>
      </c>
      <c r="GH1010">
        <v>9</v>
      </c>
      <c r="GK1010">
        <v>0</v>
      </c>
      <c r="GL1010">
        <v>7</v>
      </c>
      <c r="GM1010" t="s">
        <v>33</v>
      </c>
      <c r="GN1010">
        <v>2</v>
      </c>
      <c r="GO1010">
        <v>11</v>
      </c>
      <c r="GP1010">
        <v>12</v>
      </c>
      <c r="GQ1010">
        <v>0</v>
      </c>
      <c r="GR1010">
        <v>0</v>
      </c>
      <c r="GS1010">
        <v>0</v>
      </c>
      <c r="GT1010">
        <v>19</v>
      </c>
      <c r="GU1010">
        <v>13</v>
      </c>
      <c r="GV1010" t="b">
        <v>1</v>
      </c>
    </row>
    <row r="1011" spans="189:204" x14ac:dyDescent="0.25">
      <c r="GG1011">
        <v>14</v>
      </c>
      <c r="GH1011">
        <v>10</v>
      </c>
      <c r="GK1011">
        <v>0</v>
      </c>
      <c r="GL1011">
        <v>7</v>
      </c>
      <c r="GM1011" t="s">
        <v>17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27</v>
      </c>
      <c r="GU1011">
        <v>13</v>
      </c>
      <c r="GV1011" t="b">
        <v>1</v>
      </c>
    </row>
    <row r="1012" spans="189:204" x14ac:dyDescent="0.25">
      <c r="GG1012">
        <v>15</v>
      </c>
      <c r="GH1012">
        <v>11</v>
      </c>
      <c r="GL1012">
        <v>9</v>
      </c>
      <c r="GM1012" t="s">
        <v>17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17</v>
      </c>
      <c r="GU1012">
        <v>17</v>
      </c>
      <c r="GV1012" t="b">
        <v>1</v>
      </c>
    </row>
    <row r="1013" spans="189:204" x14ac:dyDescent="0.25">
      <c r="GG1013">
        <v>16</v>
      </c>
      <c r="GH1013">
        <v>12</v>
      </c>
      <c r="GL1013">
        <v>9</v>
      </c>
      <c r="GM1013" t="s">
        <v>17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22</v>
      </c>
      <c r="GU1013">
        <v>17</v>
      </c>
      <c r="GV1013" t="b">
        <v>1</v>
      </c>
    </row>
    <row r="1014" spans="189:204" x14ac:dyDescent="0.25">
      <c r="GH1014">
        <v>13</v>
      </c>
      <c r="GK1014">
        <v>0</v>
      </c>
      <c r="GL1014">
        <v>8</v>
      </c>
      <c r="GM1014" t="s">
        <v>33</v>
      </c>
      <c r="GN1014">
        <v>2</v>
      </c>
      <c r="GO1014">
        <v>15</v>
      </c>
      <c r="GP1014">
        <v>16</v>
      </c>
      <c r="GQ1014">
        <v>0</v>
      </c>
      <c r="GR1014">
        <v>0</v>
      </c>
      <c r="GS1014">
        <v>0</v>
      </c>
      <c r="GT1014">
        <v>34</v>
      </c>
      <c r="GU1014">
        <v>13</v>
      </c>
      <c r="GV1014" t="b">
        <v>1</v>
      </c>
    </row>
    <row r="1015" spans="189:204" x14ac:dyDescent="0.25">
      <c r="GH1015">
        <v>14</v>
      </c>
      <c r="GK1015">
        <v>0</v>
      </c>
      <c r="GL1015">
        <v>8</v>
      </c>
      <c r="GM1015" t="s">
        <v>17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42</v>
      </c>
      <c r="GU1015">
        <v>13</v>
      </c>
      <c r="GV1015" t="b">
        <v>1</v>
      </c>
    </row>
    <row r="1016" spans="189:204" x14ac:dyDescent="0.25">
      <c r="GH1016">
        <v>15</v>
      </c>
      <c r="GL1016">
        <v>13</v>
      </c>
      <c r="GM1016" t="s">
        <v>17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32</v>
      </c>
      <c r="GU1016">
        <v>17</v>
      </c>
      <c r="GV1016" t="b">
        <v>1</v>
      </c>
    </row>
    <row r="1017" spans="189:204" x14ac:dyDescent="0.25">
      <c r="GH1017">
        <v>16</v>
      </c>
      <c r="GL1017">
        <v>13</v>
      </c>
      <c r="GM1017" t="s">
        <v>17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37</v>
      </c>
      <c r="GU1017">
        <v>17</v>
      </c>
      <c r="GV1017" t="b">
        <v>1</v>
      </c>
    </row>
  </sheetData>
  <mergeCells count="1">
    <mergeCell ref="A23:A24"/>
  </mergeCells>
  <pageMargins left="0.7" right="0.7" top="0.75" bottom="0.75" header="0.3" footer="0.3"/>
  <pageSetup orientation="portrait" r:id="rId1"/>
  <headerFooter>
    <oddFooter>&amp;L&amp;ETreePlan Student License, For Education Only&amp;Z&amp;ETreePlan.com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1C2E-9835-427D-B3D3-2DF9BED79C0B}">
  <dimension ref="C18:U35"/>
  <sheetViews>
    <sheetView topLeftCell="J19" zoomScale="140" zoomScaleNormal="140" workbookViewId="0">
      <selection activeCell="N41" sqref="N41"/>
    </sheetView>
  </sheetViews>
  <sheetFormatPr baseColWidth="10" defaultRowHeight="15" x14ac:dyDescent="0.25"/>
  <cols>
    <col min="6" max="6" width="12.7109375" bestFit="1" customWidth="1"/>
  </cols>
  <sheetData>
    <row r="18" spans="3:21" x14ac:dyDescent="0.25">
      <c r="R18" s="23" t="s">
        <v>66</v>
      </c>
      <c r="S18" s="20">
        <v>1</v>
      </c>
    </row>
    <row r="19" spans="3:21" x14ac:dyDescent="0.25">
      <c r="R19" s="23" t="s">
        <v>67</v>
      </c>
      <c r="S19" s="20">
        <v>0.39899419672663128</v>
      </c>
    </row>
    <row r="20" spans="3:21" ht="15.75" thickBot="1" x14ac:dyDescent="0.3">
      <c r="C20" s="22" t="s">
        <v>53</v>
      </c>
      <c r="I20" s="22" t="s">
        <v>62</v>
      </c>
      <c r="O20" s="22" t="s">
        <v>63</v>
      </c>
    </row>
    <row r="21" spans="3:21" ht="45.75" thickBot="1" x14ac:dyDescent="0.3">
      <c r="C21" s="12" t="s">
        <v>42</v>
      </c>
      <c r="D21" s="13" t="s">
        <v>57</v>
      </c>
      <c r="E21" s="17" t="s">
        <v>58</v>
      </c>
      <c r="F21" s="17" t="s">
        <v>54</v>
      </c>
      <c r="G21" s="17" t="s">
        <v>60</v>
      </c>
      <c r="I21" s="12" t="s">
        <v>42</v>
      </c>
      <c r="J21" s="13" t="s">
        <v>57</v>
      </c>
      <c r="K21" s="17" t="s">
        <v>58</v>
      </c>
      <c r="L21" s="17" t="s">
        <v>54</v>
      </c>
      <c r="M21" s="17" t="s">
        <v>60</v>
      </c>
      <c r="O21" s="12" t="s">
        <v>42</v>
      </c>
      <c r="P21" s="13" t="s">
        <v>57</v>
      </c>
      <c r="Q21" s="17" t="s">
        <v>58</v>
      </c>
      <c r="R21" s="17" t="s">
        <v>64</v>
      </c>
      <c r="S21" s="17" t="s">
        <v>65</v>
      </c>
      <c r="T21" s="17" t="s">
        <v>54</v>
      </c>
      <c r="U21" s="17" t="s">
        <v>60</v>
      </c>
    </row>
    <row r="22" spans="3:21" ht="15.75" thickBot="1" x14ac:dyDescent="0.3">
      <c r="C22" s="14" t="s">
        <v>43</v>
      </c>
      <c r="D22" s="15">
        <v>1</v>
      </c>
      <c r="E22" s="15">
        <v>30</v>
      </c>
      <c r="F22" s="21">
        <f t="shared" ref="F22:F31" si="0">$D$33+$D$34*D22</f>
        <v>24.622222222222224</v>
      </c>
      <c r="G22" s="21">
        <f t="shared" ref="G22:G30" si="1">(E22-F22)^2</f>
        <v>28.920493827160481</v>
      </c>
      <c r="I22" s="14" t="s">
        <v>43</v>
      </c>
      <c r="J22" s="15">
        <v>1</v>
      </c>
      <c r="K22" s="15">
        <v>30</v>
      </c>
      <c r="L22" s="25"/>
      <c r="M22" s="25"/>
      <c r="O22" s="14" t="s">
        <v>43</v>
      </c>
      <c r="P22" s="15">
        <v>1</v>
      </c>
      <c r="Q22" s="15">
        <v>30</v>
      </c>
      <c r="R22" s="15">
        <v>30</v>
      </c>
      <c r="S22" s="15">
        <v>0</v>
      </c>
      <c r="T22" s="25"/>
      <c r="U22" s="25"/>
    </row>
    <row r="23" spans="3:21" ht="15.75" thickBot="1" x14ac:dyDescent="0.3">
      <c r="C23" s="14" t="s">
        <v>44</v>
      </c>
      <c r="D23" s="15">
        <v>2</v>
      </c>
      <c r="E23" s="15">
        <v>35</v>
      </c>
      <c r="F23" s="21">
        <f t="shared" si="0"/>
        <v>26.605555555555554</v>
      </c>
      <c r="G23" s="21">
        <f t="shared" si="1"/>
        <v>70.466697530864224</v>
      </c>
      <c r="I23" s="14" t="s">
        <v>44</v>
      </c>
      <c r="J23" s="15">
        <v>2</v>
      </c>
      <c r="K23" s="15">
        <v>35</v>
      </c>
      <c r="L23" s="25"/>
      <c r="M23" s="25"/>
      <c r="O23" s="14" t="s">
        <v>44</v>
      </c>
      <c r="P23" s="15">
        <v>2</v>
      </c>
      <c r="Q23" s="15">
        <v>35</v>
      </c>
      <c r="R23" s="21">
        <f t="shared" ref="R23:R30" si="2">$S$18*(Q23)+(1-$S$18)*(R22+S22)</f>
        <v>35</v>
      </c>
      <c r="S23" s="21">
        <f t="shared" ref="S23:S30" si="3">$S$19*(R23-R22)+(1-$S$19)*S22</f>
        <v>1.9949709836331564</v>
      </c>
      <c r="T23" s="21">
        <f t="shared" ref="T23:T31" si="4">R22+S22*1</f>
        <v>30</v>
      </c>
      <c r="U23" s="21">
        <f t="shared" ref="U23:U30" si="5">(Q23-T23)^2</f>
        <v>25</v>
      </c>
    </row>
    <row r="24" spans="3:21" ht="15.75" thickBot="1" x14ac:dyDescent="0.3">
      <c r="C24" s="14" t="s">
        <v>45</v>
      </c>
      <c r="D24" s="15">
        <v>3</v>
      </c>
      <c r="E24" s="15">
        <v>28</v>
      </c>
      <c r="F24" s="21">
        <f t="shared" si="0"/>
        <v>28.588888888888889</v>
      </c>
      <c r="G24" s="21">
        <f t="shared" si="1"/>
        <v>0.34679012345678978</v>
      </c>
      <c r="I24" s="14" t="s">
        <v>45</v>
      </c>
      <c r="J24" s="15">
        <v>3</v>
      </c>
      <c r="K24" s="15">
        <v>28</v>
      </c>
      <c r="L24" s="21">
        <f t="shared" ref="L24:L31" si="6">(K22+K23)/2</f>
        <v>32.5</v>
      </c>
      <c r="M24" s="21">
        <f t="shared" ref="M24:M30" si="7">(K24-L24)^2</f>
        <v>20.25</v>
      </c>
      <c r="O24" s="14" t="s">
        <v>45</v>
      </c>
      <c r="P24" s="15">
        <v>3</v>
      </c>
      <c r="Q24" s="15">
        <v>28</v>
      </c>
      <c r="R24" s="21">
        <f t="shared" si="2"/>
        <v>28</v>
      </c>
      <c r="S24" s="21">
        <f t="shared" si="3"/>
        <v>-1.5939702385609111</v>
      </c>
      <c r="T24" s="21">
        <f t="shared" si="4"/>
        <v>36.994970983633159</v>
      </c>
      <c r="U24" s="21">
        <f t="shared" si="5"/>
        <v>80.90950299640248</v>
      </c>
    </row>
    <row r="25" spans="3:21" ht="15.75" thickBot="1" x14ac:dyDescent="0.3">
      <c r="C25" s="14" t="s">
        <v>46</v>
      </c>
      <c r="D25" s="15">
        <v>4</v>
      </c>
      <c r="E25" s="15">
        <v>20</v>
      </c>
      <c r="F25" s="21">
        <f t="shared" si="0"/>
        <v>30.572222222222223</v>
      </c>
      <c r="G25" s="21">
        <f t="shared" si="1"/>
        <v>111.77188271604939</v>
      </c>
      <c r="I25" s="14" t="s">
        <v>46</v>
      </c>
      <c r="J25" s="15">
        <v>4</v>
      </c>
      <c r="K25" s="15">
        <v>20</v>
      </c>
      <c r="L25" s="21">
        <f t="shared" si="6"/>
        <v>31.5</v>
      </c>
      <c r="M25" s="21">
        <f t="shared" si="7"/>
        <v>132.25</v>
      </c>
      <c r="O25" s="14" t="s">
        <v>46</v>
      </c>
      <c r="P25" s="15">
        <v>4</v>
      </c>
      <c r="Q25" s="15">
        <v>20</v>
      </c>
      <c r="R25" s="21">
        <f t="shared" si="2"/>
        <v>20</v>
      </c>
      <c r="S25" s="21">
        <f t="shared" si="3"/>
        <v>-4.1499389374331939</v>
      </c>
      <c r="T25" s="21">
        <f t="shared" si="4"/>
        <v>26.40602976143909</v>
      </c>
      <c r="U25" s="21">
        <f t="shared" si="5"/>
        <v>41.037217304443359</v>
      </c>
    </row>
    <row r="26" spans="3:21" ht="15.75" thickBot="1" x14ac:dyDescent="0.3">
      <c r="C26" s="14" t="s">
        <v>47</v>
      </c>
      <c r="D26" s="15">
        <v>5</v>
      </c>
      <c r="E26" s="15">
        <v>25</v>
      </c>
      <c r="F26" s="21">
        <f t="shared" si="0"/>
        <v>32.555555555555557</v>
      </c>
      <c r="G26" s="21">
        <f t="shared" si="1"/>
        <v>57.086419753086446</v>
      </c>
      <c r="I26" s="14" t="s">
        <v>47</v>
      </c>
      <c r="J26" s="15">
        <v>5</v>
      </c>
      <c r="K26" s="15">
        <v>25</v>
      </c>
      <c r="L26" s="21">
        <f t="shared" si="6"/>
        <v>24</v>
      </c>
      <c r="M26" s="21">
        <f t="shared" si="7"/>
        <v>1</v>
      </c>
      <c r="O26" s="14" t="s">
        <v>47</v>
      </c>
      <c r="P26" s="15">
        <v>5</v>
      </c>
      <c r="Q26" s="15">
        <v>25</v>
      </c>
      <c r="R26" s="21">
        <f t="shared" si="2"/>
        <v>25</v>
      </c>
      <c r="S26" s="21">
        <f t="shared" si="3"/>
        <v>-0.49916640099431064</v>
      </c>
      <c r="T26" s="21">
        <f t="shared" si="4"/>
        <v>15.850061062566805</v>
      </c>
      <c r="U26" s="21">
        <f t="shared" si="5"/>
        <v>83.721382558756105</v>
      </c>
    </row>
    <row r="27" spans="3:21" ht="15.75" thickBot="1" x14ac:dyDescent="0.3">
      <c r="C27" s="14" t="s">
        <v>48</v>
      </c>
      <c r="D27" s="15">
        <v>6</v>
      </c>
      <c r="E27" s="15">
        <v>30</v>
      </c>
      <c r="F27" s="21">
        <f t="shared" si="0"/>
        <v>34.538888888888891</v>
      </c>
      <c r="G27" s="21">
        <f t="shared" si="1"/>
        <v>20.601512345679037</v>
      </c>
      <c r="I27" s="14" t="s">
        <v>48</v>
      </c>
      <c r="J27" s="15">
        <v>6</v>
      </c>
      <c r="K27" s="15">
        <v>30</v>
      </c>
      <c r="L27" s="21">
        <f t="shared" si="6"/>
        <v>22.5</v>
      </c>
      <c r="M27" s="21">
        <f t="shared" si="7"/>
        <v>56.25</v>
      </c>
      <c r="O27" s="14" t="s">
        <v>48</v>
      </c>
      <c r="P27" s="15">
        <v>6</v>
      </c>
      <c r="Q27" s="15">
        <v>30</v>
      </c>
      <c r="R27" s="21">
        <f t="shared" si="2"/>
        <v>30</v>
      </c>
      <c r="S27" s="21">
        <f t="shared" si="3"/>
        <v>1.6949690798364943</v>
      </c>
      <c r="T27" s="21">
        <f t="shared" si="4"/>
        <v>24.500833599005688</v>
      </c>
      <c r="U27" s="21">
        <f t="shared" si="5"/>
        <v>30.240831105824736</v>
      </c>
    </row>
    <row r="28" spans="3:21" ht="15.75" thickBot="1" x14ac:dyDescent="0.3">
      <c r="C28" s="14" t="s">
        <v>49</v>
      </c>
      <c r="D28" s="15">
        <v>7</v>
      </c>
      <c r="E28" s="15">
        <v>35</v>
      </c>
      <c r="F28" s="21">
        <f t="shared" si="0"/>
        <v>36.522222222222226</v>
      </c>
      <c r="G28" s="21">
        <f t="shared" si="1"/>
        <v>2.317160493827171</v>
      </c>
      <c r="I28" s="14" t="s">
        <v>49</v>
      </c>
      <c r="J28" s="15">
        <v>7</v>
      </c>
      <c r="K28" s="15">
        <v>35</v>
      </c>
      <c r="L28" s="21">
        <f t="shared" si="6"/>
        <v>27.5</v>
      </c>
      <c r="M28" s="21">
        <f t="shared" si="7"/>
        <v>56.25</v>
      </c>
      <c r="O28" s="14" t="s">
        <v>49</v>
      </c>
      <c r="P28" s="15">
        <v>7</v>
      </c>
      <c r="Q28" s="15">
        <v>35</v>
      </c>
      <c r="R28" s="21">
        <f t="shared" si="2"/>
        <v>35</v>
      </c>
      <c r="S28" s="21">
        <f t="shared" si="3"/>
        <v>3.0136572369838115</v>
      </c>
      <c r="T28" s="21">
        <f t="shared" si="4"/>
        <v>31.694969079836493</v>
      </c>
      <c r="U28" s="21">
        <f t="shared" si="5"/>
        <v>10.923229383236835</v>
      </c>
    </row>
    <row r="29" spans="3:21" ht="15.75" thickBot="1" x14ac:dyDescent="0.3">
      <c r="C29" s="14" t="s">
        <v>50</v>
      </c>
      <c r="D29" s="15">
        <v>8</v>
      </c>
      <c r="E29" s="15">
        <v>40</v>
      </c>
      <c r="F29" s="21">
        <f t="shared" si="0"/>
        <v>38.50555555555556</v>
      </c>
      <c r="G29" s="21">
        <f t="shared" si="1"/>
        <v>2.2333641975308511</v>
      </c>
      <c r="I29" s="14" t="s">
        <v>50</v>
      </c>
      <c r="J29" s="15">
        <v>8</v>
      </c>
      <c r="K29" s="15">
        <v>40</v>
      </c>
      <c r="L29" s="21">
        <f t="shared" si="6"/>
        <v>32.5</v>
      </c>
      <c r="M29" s="21">
        <f t="shared" si="7"/>
        <v>56.25</v>
      </c>
      <c r="O29" s="14" t="s">
        <v>50</v>
      </c>
      <c r="P29" s="15">
        <v>8</v>
      </c>
      <c r="Q29" s="15">
        <v>40</v>
      </c>
      <c r="R29" s="21">
        <f t="shared" si="2"/>
        <v>40</v>
      </c>
      <c r="S29" s="21">
        <f t="shared" si="3"/>
        <v>3.8061964721372128</v>
      </c>
      <c r="T29" s="21">
        <f t="shared" si="4"/>
        <v>38.013657236983811</v>
      </c>
      <c r="U29" s="21">
        <f t="shared" si="5"/>
        <v>3.9455575721867895</v>
      </c>
    </row>
    <row r="30" spans="3:21" ht="29.25" thickBot="1" x14ac:dyDescent="0.3">
      <c r="C30" s="14" t="s">
        <v>51</v>
      </c>
      <c r="D30" s="15">
        <v>9</v>
      </c>
      <c r="E30" s="15">
        <v>50</v>
      </c>
      <c r="F30" s="21">
        <f t="shared" si="0"/>
        <v>40.488888888888894</v>
      </c>
      <c r="G30" s="21">
        <f t="shared" si="1"/>
        <v>90.46123456790113</v>
      </c>
      <c r="I30" s="14" t="s">
        <v>51</v>
      </c>
      <c r="J30" s="15">
        <v>9</v>
      </c>
      <c r="K30" s="15">
        <v>50</v>
      </c>
      <c r="L30" s="21">
        <f t="shared" si="6"/>
        <v>37.5</v>
      </c>
      <c r="M30" s="21">
        <f t="shared" si="7"/>
        <v>156.25</v>
      </c>
      <c r="O30" s="14" t="s">
        <v>51</v>
      </c>
      <c r="P30" s="15">
        <v>9</v>
      </c>
      <c r="Q30" s="15">
        <v>50</v>
      </c>
      <c r="R30" s="21">
        <f t="shared" si="2"/>
        <v>50</v>
      </c>
      <c r="S30" s="21">
        <f t="shared" si="3"/>
        <v>6.2774881354194001</v>
      </c>
      <c r="T30" s="21">
        <f t="shared" si="4"/>
        <v>43.806196472137216</v>
      </c>
      <c r="U30" s="21">
        <f t="shared" si="5"/>
        <v>38.363202141765463</v>
      </c>
    </row>
    <row r="31" spans="3:21" ht="15.75" thickBot="1" x14ac:dyDescent="0.3">
      <c r="C31" s="16" t="s">
        <v>52</v>
      </c>
      <c r="D31" s="15">
        <v>10</v>
      </c>
      <c r="E31" s="15"/>
      <c r="F31" s="21">
        <f t="shared" si="0"/>
        <v>42.472222222222229</v>
      </c>
      <c r="G31" s="21"/>
      <c r="I31" s="16" t="s">
        <v>52</v>
      </c>
      <c r="J31" s="15">
        <v>10</v>
      </c>
      <c r="K31" s="15"/>
      <c r="L31" s="21">
        <f t="shared" si="6"/>
        <v>45</v>
      </c>
      <c r="M31" s="21"/>
      <c r="O31" s="16" t="s">
        <v>52</v>
      </c>
      <c r="P31" s="15">
        <v>10</v>
      </c>
      <c r="Q31" s="15"/>
      <c r="R31" s="15"/>
      <c r="S31" s="15"/>
      <c r="T31" s="21">
        <f t="shared" si="4"/>
        <v>56.277488135419404</v>
      </c>
      <c r="U31" s="21"/>
    </row>
    <row r="33" spans="3:21" x14ac:dyDescent="0.25">
      <c r="C33" s="19" t="s">
        <v>55</v>
      </c>
      <c r="D33" s="20">
        <f>INTERCEPT(E22:E30,D22:D30)</f>
        <v>22.638888888888889</v>
      </c>
      <c r="F33" t="s">
        <v>61</v>
      </c>
      <c r="G33" s="20">
        <f>AVERAGE(G22:G30)</f>
        <v>42.689506172839501</v>
      </c>
      <c r="I33" s="19"/>
      <c r="J33" s="20"/>
      <c r="L33" t="s">
        <v>61</v>
      </c>
      <c r="M33" s="20">
        <f>AVERAGE(M22:M30)</f>
        <v>68.357142857142861</v>
      </c>
      <c r="O33" s="19"/>
      <c r="P33" s="20"/>
      <c r="T33" t="s">
        <v>61</v>
      </c>
      <c r="U33" s="20">
        <f>AVERAGE(U23:U30)</f>
        <v>39.267615382826968</v>
      </c>
    </row>
    <row r="34" spans="3:21" x14ac:dyDescent="0.25">
      <c r="C34" s="19" t="s">
        <v>56</v>
      </c>
      <c r="D34" s="20">
        <f>SLOPE(E22:E30,D22:D30)</f>
        <v>1.9833333333333334</v>
      </c>
    </row>
    <row r="35" spans="3:21" x14ac:dyDescent="0.25">
      <c r="C35" s="19" t="s">
        <v>59</v>
      </c>
      <c r="D35" s="20">
        <f>RSQ(E22:E30,D22:D30)</f>
        <v>0.38053565030455022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E0B7B-2D36-46BE-B5A6-E22F562652A5}">
  <dimension ref="H1:J34"/>
  <sheetViews>
    <sheetView zoomScale="140" zoomScaleNormal="140" workbookViewId="0">
      <selection activeCell="I35" sqref="I35"/>
    </sheetView>
  </sheetViews>
  <sheetFormatPr baseColWidth="10" defaultRowHeight="15" x14ac:dyDescent="0.25"/>
  <cols>
    <col min="8" max="8" width="15.28515625" bestFit="1" customWidth="1"/>
  </cols>
  <sheetData>
    <row r="1" spans="8:10" x14ac:dyDescent="0.25">
      <c r="H1" t="s">
        <v>79</v>
      </c>
    </row>
    <row r="2" spans="8:10" x14ac:dyDescent="0.25">
      <c r="H2" s="28" t="s">
        <v>68</v>
      </c>
      <c r="I2" s="26">
        <f>5000*365</f>
        <v>1825000</v>
      </c>
      <c r="J2" t="s">
        <v>75</v>
      </c>
    </row>
    <row r="3" spans="8:10" x14ac:dyDescent="0.25">
      <c r="H3" s="28" t="s">
        <v>69</v>
      </c>
      <c r="I3" s="26">
        <v>1200</v>
      </c>
      <c r="J3" t="s">
        <v>72</v>
      </c>
    </row>
    <row r="4" spans="8:10" x14ac:dyDescent="0.25">
      <c r="H4" s="28" t="s">
        <v>70</v>
      </c>
      <c r="I4" s="27">
        <v>0.02</v>
      </c>
      <c r="J4" t="s">
        <v>71</v>
      </c>
    </row>
    <row r="5" spans="8:10" x14ac:dyDescent="0.25">
      <c r="H5" s="28"/>
      <c r="I5" s="26"/>
    </row>
    <row r="6" spans="8:10" x14ac:dyDescent="0.25">
      <c r="H6" s="28" t="s">
        <v>73</v>
      </c>
      <c r="I6" s="26">
        <f>SQRT((2*I2*I3)/I4)</f>
        <v>467974.35827190359</v>
      </c>
      <c r="J6" t="s">
        <v>74</v>
      </c>
    </row>
    <row r="7" spans="8:10" x14ac:dyDescent="0.25">
      <c r="H7" s="3" t="s">
        <v>80</v>
      </c>
      <c r="I7" s="26"/>
    </row>
    <row r="8" spans="8:10" x14ac:dyDescent="0.25">
      <c r="H8" t="s">
        <v>76</v>
      </c>
      <c r="I8" s="26">
        <f>(I2/I6)*I3</f>
        <v>4679.7435827190366</v>
      </c>
    </row>
    <row r="9" spans="8:10" x14ac:dyDescent="0.25">
      <c r="H9" t="s">
        <v>77</v>
      </c>
      <c r="I9" s="26">
        <f>(I6/2)*I4</f>
        <v>4679.7435827190357</v>
      </c>
    </row>
    <row r="10" spans="8:10" x14ac:dyDescent="0.25">
      <c r="H10" t="s">
        <v>78</v>
      </c>
      <c r="I10" s="29">
        <f>I8+I9</f>
        <v>9359.4871654380731</v>
      </c>
    </row>
    <row r="12" spans="8:10" x14ac:dyDescent="0.25">
      <c r="H12" t="s">
        <v>81</v>
      </c>
    </row>
    <row r="13" spans="8:10" x14ac:dyDescent="0.25">
      <c r="H13" s="28" t="s">
        <v>68</v>
      </c>
      <c r="I13" s="26">
        <f>(5000*365)*(1+30%)</f>
        <v>2372500</v>
      </c>
    </row>
    <row r="14" spans="8:10" x14ac:dyDescent="0.25">
      <c r="H14" s="28" t="s">
        <v>69</v>
      </c>
      <c r="I14" s="26">
        <v>1200</v>
      </c>
    </row>
    <row r="15" spans="8:10" x14ac:dyDescent="0.25">
      <c r="H15" s="28" t="s">
        <v>70</v>
      </c>
      <c r="I15" s="27">
        <v>0.02</v>
      </c>
    </row>
    <row r="16" spans="8:10" x14ac:dyDescent="0.25">
      <c r="H16" s="28"/>
      <c r="I16" s="26"/>
    </row>
    <row r="17" spans="8:9" x14ac:dyDescent="0.25">
      <c r="H17" s="28" t="s">
        <v>73</v>
      </c>
      <c r="I17" s="26">
        <f>SQRT((2*I13*I14)/I15)</f>
        <v>533572.86287816404</v>
      </c>
    </row>
    <row r="18" spans="8:9" x14ac:dyDescent="0.25">
      <c r="H18" s="3"/>
      <c r="I18" s="26"/>
    </row>
    <row r="19" spans="8:9" x14ac:dyDescent="0.25">
      <c r="H19" t="s">
        <v>76</v>
      </c>
      <c r="I19" s="26">
        <f>(I13/I17)*I14</f>
        <v>5335.7286287816396</v>
      </c>
    </row>
    <row r="20" spans="8:9" x14ac:dyDescent="0.25">
      <c r="H20" t="s">
        <v>77</v>
      </c>
      <c r="I20" s="26">
        <f>(I17/2)*I15</f>
        <v>5335.7286287816405</v>
      </c>
    </row>
    <row r="21" spans="8:9" x14ac:dyDescent="0.25">
      <c r="H21" t="s">
        <v>78</v>
      </c>
      <c r="I21" s="29">
        <f>I19+I20</f>
        <v>10671.457257563281</v>
      </c>
    </row>
    <row r="23" spans="8:9" x14ac:dyDescent="0.25">
      <c r="H23" t="s">
        <v>82</v>
      </c>
    </row>
    <row r="24" spans="8:9" x14ac:dyDescent="0.25">
      <c r="H24" s="28" t="s">
        <v>68</v>
      </c>
      <c r="I24" s="26">
        <f>(5000*365)*(1+30%)</f>
        <v>2372500</v>
      </c>
    </row>
    <row r="25" spans="8:9" x14ac:dyDescent="0.25">
      <c r="H25" s="28" t="s">
        <v>69</v>
      </c>
      <c r="I25" s="26">
        <v>1200</v>
      </c>
    </row>
    <row r="26" spans="8:9" x14ac:dyDescent="0.25">
      <c r="H26" s="28" t="s">
        <v>70</v>
      </c>
      <c r="I26" s="27">
        <v>0.02</v>
      </c>
    </row>
    <row r="27" spans="8:9" x14ac:dyDescent="0.25">
      <c r="H27" s="28"/>
      <c r="I27" s="26"/>
    </row>
    <row r="28" spans="8:9" x14ac:dyDescent="0.25">
      <c r="H28" s="28" t="s">
        <v>73</v>
      </c>
      <c r="I28" s="26">
        <f>I6</f>
        <v>467974.35827190359</v>
      </c>
    </row>
    <row r="29" spans="8:9" x14ac:dyDescent="0.25">
      <c r="H29" s="3"/>
      <c r="I29" s="26"/>
    </row>
    <row r="30" spans="8:9" x14ac:dyDescent="0.25">
      <c r="H30" t="s">
        <v>76</v>
      </c>
      <c r="I30" s="26">
        <f>(I24/I28)*I25</f>
        <v>6083.6666575347472</v>
      </c>
    </row>
    <row r="31" spans="8:9" x14ac:dyDescent="0.25">
      <c r="H31" t="s">
        <v>77</v>
      </c>
      <c r="I31" s="26">
        <f>(I28/2)*I26</f>
        <v>4679.7435827190357</v>
      </c>
    </row>
    <row r="32" spans="8:9" x14ac:dyDescent="0.25">
      <c r="H32" t="s">
        <v>78</v>
      </c>
      <c r="I32" s="29">
        <f>I30+I31</f>
        <v>10763.410240253783</v>
      </c>
    </row>
    <row r="34" spans="8:9" x14ac:dyDescent="0.25">
      <c r="H34" t="s">
        <v>83</v>
      </c>
      <c r="I34" s="29">
        <f>I32-I21</f>
        <v>91.952982690501813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4F30-71A1-4824-973E-AB8FF74F22F3}">
  <dimension ref="A11:C23"/>
  <sheetViews>
    <sheetView topLeftCell="A10" zoomScale="150" zoomScaleNormal="150" workbookViewId="0">
      <selection activeCell="G20" sqref="G20"/>
    </sheetView>
  </sheetViews>
  <sheetFormatPr baseColWidth="10" defaultRowHeight="15" x14ac:dyDescent="0.25"/>
  <sheetData>
    <row r="11" spans="2:3" x14ac:dyDescent="0.25">
      <c r="B11" t="s">
        <v>84</v>
      </c>
    </row>
    <row r="12" spans="2:3" x14ac:dyDescent="0.25">
      <c r="B12" t="s">
        <v>85</v>
      </c>
      <c r="C12" t="s">
        <v>88</v>
      </c>
    </row>
    <row r="13" spans="2:3" x14ac:dyDescent="0.25">
      <c r="B13" t="s">
        <v>86</v>
      </c>
      <c r="C13" t="s">
        <v>87</v>
      </c>
    </row>
    <row r="15" spans="2:3" x14ac:dyDescent="0.25">
      <c r="B15" t="s">
        <v>89</v>
      </c>
    </row>
    <row r="16" spans="2:3" x14ac:dyDescent="0.25">
      <c r="B16" t="s">
        <v>90</v>
      </c>
    </row>
    <row r="17" spans="1:2" x14ac:dyDescent="0.25">
      <c r="B17" t="s">
        <v>91</v>
      </c>
    </row>
    <row r="18" spans="1:2" x14ac:dyDescent="0.25">
      <c r="B18" t="s">
        <v>92</v>
      </c>
    </row>
    <row r="19" spans="1:2" x14ac:dyDescent="0.25">
      <c r="A19" t="s">
        <v>93</v>
      </c>
      <c r="B19" s="30" t="s">
        <v>94</v>
      </c>
    </row>
    <row r="20" spans="1:2" x14ac:dyDescent="0.25">
      <c r="A20" t="s">
        <v>95</v>
      </c>
      <c r="B20" s="30" t="s">
        <v>96</v>
      </c>
    </row>
    <row r="21" spans="1:2" x14ac:dyDescent="0.25">
      <c r="A21" t="s">
        <v>97</v>
      </c>
      <c r="B21" s="30" t="s">
        <v>98</v>
      </c>
    </row>
    <row r="22" spans="1:2" x14ac:dyDescent="0.25">
      <c r="B22" s="30" t="s">
        <v>99</v>
      </c>
    </row>
    <row r="23" spans="1:2" x14ac:dyDescent="0.25">
      <c r="B23" s="30" t="s">
        <v>100</v>
      </c>
    </row>
  </sheetData>
  <phoneticPr fontId="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26B5A-6AF8-448F-A683-72EBE62A64AD}">
  <dimension ref="I2:K27"/>
  <sheetViews>
    <sheetView topLeftCell="B1" zoomScale="160" zoomScaleNormal="160" workbookViewId="0">
      <selection activeCell="I15" sqref="I15"/>
    </sheetView>
  </sheetViews>
  <sheetFormatPr baseColWidth="10" defaultRowHeight="15" x14ac:dyDescent="0.25"/>
  <cols>
    <col min="9" max="9" width="18.42578125" bestFit="1" customWidth="1"/>
    <col min="10" max="10" width="12.7109375" bestFit="1" customWidth="1"/>
  </cols>
  <sheetData>
    <row r="2" spans="9:11" x14ac:dyDescent="0.25">
      <c r="I2" t="s">
        <v>68</v>
      </c>
      <c r="J2">
        <v>223214.29</v>
      </c>
      <c r="K2" t="s">
        <v>101</v>
      </c>
    </row>
    <row r="3" spans="9:11" x14ac:dyDescent="0.25">
      <c r="I3" s="18" t="s">
        <v>102</v>
      </c>
      <c r="J3">
        <v>25238.85</v>
      </c>
      <c r="K3" t="s">
        <v>101</v>
      </c>
    </row>
    <row r="4" spans="9:11" x14ac:dyDescent="0.25">
      <c r="I4" t="s">
        <v>103</v>
      </c>
      <c r="J4">
        <v>1</v>
      </c>
      <c r="K4" t="s">
        <v>104</v>
      </c>
    </row>
    <row r="5" spans="9:11" x14ac:dyDescent="0.25">
      <c r="I5" t="s">
        <v>69</v>
      </c>
      <c r="J5">
        <f>300+50</f>
        <v>350</v>
      </c>
      <c r="K5" t="s">
        <v>105</v>
      </c>
    </row>
    <row r="6" spans="9:11" x14ac:dyDescent="0.25">
      <c r="I6" t="s">
        <v>106</v>
      </c>
      <c r="J6" s="6">
        <v>0.25</v>
      </c>
    </row>
    <row r="7" spans="9:11" x14ac:dyDescent="0.25">
      <c r="I7" t="s">
        <v>70</v>
      </c>
      <c r="J7">
        <f>J6*J4</f>
        <v>0.25</v>
      </c>
      <c r="K7" t="s">
        <v>71</v>
      </c>
    </row>
    <row r="8" spans="9:11" x14ac:dyDescent="0.25">
      <c r="I8" t="s">
        <v>107</v>
      </c>
      <c r="J8" s="6">
        <v>0.98</v>
      </c>
    </row>
    <row r="9" spans="9:11" x14ac:dyDescent="0.25">
      <c r="I9" t="s">
        <v>109</v>
      </c>
      <c r="J9" t="s">
        <v>110</v>
      </c>
    </row>
    <row r="10" spans="9:11" x14ac:dyDescent="0.25">
      <c r="I10" t="s">
        <v>79</v>
      </c>
    </row>
    <row r="11" spans="9:11" x14ac:dyDescent="0.25">
      <c r="I11" t="s">
        <v>111</v>
      </c>
      <c r="J11" s="20">
        <f>NORMSINV(J8)</f>
        <v>2.0537489106318221</v>
      </c>
    </row>
    <row r="12" spans="9:11" x14ac:dyDescent="0.25">
      <c r="I12" t="s">
        <v>112</v>
      </c>
      <c r="J12" s="20">
        <f>(J3/365)*28</f>
        <v>1936.1309589041093</v>
      </c>
    </row>
    <row r="13" spans="9:11" x14ac:dyDescent="0.25">
      <c r="I13" t="s">
        <v>108</v>
      </c>
      <c r="J13" s="24">
        <f>J11*J12</f>
        <v>3976.3268476898597</v>
      </c>
      <c r="K13" t="s">
        <v>113</v>
      </c>
    </row>
    <row r="14" spans="9:11" x14ac:dyDescent="0.25">
      <c r="I14" t="s">
        <v>114</v>
      </c>
      <c r="J14" s="24">
        <f>(J2/365)*28+J13</f>
        <v>21099.61484768986</v>
      </c>
      <c r="K14" t="s">
        <v>113</v>
      </c>
    </row>
    <row r="16" spans="9:11" x14ac:dyDescent="0.25">
      <c r="I16" t="s">
        <v>80</v>
      </c>
    </row>
    <row r="17" spans="9:11" x14ac:dyDescent="0.25">
      <c r="I17" t="s">
        <v>115</v>
      </c>
      <c r="J17" s="24">
        <f>J13*J7</f>
        <v>994.08171192246493</v>
      </c>
      <c r="K17" t="s">
        <v>116</v>
      </c>
    </row>
    <row r="18" spans="9:11" x14ac:dyDescent="0.25">
      <c r="I18" t="s">
        <v>117</v>
      </c>
      <c r="J18">
        <f>1500/J7</f>
        <v>6000</v>
      </c>
      <c r="K18" t="s">
        <v>113</v>
      </c>
    </row>
    <row r="19" spans="9:11" x14ac:dyDescent="0.25">
      <c r="I19" t="s">
        <v>119</v>
      </c>
      <c r="J19" s="20">
        <f>J18/J12</f>
        <v>3.0989639272108565</v>
      </c>
    </row>
    <row r="20" spans="9:11" x14ac:dyDescent="0.25">
      <c r="I20" t="s">
        <v>118</v>
      </c>
      <c r="J20" s="32">
        <f>NORMSDIST(J19)</f>
        <v>0.99902900668376093</v>
      </c>
      <c r="K20" t="s">
        <v>120</v>
      </c>
    </row>
    <row r="22" spans="9:11" x14ac:dyDescent="0.25">
      <c r="I22" t="s">
        <v>81</v>
      </c>
    </row>
    <row r="23" spans="9:11" x14ac:dyDescent="0.25">
      <c r="I23" t="s">
        <v>73</v>
      </c>
      <c r="J23" s="31">
        <f>SQRT((2*J2*J5)/J7)</f>
        <v>25000.000239999998</v>
      </c>
      <c r="K23" t="s">
        <v>113</v>
      </c>
    </row>
    <row r="25" spans="9:11" x14ac:dyDescent="0.25">
      <c r="I25" t="s">
        <v>121</v>
      </c>
      <c r="J25" s="31">
        <f>(J2/J23)*J5</f>
        <v>3125.0000300000002</v>
      </c>
      <c r="K25" t="s">
        <v>116</v>
      </c>
    </row>
    <row r="26" spans="9:11" x14ac:dyDescent="0.25">
      <c r="I26" t="s">
        <v>122</v>
      </c>
      <c r="J26" s="31">
        <f>((J23/2)+J13)*J7</f>
        <v>4119.081741922465</v>
      </c>
      <c r="K26" t="s">
        <v>116</v>
      </c>
    </row>
    <row r="27" spans="9:11" x14ac:dyDescent="0.25">
      <c r="I27" t="s">
        <v>78</v>
      </c>
      <c r="J27" s="31">
        <f>J25+J26</f>
        <v>7244.0817719224651</v>
      </c>
      <c r="K27" t="s">
        <v>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Arboles </vt:lpstr>
      <vt:lpstr>Pronósticos</vt:lpstr>
      <vt:lpstr>Inventario</vt:lpstr>
      <vt:lpstr>Programación Lineal</vt:lpstr>
      <vt:lpstr>Inventario con SS</vt:lpstr>
      <vt:lpstr>'Arboles '!TreeData</vt:lpstr>
      <vt:lpstr>'Arboles '!TreeDiagBase</vt:lpstr>
      <vt:lpstr>'Arboles '!TreeDiagram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Delgado</dc:creator>
  <cp:lastModifiedBy>Erick Vasquez</cp:lastModifiedBy>
  <dcterms:created xsi:type="dcterms:W3CDTF">2022-05-25T23:17:01Z</dcterms:created>
  <dcterms:modified xsi:type="dcterms:W3CDTF">2022-05-29T21:17:37Z</dcterms:modified>
</cp:coreProperties>
</file>