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2\"/>
    </mc:Choice>
  </mc:AlternateContent>
  <xr:revisionPtr revIDLastSave="0" documentId="13_ncr:1_{37E70D97-AA4E-4D03-A521-A78739D13212}" xr6:coauthVersionLast="47" xr6:coauthVersionMax="47" xr10:uidLastSave="{00000000-0000-0000-0000-000000000000}"/>
  <bookViews>
    <workbookView xWindow="-23148" yWindow="-108" windowWidth="23256" windowHeight="12456" tabRatio="500" firstSheet="3" activeTab="3" xr2:uid="{00000000-000D-0000-FFFF-FFFF00000000}"/>
  </bookViews>
  <sheets>
    <sheet name="Señal de Rastreo" sheetId="1" r:id="rId1"/>
    <sheet name="Promedio movil" sheetId="12" r:id="rId2"/>
    <sheet name="Móvil Doble" sheetId="3" r:id="rId3"/>
    <sheet name="Suavización Exponencial" sheetId="4" r:id="rId4"/>
    <sheet name="Suavizamiento" sheetId="11" r:id="rId5"/>
    <sheet name="Holt" sheetId="5" r:id="rId6"/>
    <sheet name="Winter" sheetId="6" r:id="rId7"/>
    <sheet name="Regrecion lineal" sheetId="7" r:id="rId8"/>
    <sheet name="Regrecion multiple" sheetId="8" r:id="rId9"/>
    <sheet name="Descomposicion de series" sheetId="10" r:id="rId10"/>
  </sheets>
  <definedNames>
    <definedName name="solver_adj" localSheetId="5" hidden="1">Holt!#REF!</definedName>
    <definedName name="solver_cvg" localSheetId="5" hidden="1">0.0001</definedName>
    <definedName name="solver_cvg" localSheetId="3" hidden="1">0.0001</definedName>
    <definedName name="solver_drv" localSheetId="5" hidden="1">1</definedName>
    <definedName name="solver_drv" localSheetId="3" hidden="1">1</definedName>
    <definedName name="solver_eng" localSheetId="5" hidden="1">1</definedName>
    <definedName name="solver_eng" localSheetId="3" hidden="1">1</definedName>
    <definedName name="solver_est" localSheetId="5" hidden="1">1</definedName>
    <definedName name="solver_est" localSheetId="3" hidden="1">1</definedName>
    <definedName name="solver_itr" localSheetId="5" hidden="1">2147483647</definedName>
    <definedName name="solver_itr" localSheetId="3" hidden="1">2147483647</definedName>
    <definedName name="solver_lhs1" localSheetId="5" hidden="1">Holt!#REF!</definedName>
    <definedName name="solver_lhs1" localSheetId="3" hidden="1">'Suavización Exponencial'!#REF!</definedName>
    <definedName name="solver_lhs2" localSheetId="5" hidden="1">Holt!#REF!</definedName>
    <definedName name="solver_lhs2" localSheetId="3" hidden="1">'Suavización Exponencial'!#REF!</definedName>
    <definedName name="solver_mip" localSheetId="5" hidden="1">2147483647</definedName>
    <definedName name="solver_mip" localSheetId="3" hidden="1">2147483647</definedName>
    <definedName name="solver_mni" localSheetId="5" hidden="1">30</definedName>
    <definedName name="solver_mni" localSheetId="3" hidden="1">30</definedName>
    <definedName name="solver_mrt" localSheetId="5" hidden="1">0.075</definedName>
    <definedName name="solver_mrt" localSheetId="3" hidden="1">0.075</definedName>
    <definedName name="solver_msl" localSheetId="5" hidden="1">2</definedName>
    <definedName name="solver_msl" localSheetId="3" hidden="1">2</definedName>
    <definedName name="solver_neg" localSheetId="5" hidden="1">1</definedName>
    <definedName name="solver_neg" localSheetId="3" hidden="1">1</definedName>
    <definedName name="solver_nod" localSheetId="5" hidden="1">2147483647</definedName>
    <definedName name="solver_nod" localSheetId="3" hidden="1">2147483647</definedName>
    <definedName name="solver_num" localSheetId="5" hidden="1">2</definedName>
    <definedName name="solver_num" localSheetId="3" hidden="1">2</definedName>
    <definedName name="solver_nwt" localSheetId="5" hidden="1">1</definedName>
    <definedName name="solver_nwt" localSheetId="3" hidden="1">1</definedName>
    <definedName name="solver_opt" localSheetId="5" hidden="1">Holt!#REF!</definedName>
    <definedName name="solver_pre" localSheetId="5" hidden="1">0.000001</definedName>
    <definedName name="solver_pre" localSheetId="3" hidden="1">0.000001</definedName>
    <definedName name="solver_rbv" localSheetId="5" hidden="1">1</definedName>
    <definedName name="solver_rbv" localSheetId="3" hidden="1">1</definedName>
    <definedName name="solver_rel1" localSheetId="5" hidden="1">1</definedName>
    <definedName name="solver_rel1" localSheetId="3" hidden="1">1</definedName>
    <definedName name="solver_rel2" localSheetId="5" hidden="1">3</definedName>
    <definedName name="solver_rel2" localSheetId="3" hidden="1">3</definedName>
    <definedName name="solver_rhs1" localSheetId="5" hidden="1">1</definedName>
    <definedName name="solver_rhs1" localSheetId="3" hidden="1">1</definedName>
    <definedName name="solver_rhs2" localSheetId="5" hidden="1">0</definedName>
    <definedName name="solver_rhs2" localSheetId="3" hidden="1">0</definedName>
    <definedName name="solver_rlx" localSheetId="5" hidden="1">2</definedName>
    <definedName name="solver_rlx" localSheetId="3" hidden="1">2</definedName>
    <definedName name="solver_rsd" localSheetId="5" hidden="1">0</definedName>
    <definedName name="solver_rsd" localSheetId="3" hidden="1">0</definedName>
    <definedName name="solver_scl" localSheetId="5" hidden="1">1</definedName>
    <definedName name="solver_scl" localSheetId="3" hidden="1">1</definedName>
    <definedName name="solver_sho" localSheetId="5" hidden="1">2</definedName>
    <definedName name="solver_sho" localSheetId="3" hidden="1">2</definedName>
    <definedName name="solver_ssz" localSheetId="5" hidden="1">100</definedName>
    <definedName name="solver_ssz" localSheetId="3" hidden="1">100</definedName>
    <definedName name="solver_tim" localSheetId="5" hidden="1">2147483647</definedName>
    <definedName name="solver_tim" localSheetId="3" hidden="1">2147483647</definedName>
    <definedName name="solver_tol" localSheetId="5" hidden="1">0.01</definedName>
    <definedName name="solver_tol" localSheetId="3" hidden="1">0.01</definedName>
    <definedName name="solver_typ" localSheetId="5" hidden="1">2</definedName>
    <definedName name="solver_typ" localSheetId="3" hidden="1">2</definedName>
    <definedName name="solver_val" localSheetId="5" hidden="1">0</definedName>
    <definedName name="solver_val" localSheetId="3" hidden="1">0</definedName>
    <definedName name="solver_ver" localSheetId="5" hidden="1">3</definedName>
    <definedName name="solver_ver" localSheetId="3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8" l="1"/>
  <c r="G14" i="8"/>
  <c r="F14" i="8"/>
  <c r="F13" i="8"/>
  <c r="G13" i="8" s="1"/>
  <c r="G12" i="8"/>
  <c r="F12" i="8"/>
  <c r="F11" i="8"/>
  <c r="G11" i="8" s="1"/>
  <c r="G10" i="8"/>
  <c r="F10" i="8"/>
  <c r="F9" i="8"/>
  <c r="G9" i="8" s="1"/>
  <c r="G8" i="8"/>
  <c r="F8" i="8"/>
  <c r="F7" i="8"/>
  <c r="G7" i="8" s="1"/>
  <c r="G6" i="8"/>
  <c r="F6" i="8"/>
  <c r="F5" i="8"/>
  <c r="G5" i="8" s="1"/>
  <c r="G4" i="8"/>
  <c r="F4" i="8"/>
  <c r="F3" i="8"/>
  <c r="G3" i="8" s="1"/>
  <c r="H19" i="8" s="1"/>
  <c r="C57" i="7" l="1"/>
  <c r="E40" i="7"/>
  <c r="C59" i="7"/>
  <c r="E6" i="7"/>
  <c r="E7" i="7"/>
  <c r="E8" i="7"/>
  <c r="E9" i="7"/>
  <c r="E10" i="7"/>
  <c r="E11" i="7"/>
  <c r="E12" i="7"/>
  <c r="E13" i="7"/>
  <c r="E14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1" i="7"/>
  <c r="E42" i="7"/>
  <c r="E43" i="7"/>
  <c r="E44" i="7"/>
  <c r="E45" i="7"/>
  <c r="E46" i="7"/>
  <c r="E47" i="7"/>
  <c r="E15" i="7"/>
  <c r="H52" i="10" l="1"/>
  <c r="F18" i="10"/>
  <c r="F7" i="10"/>
  <c r="F8" i="10"/>
  <c r="F9" i="10"/>
  <c r="G9" i="10" s="1"/>
  <c r="H9" i="10" s="1"/>
  <c r="F10" i="10"/>
  <c r="G10" i="10" s="1"/>
  <c r="F11" i="10"/>
  <c r="F12" i="10"/>
  <c r="F13" i="10"/>
  <c r="F14" i="10"/>
  <c r="F15" i="10"/>
  <c r="F16" i="10"/>
  <c r="F17" i="10"/>
  <c r="G17" i="10" s="1"/>
  <c r="H17" i="10" s="1"/>
  <c r="G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E50" i="10"/>
  <c r="G8" i="10" s="1"/>
  <c r="E51" i="10"/>
  <c r="C58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E8" i="5"/>
  <c r="E7" i="5"/>
  <c r="G8" i="5" s="1"/>
  <c r="H8" i="5" s="1"/>
  <c r="H8" i="10" l="1"/>
  <c r="G12" i="10"/>
  <c r="G14" i="10"/>
  <c r="G13" i="10"/>
  <c r="G11" i="10"/>
  <c r="H18" i="10"/>
  <c r="G16" i="10"/>
  <c r="G15" i="10"/>
  <c r="H10" i="10"/>
  <c r="G7" i="10"/>
  <c r="F51" i="7"/>
  <c r="F8" i="5"/>
  <c r="G9" i="5" s="1"/>
  <c r="H9" i="5" s="1"/>
  <c r="H16" i="10" l="1"/>
  <c r="H12" i="10"/>
  <c r="H7" i="10"/>
  <c r="H13" i="10"/>
  <c r="H11" i="10"/>
  <c r="H14" i="10"/>
  <c r="H15" i="10"/>
  <c r="E9" i="5"/>
  <c r="H51" i="10" l="1"/>
  <c r="H50" i="10"/>
  <c r="F9" i="5"/>
  <c r="E10" i="5"/>
  <c r="G10" i="5"/>
  <c r="H10" i="5" s="1"/>
  <c r="I8" i="10" l="1"/>
  <c r="I10" i="10"/>
  <c r="I12" i="10"/>
  <c r="I14" i="10"/>
  <c r="I16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9" i="10"/>
  <c r="I17" i="10"/>
  <c r="I13" i="10"/>
  <c r="I46" i="10"/>
  <c r="J46" i="10" s="1"/>
  <c r="I11" i="10"/>
  <c r="I47" i="10"/>
  <c r="J47" i="10" s="1"/>
  <c r="I7" i="10"/>
  <c r="I15" i="10"/>
  <c r="I48" i="10"/>
  <c r="J48" i="10" s="1"/>
  <c r="F10" i="5"/>
  <c r="E11" i="5" s="1"/>
  <c r="J44" i="10" l="1"/>
  <c r="K44" i="10"/>
  <c r="K36" i="10"/>
  <c r="J36" i="10"/>
  <c r="J28" i="10"/>
  <c r="K28" i="10"/>
  <c r="J20" i="10"/>
  <c r="K20" i="10"/>
  <c r="J43" i="10"/>
  <c r="K43" i="10"/>
  <c r="J35" i="10"/>
  <c r="K35" i="10"/>
  <c r="J23" i="10"/>
  <c r="K23" i="10"/>
  <c r="K11" i="10"/>
  <c r="J11" i="10"/>
  <c r="K42" i="10"/>
  <c r="J42" i="10"/>
  <c r="K38" i="10"/>
  <c r="J38" i="10"/>
  <c r="J30" i="10"/>
  <c r="K30" i="10"/>
  <c r="J26" i="10"/>
  <c r="K26" i="10"/>
  <c r="J22" i="10"/>
  <c r="K22" i="10"/>
  <c r="K18" i="10"/>
  <c r="J18" i="10"/>
  <c r="K10" i="10"/>
  <c r="J10" i="10"/>
  <c r="K7" i="10"/>
  <c r="J7" i="10"/>
  <c r="K13" i="10"/>
  <c r="J13" i="10"/>
  <c r="J40" i="10"/>
  <c r="K40" i="10"/>
  <c r="J32" i="10"/>
  <c r="K32" i="10"/>
  <c r="J24" i="10"/>
  <c r="K24" i="10"/>
  <c r="K14" i="10"/>
  <c r="J14" i="10"/>
  <c r="K17" i="10"/>
  <c r="J17" i="10"/>
  <c r="J39" i="10"/>
  <c r="K39" i="10"/>
  <c r="J31" i="10"/>
  <c r="K31" i="10"/>
  <c r="J27" i="10"/>
  <c r="K27" i="10"/>
  <c r="J19" i="10"/>
  <c r="K19" i="10"/>
  <c r="K12" i="10"/>
  <c r="J12" i="10"/>
  <c r="K9" i="10"/>
  <c r="J9" i="10"/>
  <c r="J34" i="10"/>
  <c r="K34" i="10"/>
  <c r="K15" i="10"/>
  <c r="J15" i="10"/>
  <c r="J45" i="10"/>
  <c r="K45" i="10"/>
  <c r="J41" i="10"/>
  <c r="K41" i="10"/>
  <c r="J37" i="10"/>
  <c r="K37" i="10"/>
  <c r="J33" i="10"/>
  <c r="K33" i="10"/>
  <c r="J29" i="10"/>
  <c r="K29" i="10"/>
  <c r="J25" i="10"/>
  <c r="K25" i="10"/>
  <c r="J21" i="10"/>
  <c r="K21" i="10"/>
  <c r="K16" i="10"/>
  <c r="J16" i="10"/>
  <c r="K8" i="10"/>
  <c r="J8" i="10"/>
  <c r="F11" i="5"/>
  <c r="G12" i="5"/>
  <c r="H12" i="5" s="1"/>
  <c r="E12" i="5"/>
  <c r="G11" i="5"/>
  <c r="H11" i="5" s="1"/>
  <c r="K50" i="10" l="1"/>
  <c r="F12" i="5"/>
  <c r="E13" i="5" s="1"/>
  <c r="F13" i="5" l="1"/>
  <c r="G14" i="5" s="1"/>
  <c r="H14" i="5" s="1"/>
  <c r="E14" i="5"/>
  <c r="G13" i="5"/>
  <c r="H13" i="5" s="1"/>
  <c r="F14" i="5" l="1"/>
  <c r="E15" i="5" s="1"/>
  <c r="F15" i="5" l="1"/>
  <c r="G16" i="5"/>
  <c r="H16" i="5" s="1"/>
  <c r="E16" i="5"/>
  <c r="G15" i="5"/>
  <c r="H15" i="5" s="1"/>
  <c r="F16" i="5" l="1"/>
  <c r="E17" i="5" s="1"/>
  <c r="F17" i="5" l="1"/>
  <c r="E18" i="5"/>
  <c r="G18" i="5"/>
  <c r="H18" i="5" s="1"/>
  <c r="G17" i="5"/>
  <c r="H17" i="5" s="1"/>
  <c r="F18" i="5" l="1"/>
  <c r="G19" i="5" s="1"/>
  <c r="H19" i="5" s="1"/>
  <c r="E19" i="5"/>
  <c r="F19" i="5" l="1"/>
  <c r="E20" i="5"/>
  <c r="G20" i="5"/>
  <c r="H20" i="5" s="1"/>
  <c r="F20" i="5" l="1"/>
  <c r="G21" i="5" s="1"/>
  <c r="H21" i="5" s="1"/>
  <c r="E21" i="5"/>
  <c r="F21" i="5" l="1"/>
  <c r="E22" i="5" s="1"/>
  <c r="F22" i="5" l="1"/>
  <c r="G23" i="5" s="1"/>
  <c r="H23" i="5" s="1"/>
  <c r="E23" i="5"/>
  <c r="G22" i="5"/>
  <c r="H22" i="5" s="1"/>
  <c r="F23" i="5" l="1"/>
  <c r="E24" i="5"/>
  <c r="G24" i="5"/>
  <c r="H24" i="5" s="1"/>
  <c r="F24" i="5" l="1"/>
  <c r="E25" i="5" s="1"/>
  <c r="F25" i="5" l="1"/>
  <c r="G26" i="5"/>
  <c r="H26" i="5" s="1"/>
  <c r="E26" i="5"/>
  <c r="G25" i="5"/>
  <c r="H25" i="5" s="1"/>
  <c r="F26" i="5" l="1"/>
  <c r="E27" i="5" s="1"/>
  <c r="F27" i="5" l="1"/>
  <c r="E28" i="5"/>
  <c r="G28" i="5"/>
  <c r="H28" i="5" s="1"/>
  <c r="G27" i="5"/>
  <c r="H27" i="5" s="1"/>
  <c r="F28" i="5" l="1"/>
  <c r="G29" i="5" s="1"/>
  <c r="H29" i="5" s="1"/>
  <c r="E29" i="5"/>
  <c r="F29" i="5" l="1"/>
  <c r="E30" i="5" s="1"/>
  <c r="F30" i="5" l="1"/>
  <c r="G31" i="5" s="1"/>
  <c r="H31" i="5" s="1"/>
  <c r="E31" i="5"/>
  <c r="G30" i="5"/>
  <c r="H30" i="5" s="1"/>
  <c r="F31" i="5" l="1"/>
  <c r="E32" i="5" s="1"/>
  <c r="F32" i="5" l="1"/>
  <c r="G33" i="5"/>
  <c r="H33" i="5" s="1"/>
  <c r="E33" i="5"/>
  <c r="G32" i="5"/>
  <c r="H32" i="5" s="1"/>
  <c r="F33" i="5" l="1"/>
  <c r="E34" i="5"/>
  <c r="G34" i="5"/>
  <c r="H34" i="5" s="1"/>
  <c r="F34" i="5" l="1"/>
  <c r="G35" i="5" s="1"/>
  <c r="H35" i="5" s="1"/>
  <c r="E35" i="5"/>
  <c r="F35" i="5" l="1"/>
  <c r="E36" i="5"/>
  <c r="G36" i="5"/>
  <c r="H36" i="5" s="1"/>
  <c r="F36" i="5" l="1"/>
  <c r="G37" i="5" s="1"/>
  <c r="H37" i="5" s="1"/>
  <c r="E37" i="5" l="1"/>
  <c r="F37" i="5" l="1"/>
  <c r="E38" i="5" s="1"/>
  <c r="F38" i="5" l="1"/>
  <c r="G39" i="5"/>
  <c r="H39" i="5" s="1"/>
  <c r="E39" i="5"/>
  <c r="G38" i="5"/>
  <c r="H38" i="5" s="1"/>
  <c r="F39" i="5" l="1"/>
  <c r="E40" i="5" s="1"/>
  <c r="F40" i="5" l="1"/>
  <c r="G41" i="5"/>
  <c r="H41" i="5" s="1"/>
  <c r="E41" i="5"/>
  <c r="G40" i="5"/>
  <c r="H40" i="5" s="1"/>
  <c r="F41" i="5" l="1"/>
  <c r="E42" i="5" s="1"/>
  <c r="F42" i="5" l="1"/>
  <c r="G43" i="5" s="1"/>
  <c r="H43" i="5" s="1"/>
  <c r="E43" i="5"/>
  <c r="G42" i="5"/>
  <c r="H42" i="5" s="1"/>
  <c r="F43" i="5" l="1"/>
  <c r="E44" i="5"/>
  <c r="G44" i="5"/>
  <c r="H44" i="5" s="1"/>
  <c r="F44" i="5" l="1"/>
  <c r="G45" i="5" s="1"/>
  <c r="H45" i="5" s="1"/>
  <c r="G50" i="5" s="1"/>
  <c r="E45" i="5"/>
  <c r="F45" i="5" l="1"/>
  <c r="G46" i="5"/>
  <c r="G48" i="5"/>
  <c r="G47" i="5"/>
  <c r="C16" i="3" l="1"/>
  <c r="C15" i="3"/>
  <c r="C14" i="3"/>
  <c r="C13" i="3"/>
  <c r="D15" i="3" s="1"/>
  <c r="C12" i="3"/>
  <c r="C11" i="3"/>
  <c r="C10" i="3"/>
  <c r="C9" i="3"/>
  <c r="D11" i="3" s="1"/>
  <c r="C8" i="3"/>
  <c r="C7" i="3"/>
  <c r="C4" i="4"/>
  <c r="C5" i="4" s="1"/>
  <c r="C6" i="4" s="1"/>
  <c r="D13" i="3" l="1"/>
  <c r="F11" i="3"/>
  <c r="E11" i="3"/>
  <c r="G12" i="3" s="1"/>
  <c r="H12" i="3" s="1"/>
  <c r="F15" i="3"/>
  <c r="E15" i="3"/>
  <c r="F13" i="3"/>
  <c r="E13" i="3"/>
  <c r="G14" i="3" s="1"/>
  <c r="H14" i="3" s="1"/>
  <c r="D9" i="3"/>
  <c r="F9" i="3" s="1"/>
  <c r="D10" i="3"/>
  <c r="F10" i="3" s="1"/>
  <c r="D12" i="3"/>
  <c r="F12" i="3" s="1"/>
  <c r="D14" i="3"/>
  <c r="F14" i="3" s="1"/>
  <c r="D16" i="3"/>
  <c r="F16" i="3" s="1"/>
  <c r="E12" i="3"/>
  <c r="E14" i="3"/>
  <c r="E16" i="3"/>
  <c r="D6" i="4"/>
  <c r="C7" i="4"/>
  <c r="D5" i="4"/>
  <c r="E9" i="3" l="1"/>
  <c r="G16" i="3"/>
  <c r="H16" i="3" s="1"/>
  <c r="G17" i="3"/>
  <c r="G10" i="3"/>
  <c r="H10" i="3" s="1"/>
  <c r="G15" i="3"/>
  <c r="H15" i="3" s="1"/>
  <c r="G13" i="3"/>
  <c r="H13" i="3" s="1"/>
  <c r="E10" i="3"/>
  <c r="G11" i="3" s="1"/>
  <c r="H11" i="3" s="1"/>
  <c r="D7" i="4"/>
  <c r="C8" i="4"/>
  <c r="C16" i="12"/>
  <c r="C15" i="12"/>
  <c r="D15" i="12" s="1"/>
  <c r="C14" i="12"/>
  <c r="D14" i="12" s="1"/>
  <c r="C13" i="12"/>
  <c r="D13" i="12" s="1"/>
  <c r="C12" i="12"/>
  <c r="D12" i="12" s="1"/>
  <c r="C11" i="12"/>
  <c r="D11" i="12" s="1"/>
  <c r="C10" i="12"/>
  <c r="D10" i="12" s="1"/>
  <c r="C9" i="12"/>
  <c r="D9" i="12" s="1"/>
  <c r="D8" i="12"/>
  <c r="C8" i="12"/>
  <c r="H19" i="3" l="1"/>
  <c r="D8" i="4"/>
  <c r="C9" i="4"/>
  <c r="D18" i="12"/>
  <c r="C10" i="4" l="1"/>
  <c r="D9" i="4"/>
  <c r="D10" i="4" l="1"/>
  <c r="C11" i="4"/>
  <c r="D11" i="4" l="1"/>
  <c r="C12" i="4"/>
  <c r="D12" i="4" l="1"/>
  <c r="C13" i="4"/>
  <c r="D13" i="4" l="1"/>
  <c r="C14" i="4"/>
  <c r="D14" i="4" l="1"/>
  <c r="C15" i="4"/>
  <c r="C16" i="4" l="1"/>
  <c r="D15" i="4"/>
  <c r="D18" i="4" s="1"/>
  <c r="I12" i="11" l="1"/>
  <c r="H16" i="11"/>
  <c r="H14" i="11"/>
  <c r="H9" i="11"/>
  <c r="H4" i="11"/>
  <c r="H5" i="11" s="1"/>
  <c r="H6" i="11" s="1"/>
  <c r="I6" i="11" l="1"/>
  <c r="H7" i="11"/>
  <c r="H8" i="11" s="1"/>
  <c r="I5" i="11"/>
  <c r="I7" i="11" l="1"/>
  <c r="I8" i="11" l="1"/>
  <c r="H10" i="11" l="1"/>
  <c r="I9" i="11"/>
  <c r="I10" i="11" l="1"/>
  <c r="H11" i="11"/>
  <c r="H12" i="11" l="1"/>
  <c r="I11" i="11"/>
  <c r="H13" i="11" l="1"/>
  <c r="I13" i="11" l="1"/>
  <c r="I14" i="11" l="1"/>
  <c r="H15" i="11"/>
  <c r="I15" i="11" l="1"/>
  <c r="H18" i="11" s="1"/>
  <c r="K52" i="6" l="1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15" i="6"/>
  <c r="H48" i="6"/>
  <c r="H47" i="6"/>
  <c r="H46" i="6"/>
  <c r="H45" i="6"/>
  <c r="H44" i="6"/>
  <c r="H18" i="6"/>
  <c r="H17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16" i="6"/>
  <c r="H15" i="6"/>
  <c r="E16" i="6"/>
  <c r="F16" i="6" s="1"/>
  <c r="G15" i="6"/>
  <c r="F15" i="6"/>
  <c r="E15" i="6"/>
  <c r="E14" i="6"/>
  <c r="G3" i="1"/>
  <c r="H3" i="1" s="1"/>
  <c r="G4" i="1"/>
  <c r="G5" i="1"/>
  <c r="G6" i="1"/>
  <c r="G7" i="1"/>
  <c r="G8" i="1"/>
  <c r="E4" i="1"/>
  <c r="E5" i="1"/>
  <c r="E6" i="1"/>
  <c r="E7" i="1"/>
  <c r="E8" i="1"/>
  <c r="E3" i="1"/>
  <c r="F3" i="1" s="1"/>
  <c r="C42" i="6"/>
  <c r="C43" i="6" s="1"/>
  <c r="E17" i="6" l="1"/>
  <c r="G16" i="6"/>
  <c r="F4" i="1"/>
  <c r="F5" i="1" s="1"/>
  <c r="F6" i="1" s="1"/>
  <c r="F7" i="1" s="1"/>
  <c r="F8" i="1" s="1"/>
  <c r="I3" i="1"/>
  <c r="J3" i="1" s="1"/>
  <c r="H4" i="1"/>
  <c r="H5" i="1" s="1"/>
  <c r="F17" i="6" l="1"/>
  <c r="E18" i="6" s="1"/>
  <c r="G17" i="6"/>
  <c r="I4" i="1"/>
  <c r="J4" i="1" s="1"/>
  <c r="H6" i="1"/>
  <c r="I5" i="1"/>
  <c r="J5" i="1" s="1"/>
  <c r="G18" i="6" l="1"/>
  <c r="F18" i="6"/>
  <c r="E19" i="6" s="1"/>
  <c r="H7" i="1"/>
  <c r="I6" i="1"/>
  <c r="J6" i="1" s="1"/>
  <c r="F19" i="6" l="1"/>
  <c r="G19" i="6"/>
  <c r="E20" i="6"/>
  <c r="H8" i="1"/>
  <c r="I8" i="1" s="1"/>
  <c r="J8" i="1" s="1"/>
  <c r="I7" i="1"/>
  <c r="J7" i="1" s="1"/>
  <c r="G20" i="6" l="1"/>
  <c r="F20" i="6"/>
  <c r="E21" i="6"/>
  <c r="F21" i="6" l="1"/>
  <c r="E22" i="6" s="1"/>
  <c r="G21" i="6"/>
  <c r="F22" i="6" l="1"/>
  <c r="E23" i="6" s="1"/>
  <c r="G22" i="6"/>
  <c r="F23" i="6" l="1"/>
  <c r="G23" i="6"/>
  <c r="E24" i="6"/>
  <c r="F24" i="6" l="1"/>
  <c r="G24" i="6"/>
  <c r="E25" i="6"/>
  <c r="F25" i="6" l="1"/>
  <c r="G25" i="6"/>
  <c r="E26" i="6"/>
  <c r="G26" i="6" l="1"/>
  <c r="F26" i="6"/>
  <c r="E27" i="6"/>
  <c r="F27" i="6" l="1"/>
  <c r="G27" i="6"/>
  <c r="E28" i="6"/>
  <c r="F28" i="6" l="1"/>
  <c r="G28" i="6"/>
  <c r="E29" i="6"/>
  <c r="F29" i="6" l="1"/>
  <c r="G29" i="6"/>
  <c r="E30" i="6"/>
  <c r="F30" i="6" l="1"/>
  <c r="G30" i="6"/>
  <c r="E31" i="6"/>
  <c r="F31" i="6" l="1"/>
  <c r="G31" i="6"/>
  <c r="E32" i="6"/>
  <c r="F32" i="6" l="1"/>
  <c r="G32" i="6"/>
  <c r="E33" i="6"/>
  <c r="F33" i="6" l="1"/>
  <c r="G33" i="6"/>
  <c r="E34" i="6"/>
  <c r="G34" i="6" l="1"/>
  <c r="F34" i="6"/>
  <c r="E35" i="6" s="1"/>
  <c r="F35" i="6" l="1"/>
  <c r="G35" i="6"/>
  <c r="E36" i="6"/>
  <c r="G36" i="6" l="1"/>
  <c r="F36" i="6"/>
  <c r="E37" i="6"/>
  <c r="F37" i="6" l="1"/>
  <c r="G37" i="6"/>
  <c r="E38" i="6"/>
  <c r="F38" i="6" l="1"/>
  <c r="G38" i="6"/>
  <c r="E39" i="6"/>
  <c r="F39" i="6" l="1"/>
  <c r="G39" i="6"/>
  <c r="E40" i="6"/>
  <c r="F40" i="6" l="1"/>
  <c r="G40" i="6"/>
  <c r="E41" i="6"/>
  <c r="F41" i="6" l="1"/>
  <c r="G41" i="6"/>
  <c r="E42" i="6"/>
  <c r="G42" i="6" l="1"/>
  <c r="F42" i="6"/>
  <c r="E43" i="6" s="1"/>
  <c r="F43" i="6" l="1"/>
  <c r="G43" i="6"/>
</calcChain>
</file>

<file path=xl/sharedStrings.xml><?xml version="1.0" encoding="utf-8"?>
<sst xmlns="http://schemas.openxmlformats.org/spreadsheetml/2006/main" count="311" uniqueCount="111">
  <si>
    <t>Mes</t>
  </si>
  <si>
    <t>Pronóstico</t>
  </si>
  <si>
    <t>Demanda Real</t>
  </si>
  <si>
    <t>TS</t>
  </si>
  <si>
    <t>t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</si>
  <si>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</si>
  <si>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</si>
  <si>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</si>
  <si>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</si>
  <si>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</si>
  <si>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</si>
  <si>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</si>
  <si>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</si>
  <si>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</si>
  <si>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</si>
  <si>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</si>
  <si>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 Valor de a</t>
  </si>
  <si>
    <t xml:space="preserve"> Valor de b</t>
  </si>
  <si>
    <t xml:space="preserve"> a+b*p</t>
  </si>
  <si>
    <t>Yt</t>
  </si>
  <si>
    <t xml:space="preserve"> (2Mt-Mt´)</t>
  </si>
  <si>
    <t xml:space="preserve"> (2/n-1)*(Mt-Mt´)</t>
  </si>
  <si>
    <t xml:space="preserve"> (p=1)</t>
  </si>
  <si>
    <t>EMC</t>
  </si>
  <si>
    <t xml:space="preserve"> Alfa</t>
  </si>
  <si>
    <t xml:space="preserve"> Beta</t>
  </si>
  <si>
    <t>Ventas</t>
  </si>
  <si>
    <t xml:space="preserve"> At</t>
  </si>
  <si>
    <t xml:space="preserve"> Tt</t>
  </si>
  <si>
    <t xml:space="preserve"> ^Y</t>
  </si>
  <si>
    <t xml:space="preserve"> EMC</t>
  </si>
  <si>
    <t>Gama</t>
  </si>
  <si>
    <t>St</t>
  </si>
  <si>
    <t>WINTER</t>
  </si>
  <si>
    <t>Σ|ABS |</t>
  </si>
  <si>
    <t>Desviación/Error</t>
  </si>
  <si>
    <t>Suma cont. de errores de proyeccion</t>
  </si>
  <si>
    <t>|Desviación absoluta|</t>
  </si>
  <si>
    <t>DMA</t>
  </si>
  <si>
    <t>D.R-Pron</t>
  </si>
  <si>
    <t>|D.R-Pron |</t>
  </si>
  <si>
    <t>Σ|ABS |/mes</t>
  </si>
  <si>
    <t>SCEP/DMA</t>
  </si>
  <si>
    <t xml:space="preserve">small values, represent a good method </t>
  </si>
  <si>
    <t>EMC=</t>
  </si>
  <si>
    <t>Juego 1</t>
  </si>
  <si>
    <t>Juego 2</t>
  </si>
  <si>
    <t>Juego 3</t>
  </si>
  <si>
    <t>Juego 4</t>
  </si>
  <si>
    <t>Juego 5</t>
  </si>
  <si>
    <t>Asistencia</t>
  </si>
  <si>
    <t xml:space="preserve">Se asumen valores iniciales si no los dan </t>
  </si>
  <si>
    <t>para At</t>
  </si>
  <si>
    <t xml:space="preserve">sera el Yt </t>
  </si>
  <si>
    <t xml:space="preserve">Tt </t>
  </si>
  <si>
    <t>Año</t>
  </si>
  <si>
    <t>Factor Estacional</t>
  </si>
  <si>
    <t>Demanda desestacionalizada</t>
  </si>
  <si>
    <t>Pronóstico Final</t>
  </si>
  <si>
    <t>a=</t>
  </si>
  <si>
    <t>b=</t>
  </si>
  <si>
    <t>Regresion lineal con suavizamiento</t>
  </si>
  <si>
    <t>Meses</t>
  </si>
  <si>
    <t>Demanda (Y)</t>
  </si>
  <si>
    <r>
      <rPr>
        <sz val="12"/>
        <color theme="1"/>
        <rFont val="Calibri"/>
        <family val="2"/>
      </rPr>
      <t>Ŷ</t>
    </r>
    <r>
      <rPr>
        <vertAlign val="subscript"/>
        <sz val="14.15"/>
        <color theme="1"/>
        <rFont val="Arial"/>
        <family val="2"/>
      </rPr>
      <t>t</t>
    </r>
  </si>
  <si>
    <t>(Yt-Ŷt)²</t>
  </si>
  <si>
    <t xml:space="preserve">Promedio movil </t>
  </si>
  <si>
    <t>Mt</t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</si>
  <si>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 xml:space="preserve"> =</t>
    </r>
  </si>
  <si>
    <t>Rendimiento</t>
  </si>
  <si>
    <t>Error²</t>
  </si>
  <si>
    <t>Ene</t>
  </si>
  <si>
    <t>Feb</t>
  </si>
  <si>
    <t>Mar</t>
  </si>
  <si>
    <t>Abr</t>
  </si>
  <si>
    <t>May</t>
  </si>
  <si>
    <t>Jun</t>
  </si>
  <si>
    <t>Jul</t>
  </si>
  <si>
    <t>Agos</t>
  </si>
  <si>
    <t>Sep</t>
  </si>
  <si>
    <t>Oct</t>
  </si>
  <si>
    <t>Nov</t>
  </si>
  <si>
    <t>Dic</t>
  </si>
  <si>
    <t>Promedio Movil Doble n=3</t>
  </si>
  <si>
    <t>Mt´</t>
  </si>
  <si>
    <t>Suavizamiento Exponencial con Tendencia (Holt)</t>
  </si>
  <si>
    <t>Años</t>
  </si>
  <si>
    <t>Mes(t)</t>
  </si>
  <si>
    <t>Demanda(Yt)</t>
  </si>
  <si>
    <t>Enero</t>
  </si>
  <si>
    <t>Coeficientes</t>
  </si>
  <si>
    <t>Intercepción</t>
  </si>
  <si>
    <r>
      <t xml:space="preserve"> =a+b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*X1+b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*X2</t>
    </r>
  </si>
  <si>
    <t>R²=</t>
  </si>
  <si>
    <t>Total=</t>
  </si>
  <si>
    <t>Promedio=</t>
  </si>
  <si>
    <r>
      <t>(Y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>-Ŷ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>)²</t>
    </r>
  </si>
  <si>
    <t>Estimación de Tendencia Ŷt</t>
  </si>
  <si>
    <t>Promedio de los mismos anuales</t>
  </si>
  <si>
    <t>Demanda Real (Y)</t>
  </si>
  <si>
    <t>Venta de Casas Nuevas (Y)</t>
  </si>
  <si>
    <t>Tasa de interés hipotecaria (X1)</t>
  </si>
  <si>
    <t>Ingreso personal per cápita (X2)</t>
  </si>
  <si>
    <t>Ŷt</t>
  </si>
  <si>
    <t>(yt-Ŷt)2</t>
  </si>
  <si>
    <t>Coefficients</t>
  </si>
  <si>
    <t>Intercept(a)</t>
  </si>
  <si>
    <r>
      <t>Tasa de interés hipotecaria 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</si>
  <si>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Ingreso personal per cápita (b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</si>
  <si>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Datos-analisis da datos-regresion-y:y-x:x1 &amp; x2</t>
  </si>
  <si>
    <t>solver-mejorar EMC-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</si>
</sst>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0"/>
    <numFmt numFmtId="167" formatCode="_(* #,##0.0000_);_(* \(#,##0.0000\);_(* &quot;-&quot;??_);_(@_)"/>
    <numFmt numFmtId="168" formatCode="0.000"/>
    <numFmt numFmtId="169" formatCode="0.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vertAlign val="subscript"/>
      <sz val="14.15"/>
      <color theme="1"/>
      <name val="Arial"/>
      <family val="2"/>
    </font>
    <font>
      <sz val="11"/>
      <name val="Arial"/>
      <family val="2"/>
    </font>
    <font>
      <sz val="11"/>
      <name val="Symbol"/>
      <family val="1"/>
      <charset val="2"/>
    </font>
    <font>
      <sz val="10"/>
      <name val="Arial"/>
      <family val="1"/>
      <charset val="2"/>
    </font>
    <font>
      <sz val="10"/>
      <name val="Symbol"/>
      <family val="1"/>
      <charset val="2"/>
    </font>
    <font>
      <sz val="12"/>
      <color theme="1"/>
      <name val="Calibri Light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2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3" fillId="0" borderId="1" xfId="0" applyNumberFormat="1" applyFont="1" applyBorder="1"/>
    <xf numFmtId="1" fontId="0" fillId="0" borderId="1" xfId="0" applyNumberFormat="1" applyBorder="1"/>
    <xf numFmtId="166" fontId="3" fillId="0" borderId="0" xfId="0" applyNumberFormat="1" applyFont="1"/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7" fillId="0" borderId="1" xfId="0" applyFont="1" applyBorder="1"/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/>
    <xf numFmtId="16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1" fontId="12" fillId="0" borderId="0" xfId="0" applyNumberFormat="1" applyFont="1" applyAlignment="1">
      <alignment horizont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169" fontId="0" fillId="0" borderId="0" xfId="0" applyNumberFormat="1"/>
    <xf numFmtId="0" fontId="14" fillId="0" borderId="0" xfId="0" applyFont="1" applyAlignment="1">
      <alignment horizontal="right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6" fillId="0" borderId="0" xfId="0" applyFont="1"/>
    <xf numFmtId="164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/>
    <xf numFmtId="2" fontId="3" fillId="3" borderId="1" xfId="0" applyNumberFormat="1" applyFont="1" applyFill="1" applyBorder="1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wrapText="1"/>
    </xf>
    <xf numFmtId="0" fontId="17" fillId="0" borderId="0" xfId="0" applyFont="1" applyAlignment="1">
      <alignment vertical="center" wrapText="1"/>
    </xf>
    <xf numFmtId="0" fontId="18" fillId="0" borderId="4" xfId="0" applyFont="1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2" fillId="0" borderId="0" xfId="0" applyNumberFormat="1" applyFont="1"/>
    <xf numFmtId="0" fontId="12" fillId="0" borderId="0" xfId="0" applyFont="1"/>
    <xf numFmtId="2" fontId="0" fillId="0" borderId="2" xfId="0" applyNumberFormat="1" applyBorder="1"/>
    <xf numFmtId="169" fontId="0" fillId="0" borderId="2" xfId="0" applyNumberFormat="1" applyBorder="1"/>
    <xf numFmtId="0" fontId="17" fillId="0" borderId="2" xfId="0" applyFont="1" applyBorder="1" applyAlignment="1">
      <alignment horizontal="right" vertical="center" wrapText="1"/>
    </xf>
    <xf numFmtId="0" fontId="0" fillId="0" borderId="2" xfId="0" applyBorder="1"/>
    <xf numFmtId="0" fontId="17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2" fontId="2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2" fontId="1" fillId="0" borderId="0" xfId="0" applyNumberFormat="1" applyFont="1"/>
    <xf numFmtId="0" fontId="1" fillId="0" borderId="3" xfId="0" applyFont="1" applyBorder="1"/>
    <xf numFmtId="0" fontId="1" fillId="0" borderId="0" xfId="0" applyFont="1" applyFill="1" applyBorder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2</xdr:row>
      <xdr:rowOff>0</xdr:rowOff>
    </xdr:from>
    <xdr:to>
      <xdr:col>4</xdr:col>
      <xdr:colOff>381000</xdr:colOff>
      <xdr:row>3</xdr:row>
      <xdr:rowOff>12700</xdr:rowOff>
    </xdr:to>
    <xdr:pic>
      <xdr:nvPicPr>
        <xdr:cNvPr id="2" name="Picture 1" descr="Macintosh HD:Users:enriqueleon:Library:Caches:TemporaryItems:msoclip1:01:clip_image00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330200"/>
          <a:ext cx="19050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165100</xdr:colOff>
      <xdr:row>2</xdr:row>
      <xdr:rowOff>0</xdr:rowOff>
    </xdr:from>
    <xdr:to>
      <xdr:col>5</xdr:col>
      <xdr:colOff>330200</xdr:colOff>
      <xdr:row>3</xdr:row>
      <xdr:rowOff>25400</xdr:rowOff>
    </xdr:to>
    <xdr:pic>
      <xdr:nvPicPr>
        <xdr:cNvPr id="3" name="Picture 2" descr="Macintosh HD:Users:enriqueleon:Library:Caches:TemporaryItems:msoclip1:01:clip_image00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330200"/>
          <a:ext cx="1651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2</xdr:row>
      <xdr:rowOff>0</xdr:rowOff>
    </xdr:from>
    <xdr:to>
      <xdr:col>6</xdr:col>
      <xdr:colOff>304800</xdr:colOff>
      <xdr:row>3</xdr:row>
      <xdr:rowOff>12700</xdr:rowOff>
    </xdr:to>
    <xdr:pic>
      <xdr:nvPicPr>
        <xdr:cNvPr id="4" name="Picture 3" descr="Macintosh HD:Users:enriqueleon:Library:Caches:TemporaryItems:msoclip1:01:clip_image003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30200"/>
          <a:ext cx="15240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"/>
  <sheetViews>
    <sheetView zoomScaleNormal="100" workbookViewId="0">
      <selection activeCell="K3" sqref="K3"/>
    </sheetView>
  </sheetViews>
  <sheetFormatPr baseColWidth="10" defaultColWidth="11" defaultRowHeight="15.75"/>
  <cols>
    <col min="6" max="6" width="9.75" bestFit="1" customWidth="1"/>
    <col min="10" max="10" width="13.875" customWidth="1"/>
  </cols>
  <sheetData>
    <row r="1" spans="2:12" ht="53.25" customHeight="1">
      <c r="E1" s="28" t="s">
        <v>39</v>
      </c>
      <c r="F1" s="28"/>
      <c r="G1" s="28" t="s">
        <v>40</v>
      </c>
      <c r="H1" s="28"/>
      <c r="I1" s="28" t="s">
        <v>41</v>
      </c>
      <c r="J1" s="28" t="s">
        <v>42</v>
      </c>
    </row>
    <row r="2" spans="2:12" ht="63">
      <c r="B2" s="26" t="s">
        <v>0</v>
      </c>
      <c r="C2" s="26" t="s">
        <v>1</v>
      </c>
      <c r="D2" s="27" t="s">
        <v>2</v>
      </c>
      <c r="E2" s="27" t="s">
        <v>35</v>
      </c>
      <c r="F2" s="27" t="s">
        <v>36</v>
      </c>
      <c r="G2" s="27" t="s">
        <v>37</v>
      </c>
      <c r="H2" s="26" t="s">
        <v>34</v>
      </c>
      <c r="I2" s="26" t="s">
        <v>38</v>
      </c>
      <c r="J2" s="27" t="s">
        <v>3</v>
      </c>
    </row>
    <row r="3" spans="2:12">
      <c r="B3" s="2">
        <v>1</v>
      </c>
      <c r="C3" s="2">
        <v>1000</v>
      </c>
      <c r="D3" s="2">
        <v>950</v>
      </c>
      <c r="E3" s="2">
        <f>(D3-C3)</f>
        <v>-50</v>
      </c>
      <c r="F3" s="2">
        <f>E3</f>
        <v>-50</v>
      </c>
      <c r="G3" s="2">
        <f>ABS(D3-C3)</f>
        <v>50</v>
      </c>
      <c r="H3" s="2">
        <f>G3</f>
        <v>50</v>
      </c>
      <c r="I3" s="25">
        <f t="shared" ref="I3:I8" si="0">H3/B3</f>
        <v>50</v>
      </c>
      <c r="J3" s="25">
        <f>F3/I3</f>
        <v>-1</v>
      </c>
    </row>
    <row r="4" spans="2:12">
      <c r="B4" s="2">
        <v>2</v>
      </c>
      <c r="C4" s="2">
        <v>1000</v>
      </c>
      <c r="D4" s="2">
        <v>1070</v>
      </c>
      <c r="E4" s="2">
        <f t="shared" ref="E4:E8" si="1">(D4-C4)</f>
        <v>70</v>
      </c>
      <c r="F4" s="2">
        <f>F3+E4</f>
        <v>20</v>
      </c>
      <c r="G4" s="2">
        <f t="shared" ref="G4:G8" si="2">ABS(D4-C4)</f>
        <v>70</v>
      </c>
      <c r="H4" s="2">
        <f>H3+G4</f>
        <v>120</v>
      </c>
      <c r="I4" s="25">
        <f t="shared" si="0"/>
        <v>60</v>
      </c>
      <c r="J4" s="25">
        <f t="shared" ref="J4:J7" si="3">F4/I4</f>
        <v>0.33333333333333331</v>
      </c>
      <c r="L4" t="s">
        <v>43</v>
      </c>
    </row>
    <row r="5" spans="2:12">
      <c r="B5" s="2">
        <v>3</v>
      </c>
      <c r="C5" s="2">
        <v>1000</v>
      </c>
      <c r="D5" s="2">
        <v>1100</v>
      </c>
      <c r="E5" s="2">
        <f t="shared" si="1"/>
        <v>100</v>
      </c>
      <c r="F5" s="2">
        <f t="shared" ref="F5:F7" si="4">F4+E5</f>
        <v>120</v>
      </c>
      <c r="G5" s="2">
        <f t="shared" si="2"/>
        <v>100</v>
      </c>
      <c r="H5" s="2">
        <f t="shared" ref="H5:H7" si="5">H4+G5</f>
        <v>220</v>
      </c>
      <c r="I5" s="25">
        <f t="shared" si="0"/>
        <v>73.333333333333329</v>
      </c>
      <c r="J5" s="25">
        <f t="shared" si="3"/>
        <v>1.6363636363636365</v>
      </c>
    </row>
    <row r="6" spans="2:12">
      <c r="B6" s="2">
        <v>4</v>
      </c>
      <c r="C6" s="2">
        <v>1000</v>
      </c>
      <c r="D6" s="2">
        <v>960</v>
      </c>
      <c r="E6" s="2">
        <f t="shared" si="1"/>
        <v>-40</v>
      </c>
      <c r="F6" s="2">
        <f t="shared" si="4"/>
        <v>80</v>
      </c>
      <c r="G6" s="2">
        <f t="shared" si="2"/>
        <v>40</v>
      </c>
      <c r="H6" s="2">
        <f t="shared" si="5"/>
        <v>260</v>
      </c>
      <c r="I6" s="25">
        <f t="shared" si="0"/>
        <v>65</v>
      </c>
      <c r="J6" s="25">
        <f t="shared" si="3"/>
        <v>1.2307692307692308</v>
      </c>
    </row>
    <row r="7" spans="2:12">
      <c r="B7" s="2">
        <v>5</v>
      </c>
      <c r="C7" s="2">
        <v>1000</v>
      </c>
      <c r="D7" s="2">
        <v>1090</v>
      </c>
      <c r="E7" s="2">
        <f t="shared" si="1"/>
        <v>90</v>
      </c>
      <c r="F7" s="2">
        <f t="shared" si="4"/>
        <v>170</v>
      </c>
      <c r="G7" s="2">
        <f t="shared" si="2"/>
        <v>90</v>
      </c>
      <c r="H7" s="2">
        <f t="shared" si="5"/>
        <v>350</v>
      </c>
      <c r="I7" s="25">
        <f t="shared" si="0"/>
        <v>70</v>
      </c>
      <c r="J7" s="25">
        <f t="shared" si="3"/>
        <v>2.4285714285714284</v>
      </c>
    </row>
    <row r="8" spans="2:12">
      <c r="B8" s="2">
        <v>6</v>
      </c>
      <c r="C8" s="2">
        <v>1000</v>
      </c>
      <c r="D8" s="2">
        <v>1050</v>
      </c>
      <c r="E8" s="2">
        <f t="shared" si="1"/>
        <v>50</v>
      </c>
      <c r="F8" s="2">
        <f>F7+E8</f>
        <v>220</v>
      </c>
      <c r="G8" s="2">
        <f t="shared" si="2"/>
        <v>50</v>
      </c>
      <c r="H8" s="2">
        <f>H7+G8</f>
        <v>400</v>
      </c>
      <c r="I8" s="25">
        <f t="shared" si="0"/>
        <v>66.666666666666671</v>
      </c>
      <c r="J8" s="25">
        <f>F8/I8</f>
        <v>3.3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77FD-3397-4D9C-8B61-9A4BEF436B87}">
  <dimension ref="B3:K52"/>
  <sheetViews>
    <sheetView workbookViewId="0">
      <selection activeCell="L47" sqref="L47"/>
    </sheetView>
  </sheetViews>
  <sheetFormatPr baseColWidth="10" defaultColWidth="9" defaultRowHeight="15.75"/>
  <cols>
    <col min="2" max="2" width="9.375" bestFit="1" customWidth="1"/>
    <col min="3" max="7" width="10.125"/>
    <col min="8" max="8" width="16.625" customWidth="1"/>
  </cols>
  <sheetData>
    <row r="3" spans="2:11">
      <c r="B3" s="33"/>
      <c r="C3" s="33"/>
      <c r="D3" s="33"/>
    </row>
    <row r="4" spans="2:11">
      <c r="B4" s="32"/>
      <c r="C4" s="32"/>
      <c r="D4" s="32"/>
    </row>
    <row r="5" spans="2:11">
      <c r="B5" s="29"/>
      <c r="C5" s="29"/>
      <c r="D5" s="29"/>
      <c r="E5" s="31"/>
    </row>
    <row r="6" spans="2:11" ht="63">
      <c r="B6" s="2" t="s">
        <v>86</v>
      </c>
      <c r="C6" s="1" t="s">
        <v>62</v>
      </c>
      <c r="D6" s="1" t="s">
        <v>0</v>
      </c>
      <c r="E6" s="72" t="s">
        <v>99</v>
      </c>
      <c r="F6" s="72" t="s">
        <v>98</v>
      </c>
      <c r="G6" s="72" t="s">
        <v>56</v>
      </c>
      <c r="H6" s="72" t="s">
        <v>57</v>
      </c>
      <c r="I6" s="72" t="s">
        <v>97</v>
      </c>
      <c r="J6" s="72" t="s">
        <v>58</v>
      </c>
      <c r="K6" s="59" t="s">
        <v>96</v>
      </c>
    </row>
    <row r="7" spans="2:11">
      <c r="B7" s="70">
        <v>2019</v>
      </c>
      <c r="C7" s="71" t="s">
        <v>89</v>
      </c>
      <c r="D7" s="70">
        <v>1</v>
      </c>
      <c r="E7" s="69">
        <v>1.67</v>
      </c>
      <c r="F7" s="67">
        <f>(E7+E19+E31+E43)/4</f>
        <v>1.9275</v>
      </c>
      <c r="G7" s="68">
        <f t="shared" ref="G7:G18" si="0">F7/$E$50</f>
        <v>1.0927823811600526</v>
      </c>
      <c r="H7" s="67">
        <f t="shared" ref="H7:H45" si="1">E7/G7</f>
        <v>1.5282091190262392</v>
      </c>
      <c r="I7" s="67">
        <f t="shared" ref="I7:I48" si="2">$H$50+$H$51*D7</f>
        <v>1.4370672871440862</v>
      </c>
      <c r="J7" s="67">
        <f t="shared" ref="J7:J48" si="3">G7*I7</f>
        <v>1.5704018119325314</v>
      </c>
      <c r="K7" s="24">
        <f t="shared" ref="K7:K45" si="4">(E7-I7)^2</f>
        <v>5.4257648718415576E-2</v>
      </c>
    </row>
    <row r="8" spans="2:11">
      <c r="B8" s="2"/>
      <c r="C8" s="52" t="s">
        <v>5</v>
      </c>
      <c r="D8" s="2">
        <v>2</v>
      </c>
      <c r="E8" s="53">
        <v>1.54</v>
      </c>
      <c r="F8" s="24">
        <f>(E8+E20+E32+E44)/4</f>
        <v>2.16</v>
      </c>
      <c r="G8" s="25">
        <f t="shared" si="0"/>
        <v>1.2245965983427827</v>
      </c>
      <c r="H8" s="24">
        <f t="shared" si="1"/>
        <v>1.2575569800569797</v>
      </c>
      <c r="I8" s="24">
        <f t="shared" si="2"/>
        <v>1.4542661748652475</v>
      </c>
      <c r="J8" s="24">
        <f t="shared" si="3"/>
        <v>1.7808894108249524</v>
      </c>
      <c r="K8" s="24">
        <f t="shared" si="4"/>
        <v>7.3502887722363339E-3</v>
      </c>
    </row>
    <row r="9" spans="2:11">
      <c r="B9" s="2"/>
      <c r="C9" s="52" t="s">
        <v>6</v>
      </c>
      <c r="D9" s="2">
        <v>3</v>
      </c>
      <c r="E9" s="53">
        <v>1.42</v>
      </c>
      <c r="F9" s="24">
        <f>(E9+E21+E33+E45)/4</f>
        <v>2.3975</v>
      </c>
      <c r="G9" s="25">
        <f t="shared" si="0"/>
        <v>1.3592455298735282</v>
      </c>
      <c r="H9" s="24">
        <f t="shared" si="1"/>
        <v>1.0446972006096094</v>
      </c>
      <c r="I9" s="24">
        <f t="shared" si="2"/>
        <v>1.471465062586409</v>
      </c>
      <c r="J9" s="24">
        <f t="shared" si="3"/>
        <v>2.0000823086856476</v>
      </c>
      <c r="K9" s="24">
        <f t="shared" si="4"/>
        <v>2.6486526670229994E-3</v>
      </c>
    </row>
    <row r="10" spans="2:11">
      <c r="B10" s="2"/>
      <c r="C10" s="52" t="s">
        <v>7</v>
      </c>
      <c r="D10" s="2">
        <v>4</v>
      </c>
      <c r="E10" s="53">
        <v>2.0699999999999998</v>
      </c>
      <c r="F10" s="24">
        <f t="shared" ref="F10:F18" si="5">(E10+E22+E34)/3</f>
        <v>1.39</v>
      </c>
      <c r="G10" s="25">
        <f t="shared" si="0"/>
        <v>0.78805058874836464</v>
      </c>
      <c r="H10" s="24">
        <f t="shared" si="1"/>
        <v>2.626734919756502</v>
      </c>
      <c r="I10" s="24">
        <f t="shared" si="2"/>
        <v>1.4886639503075705</v>
      </c>
      <c r="J10" s="24">
        <f t="shared" si="3"/>
        <v>1.1731425024883471</v>
      </c>
      <c r="K10" s="24">
        <f t="shared" si="4"/>
        <v>0.3379516026719987</v>
      </c>
    </row>
    <row r="11" spans="2:11">
      <c r="B11" s="2"/>
      <c r="C11" s="52" t="s">
        <v>8</v>
      </c>
      <c r="D11" s="2">
        <v>5</v>
      </c>
      <c r="E11" s="53">
        <v>2.3199999999999998</v>
      </c>
      <c r="F11" s="24">
        <f t="shared" si="5"/>
        <v>1.4233333333333331</v>
      </c>
      <c r="G11" s="25">
        <f t="shared" si="0"/>
        <v>0.80694868440180256</v>
      </c>
      <c r="H11" s="24">
        <f t="shared" si="1"/>
        <v>2.8750279228967752</v>
      </c>
      <c r="I11" s="24">
        <f t="shared" si="2"/>
        <v>1.5058628380287318</v>
      </c>
      <c r="J11" s="24">
        <f t="shared" si="3"/>
        <v>1.2151540360368498</v>
      </c>
      <c r="K11" s="24">
        <f t="shared" si="4"/>
        <v>0.66281931850263076</v>
      </c>
    </row>
    <row r="12" spans="2:11">
      <c r="B12" s="2"/>
      <c r="C12" s="52" t="s">
        <v>9</v>
      </c>
      <c r="D12" s="2">
        <v>6</v>
      </c>
      <c r="E12" s="53">
        <v>2.42</v>
      </c>
      <c r="F12" s="24">
        <f t="shared" si="5"/>
        <v>1.5466666666666666</v>
      </c>
      <c r="G12" s="25">
        <f t="shared" si="0"/>
        <v>0.87687163831952331</v>
      </c>
      <c r="H12" s="24">
        <f t="shared" si="1"/>
        <v>2.7598110079575591</v>
      </c>
      <c r="I12" s="24">
        <f t="shared" si="2"/>
        <v>1.5230617257498933</v>
      </c>
      <c r="J12" s="24">
        <f t="shared" si="3"/>
        <v>1.3355296307200695</v>
      </c>
      <c r="K12" s="24">
        <f t="shared" si="4"/>
        <v>0.80449826781475953</v>
      </c>
    </row>
    <row r="13" spans="2:11">
      <c r="B13" s="2"/>
      <c r="C13" s="52" t="s">
        <v>10</v>
      </c>
      <c r="D13" s="2">
        <v>7</v>
      </c>
      <c r="E13" s="53">
        <v>2.89</v>
      </c>
      <c r="F13" s="24">
        <f t="shared" si="5"/>
        <v>1.3866666666666667</v>
      </c>
      <c r="G13" s="25">
        <f t="shared" si="0"/>
        <v>0.78616077918302096</v>
      </c>
      <c r="H13" s="24">
        <f t="shared" si="1"/>
        <v>3.6760928254437863</v>
      </c>
      <c r="I13" s="24">
        <f t="shared" si="2"/>
        <v>1.5402606134710548</v>
      </c>
      <c r="J13" s="24">
        <f t="shared" si="3"/>
        <v>1.2108924840313222</v>
      </c>
      <c r="K13" s="24">
        <f t="shared" si="4"/>
        <v>1.8217964115475336</v>
      </c>
    </row>
    <row r="14" spans="2:11">
      <c r="B14" s="2"/>
      <c r="C14" s="52" t="s">
        <v>11</v>
      </c>
      <c r="D14" s="2">
        <v>8</v>
      </c>
      <c r="E14" s="53">
        <v>2.86</v>
      </c>
      <c r="F14" s="24">
        <f t="shared" si="5"/>
        <v>1.5033333333333332</v>
      </c>
      <c r="G14" s="25">
        <f t="shared" si="0"/>
        <v>0.85230411397005379</v>
      </c>
      <c r="H14" s="24">
        <f t="shared" si="1"/>
        <v>3.3556097560975608</v>
      </c>
      <c r="I14" s="24">
        <f t="shared" si="2"/>
        <v>1.5574595011922163</v>
      </c>
      <c r="J14" s="24">
        <f t="shared" si="3"/>
        <v>1.3274291402078739</v>
      </c>
      <c r="K14" s="24">
        <f t="shared" si="4"/>
        <v>1.6966117510344296</v>
      </c>
    </row>
    <row r="15" spans="2:11">
      <c r="B15" s="2"/>
      <c r="C15" s="52" t="s">
        <v>12</v>
      </c>
      <c r="D15" s="2">
        <v>9</v>
      </c>
      <c r="E15" s="53">
        <v>2.5299999999999998</v>
      </c>
      <c r="F15" s="24">
        <f t="shared" si="5"/>
        <v>1.64</v>
      </c>
      <c r="G15" s="25">
        <f t="shared" si="0"/>
        <v>0.9297863061491497</v>
      </c>
      <c r="H15" s="24">
        <f t="shared" si="1"/>
        <v>2.7210553470919319</v>
      </c>
      <c r="I15" s="24">
        <f t="shared" si="2"/>
        <v>1.5746583889133776</v>
      </c>
      <c r="J15" s="24">
        <f t="shared" si="3"/>
        <v>1.4640958068745407</v>
      </c>
      <c r="K15" s="24">
        <f t="shared" si="4"/>
        <v>0.91267759387358294</v>
      </c>
    </row>
    <row r="16" spans="2:11">
      <c r="B16" s="2"/>
      <c r="C16" s="52" t="s">
        <v>13</v>
      </c>
      <c r="D16" s="2">
        <v>10</v>
      </c>
      <c r="E16" s="53">
        <v>2.0699999999999998</v>
      </c>
      <c r="F16" s="24">
        <f t="shared" si="5"/>
        <v>1.6733333333333331</v>
      </c>
      <c r="G16" s="25">
        <f t="shared" si="0"/>
        <v>0.94868440180258762</v>
      </c>
      <c r="H16" s="24">
        <f t="shared" si="1"/>
        <v>2.1819690468893653</v>
      </c>
      <c r="I16" s="24">
        <f t="shared" si="2"/>
        <v>1.5918572766345391</v>
      </c>
      <c r="J16" s="24">
        <f t="shared" si="3"/>
        <v>1.510170168239134</v>
      </c>
      <c r="K16" s="24">
        <f t="shared" si="4"/>
        <v>0.22862046390733948</v>
      </c>
    </row>
    <row r="17" spans="2:11">
      <c r="B17" s="2"/>
      <c r="C17" s="52" t="s">
        <v>14</v>
      </c>
      <c r="D17" s="2">
        <v>11</v>
      </c>
      <c r="E17" s="53">
        <v>1.86</v>
      </c>
      <c r="F17" s="24">
        <f t="shared" si="5"/>
        <v>1.8166666666666667</v>
      </c>
      <c r="G17" s="25">
        <f t="shared" si="0"/>
        <v>1.0299462131123711</v>
      </c>
      <c r="H17" s="24">
        <f t="shared" si="1"/>
        <v>1.8059195483415666</v>
      </c>
      <c r="I17" s="24">
        <f t="shared" si="2"/>
        <v>1.6090561643557006</v>
      </c>
      <c r="J17" s="24">
        <f t="shared" si="3"/>
        <v>1.6572413031632709</v>
      </c>
      <c r="K17" s="24">
        <f t="shared" si="4"/>
        <v>6.2972808647873177E-2</v>
      </c>
    </row>
    <row r="18" spans="2:11">
      <c r="B18" s="2"/>
      <c r="C18" s="52" t="s">
        <v>15</v>
      </c>
      <c r="D18" s="2">
        <v>12</v>
      </c>
      <c r="E18" s="53">
        <v>1.52</v>
      </c>
      <c r="F18" s="24">
        <f t="shared" si="5"/>
        <v>1.9033333333333333</v>
      </c>
      <c r="G18" s="25">
        <f t="shared" si="0"/>
        <v>1.0790812618113099</v>
      </c>
      <c r="H18" s="24">
        <f t="shared" si="1"/>
        <v>1.4086056850330053</v>
      </c>
      <c r="I18" s="24">
        <f t="shared" si="2"/>
        <v>1.6262550520768619</v>
      </c>
      <c r="J18" s="24">
        <f t="shared" si="3"/>
        <v>1.7548613536221178</v>
      </c>
      <c r="K18" s="24">
        <f t="shared" si="4"/>
        <v>1.129013609185664E-2</v>
      </c>
    </row>
    <row r="19" spans="2:11">
      <c r="B19" s="2">
        <v>2020</v>
      </c>
      <c r="C19" s="52" t="s">
        <v>89</v>
      </c>
      <c r="D19" s="2">
        <v>13</v>
      </c>
      <c r="E19" s="53">
        <v>1.58</v>
      </c>
      <c r="F19" s="24"/>
      <c r="G19" s="25">
        <v>1.0927823811600526</v>
      </c>
      <c r="H19" s="24">
        <f t="shared" si="1"/>
        <v>1.4458505437493763</v>
      </c>
      <c r="I19" s="24">
        <f t="shared" si="2"/>
        <v>1.6434539397980235</v>
      </c>
      <c r="J19" s="24">
        <f t="shared" si="3"/>
        <v>1.7959375096593537</v>
      </c>
      <c r="K19" s="24">
        <f t="shared" si="4"/>
        <v>4.0264024758911755E-3</v>
      </c>
    </row>
    <row r="20" spans="2:11">
      <c r="B20" s="2"/>
      <c r="C20" s="52" t="s">
        <v>5</v>
      </c>
      <c r="D20" s="2">
        <v>14</v>
      </c>
      <c r="E20" s="53">
        <v>1.79</v>
      </c>
      <c r="F20" s="24"/>
      <c r="G20" s="25">
        <v>1.2245965983427827</v>
      </c>
      <c r="H20" s="24">
        <f t="shared" si="1"/>
        <v>1.4617058404558401</v>
      </c>
      <c r="I20" s="24">
        <f t="shared" si="2"/>
        <v>1.660652827519185</v>
      </c>
      <c r="J20" s="24">
        <f t="shared" si="3"/>
        <v>2.0336298036083176</v>
      </c>
      <c r="K20" s="24">
        <f t="shared" si="4"/>
        <v>1.6730691028781722E-2</v>
      </c>
    </row>
    <row r="21" spans="2:11">
      <c r="B21" s="2"/>
      <c r="C21" s="52" t="s">
        <v>6</v>
      </c>
      <c r="D21" s="2">
        <v>15</v>
      </c>
      <c r="E21" s="53">
        <v>1.91</v>
      </c>
      <c r="F21" s="24"/>
      <c r="G21" s="25">
        <v>1.3592455298735282</v>
      </c>
      <c r="H21" s="24">
        <f t="shared" si="1"/>
        <v>1.4051913050453195</v>
      </c>
      <c r="I21" s="24">
        <f t="shared" si="2"/>
        <v>1.6778517152403465</v>
      </c>
      <c r="J21" s="24">
        <f t="shared" si="3"/>
        <v>2.2806124437310729</v>
      </c>
      <c r="K21" s="24">
        <f t="shared" si="4"/>
        <v>5.3892826116849139E-2</v>
      </c>
    </row>
    <row r="22" spans="2:11">
      <c r="B22" s="2"/>
      <c r="C22" s="52" t="s">
        <v>7</v>
      </c>
      <c r="D22" s="2">
        <v>16</v>
      </c>
      <c r="E22" s="53">
        <v>0.89</v>
      </c>
      <c r="F22" s="24"/>
      <c r="G22" s="25">
        <v>0.78805058874836464</v>
      </c>
      <c r="H22" s="24">
        <f t="shared" si="1"/>
        <v>1.1293691200885445</v>
      </c>
      <c r="I22" s="24">
        <f t="shared" si="2"/>
        <v>1.6950506029615078</v>
      </c>
      <c r="J22" s="24">
        <f t="shared" si="3"/>
        <v>1.3357856256220866</v>
      </c>
      <c r="K22" s="24">
        <f t="shared" si="4"/>
        <v>0.6481064733286872</v>
      </c>
    </row>
    <row r="23" spans="2:11">
      <c r="B23" s="2"/>
      <c r="C23" s="52" t="s">
        <v>8</v>
      </c>
      <c r="D23" s="2">
        <v>17</v>
      </c>
      <c r="E23" s="53">
        <v>0.61</v>
      </c>
      <c r="F23" s="24"/>
      <c r="G23" s="25">
        <v>0.80694868440180256</v>
      </c>
      <c r="H23" s="24">
        <f t="shared" si="1"/>
        <v>0.75593406593406598</v>
      </c>
      <c r="I23" s="24">
        <f t="shared" si="2"/>
        <v>1.7122494906826693</v>
      </c>
      <c r="J23" s="24">
        <f t="shared" si="3"/>
        <v>1.3816974738740364</v>
      </c>
      <c r="K23" s="24">
        <f t="shared" si="4"/>
        <v>1.2149539397102036</v>
      </c>
    </row>
    <row r="24" spans="2:11">
      <c r="B24" s="2"/>
      <c r="C24" s="52" t="s">
        <v>9</v>
      </c>
      <c r="D24" s="2">
        <v>18</v>
      </c>
      <c r="E24" s="53">
        <v>0.31</v>
      </c>
      <c r="F24" s="24"/>
      <c r="G24" s="25">
        <v>0.87687163831952331</v>
      </c>
      <c r="H24" s="24">
        <f t="shared" si="1"/>
        <v>0.3535295092838196</v>
      </c>
      <c r="I24" s="24">
        <f t="shared" si="2"/>
        <v>1.7294483784038308</v>
      </c>
      <c r="J24" s="24">
        <f t="shared" si="3"/>
        <v>1.51650423296001</v>
      </c>
      <c r="K24" s="24">
        <f t="shared" si="4"/>
        <v>2.0148336989532649</v>
      </c>
    </row>
    <row r="25" spans="2:11">
      <c r="B25" s="2"/>
      <c r="C25" s="52" t="s">
        <v>10</v>
      </c>
      <c r="D25" s="2">
        <v>19</v>
      </c>
      <c r="E25" s="53">
        <v>-0.17</v>
      </c>
      <c r="F25" s="24"/>
      <c r="G25" s="25">
        <v>0.78616077918302096</v>
      </c>
      <c r="H25" s="24">
        <f t="shared" si="1"/>
        <v>-0.2162407544378698</v>
      </c>
      <c r="I25" s="24">
        <f t="shared" si="2"/>
        <v>1.7466472661249921</v>
      </c>
      <c r="J25" s="24">
        <f t="shared" si="3"/>
        <v>1.3731455756947171</v>
      </c>
      <c r="K25" s="24">
        <f t="shared" si="4"/>
        <v>3.6735367427444059</v>
      </c>
    </row>
    <row r="26" spans="2:11">
      <c r="B26" s="2"/>
      <c r="C26" s="52" t="s">
        <v>11</v>
      </c>
      <c r="D26" s="2">
        <v>20</v>
      </c>
      <c r="E26" s="53">
        <v>-7.0000000000000007E-2</v>
      </c>
      <c r="F26" s="24"/>
      <c r="G26" s="25">
        <v>0.85230411397005379</v>
      </c>
      <c r="H26" s="24">
        <f t="shared" si="1"/>
        <v>-8.2130308715674574E-2</v>
      </c>
      <c r="I26" s="24">
        <f t="shared" si="2"/>
        <v>1.7638461538461536</v>
      </c>
      <c r="J26" s="24">
        <f t="shared" si="3"/>
        <v>1.5033333333333332</v>
      </c>
      <c r="K26" s="24">
        <f t="shared" si="4"/>
        <v>3.3629917159763307</v>
      </c>
    </row>
    <row r="27" spans="2:11">
      <c r="B27" s="2"/>
      <c r="C27" s="52" t="s">
        <v>12</v>
      </c>
      <c r="D27" s="2">
        <v>21</v>
      </c>
      <c r="E27" s="53">
        <v>0.3</v>
      </c>
      <c r="F27" s="24"/>
      <c r="G27" s="25">
        <v>0.9297863061491497</v>
      </c>
      <c r="H27" s="24">
        <f t="shared" si="1"/>
        <v>0.32265478424015004</v>
      </c>
      <c r="I27" s="24">
        <f t="shared" si="2"/>
        <v>1.7810450415673151</v>
      </c>
      <c r="J27" s="24">
        <f t="shared" si="3"/>
        <v>1.6559912902841327</v>
      </c>
      <c r="K27" s="24">
        <f t="shared" si="4"/>
        <v>2.1934944151511302</v>
      </c>
    </row>
    <row r="28" spans="2:11">
      <c r="B28" s="2"/>
      <c r="C28" s="52" t="s">
        <v>13</v>
      </c>
      <c r="D28" s="2">
        <v>22</v>
      </c>
      <c r="E28" s="53">
        <v>0.45</v>
      </c>
      <c r="F28" s="24"/>
      <c r="G28" s="25">
        <v>0.94868440180258762</v>
      </c>
      <c r="H28" s="24">
        <f t="shared" si="1"/>
        <v>0.47434109714986211</v>
      </c>
      <c r="I28" s="24">
        <f t="shared" si="2"/>
        <v>1.7982439292884767</v>
      </c>
      <c r="J28" s="24">
        <f t="shared" si="3"/>
        <v>1.7059659663521731</v>
      </c>
      <c r="K28" s="24">
        <f t="shared" si="4"/>
        <v>1.817761692863231</v>
      </c>
    </row>
    <row r="29" spans="2:11">
      <c r="B29" s="2"/>
      <c r="C29" s="52" t="s">
        <v>14</v>
      </c>
      <c r="D29" s="2">
        <v>23</v>
      </c>
      <c r="E29" s="53">
        <v>0.24</v>
      </c>
      <c r="F29" s="24"/>
      <c r="G29" s="25">
        <v>1.0299462131123711</v>
      </c>
      <c r="H29" s="24">
        <f t="shared" si="1"/>
        <v>0.23302187720536341</v>
      </c>
      <c r="I29" s="24">
        <f t="shared" si="2"/>
        <v>1.8154428170096379</v>
      </c>
      <c r="J29" s="24">
        <f t="shared" si="3"/>
        <v>1.869808454501132</v>
      </c>
      <c r="K29" s="24">
        <f t="shared" si="4"/>
        <v>2.4820200696672634</v>
      </c>
    </row>
    <row r="30" spans="2:11">
      <c r="B30" s="2"/>
      <c r="C30" s="52" t="s">
        <v>15</v>
      </c>
      <c r="D30" s="2">
        <v>24</v>
      </c>
      <c r="E30" s="53">
        <v>0.89</v>
      </c>
      <c r="F30" s="24"/>
      <c r="G30" s="25">
        <v>1.0790812618113099</v>
      </c>
      <c r="H30" s="24">
        <f t="shared" si="1"/>
        <v>0.82477569715748345</v>
      </c>
      <c r="I30" s="24">
        <f t="shared" si="2"/>
        <v>1.8326417047307995</v>
      </c>
      <c r="J30" s="24">
        <f t="shared" si="3"/>
        <v>1.9775693231889411</v>
      </c>
      <c r="K30" s="24">
        <f t="shared" si="4"/>
        <v>0.88857338349778769</v>
      </c>
    </row>
    <row r="31" spans="2:11">
      <c r="B31" s="2">
        <v>2021</v>
      </c>
      <c r="C31" s="52" t="s">
        <v>89</v>
      </c>
      <c r="D31" s="2">
        <v>25</v>
      </c>
      <c r="E31" s="53">
        <v>0.96</v>
      </c>
      <c r="F31" s="24"/>
      <c r="G31" s="25">
        <v>1.0927823811600526</v>
      </c>
      <c r="H31" s="24">
        <f t="shared" si="1"/>
        <v>0.87849146961987412</v>
      </c>
      <c r="I31" s="24">
        <f t="shared" si="2"/>
        <v>1.8498405924519608</v>
      </c>
      <c r="J31" s="24">
        <f t="shared" si="3"/>
        <v>2.0214732073861761</v>
      </c>
      <c r="K31" s="24">
        <f t="shared" si="4"/>
        <v>0.79181627997525661</v>
      </c>
    </row>
    <row r="32" spans="2:11">
      <c r="B32" s="2"/>
      <c r="C32" s="52" t="s">
        <v>5</v>
      </c>
      <c r="D32" s="2">
        <v>26</v>
      </c>
      <c r="E32" s="53">
        <v>0.41</v>
      </c>
      <c r="F32" s="24"/>
      <c r="G32" s="25">
        <v>1.2245965983427827</v>
      </c>
      <c r="H32" s="24">
        <f t="shared" si="1"/>
        <v>0.33480413105413098</v>
      </c>
      <c r="I32" s="24">
        <f t="shared" si="2"/>
        <v>1.8670394801731223</v>
      </c>
      <c r="J32" s="24">
        <f t="shared" si="3"/>
        <v>2.2863701963916827</v>
      </c>
      <c r="K32" s="24">
        <f t="shared" si="4"/>
        <v>2.1229640467831628</v>
      </c>
    </row>
    <row r="33" spans="2:11">
      <c r="B33" s="2"/>
      <c r="C33" s="52" t="s">
        <v>6</v>
      </c>
      <c r="D33" s="2">
        <v>27</v>
      </c>
      <c r="E33" s="53">
        <v>0.47</v>
      </c>
      <c r="F33" s="24"/>
      <c r="G33" s="25">
        <v>1.3592455298735282</v>
      </c>
      <c r="H33" s="24">
        <f t="shared" si="1"/>
        <v>0.34578005935670164</v>
      </c>
      <c r="I33" s="24">
        <f t="shared" si="2"/>
        <v>1.8842383678942838</v>
      </c>
      <c r="J33" s="24">
        <f t="shared" si="3"/>
        <v>2.5611425787764976</v>
      </c>
      <c r="K33" s="24">
        <f t="shared" si="4"/>
        <v>2.0000701612242877</v>
      </c>
    </row>
    <row r="34" spans="2:11">
      <c r="B34" s="2"/>
      <c r="C34" s="52" t="s">
        <v>7</v>
      </c>
      <c r="D34" s="2">
        <v>28</v>
      </c>
      <c r="E34" s="53">
        <v>1.21</v>
      </c>
      <c r="F34" s="24"/>
      <c r="G34" s="25">
        <v>0.78805058874836464</v>
      </c>
      <c r="H34" s="24">
        <f t="shared" si="1"/>
        <v>1.5354344216934144</v>
      </c>
      <c r="I34" s="24">
        <f t="shared" si="2"/>
        <v>1.9014372556154453</v>
      </c>
      <c r="J34" s="24">
        <f t="shared" si="3"/>
        <v>1.4984287487558263</v>
      </c>
      <c r="K34" s="24">
        <f t="shared" si="4"/>
        <v>0.47808547845301869</v>
      </c>
    </row>
    <row r="35" spans="2:11">
      <c r="B35" s="2"/>
      <c r="C35" s="52" t="s">
        <v>8</v>
      </c>
      <c r="D35" s="2">
        <v>29</v>
      </c>
      <c r="E35" s="53">
        <v>1.34</v>
      </c>
      <c r="F35" s="24"/>
      <c r="G35" s="25">
        <v>0.80694868440180256</v>
      </c>
      <c r="H35" s="24">
        <f t="shared" si="1"/>
        <v>1.6605764727076204</v>
      </c>
      <c r="I35" s="24">
        <f t="shared" si="2"/>
        <v>1.9186361433366068</v>
      </c>
      <c r="J35" s="24">
        <f t="shared" si="3"/>
        <v>1.5482409117112232</v>
      </c>
      <c r="K35" s="24">
        <f t="shared" si="4"/>
        <v>0.33481978637546211</v>
      </c>
    </row>
    <row r="36" spans="2:11">
      <c r="B36" s="2"/>
      <c r="C36" s="52" t="s">
        <v>9</v>
      </c>
      <c r="D36" s="2">
        <v>30</v>
      </c>
      <c r="E36" s="53">
        <v>1.91</v>
      </c>
      <c r="F36" s="24"/>
      <c r="G36" s="25">
        <v>0.87687163831952331</v>
      </c>
      <c r="H36" s="24">
        <f t="shared" si="1"/>
        <v>2.1781979442970818</v>
      </c>
      <c r="I36" s="24">
        <f t="shared" si="2"/>
        <v>1.9358350310577681</v>
      </c>
      <c r="J36" s="24">
        <f t="shared" si="3"/>
        <v>1.6974788351999504</v>
      </c>
      <c r="K36" s="24">
        <f t="shared" si="4"/>
        <v>6.6744882975584678E-4</v>
      </c>
    </row>
    <row r="37" spans="2:11">
      <c r="B37" s="2"/>
      <c r="C37" s="52" t="s">
        <v>10</v>
      </c>
      <c r="D37" s="2">
        <v>31</v>
      </c>
      <c r="E37" s="53">
        <v>1.44</v>
      </c>
      <c r="F37" s="24"/>
      <c r="G37" s="25">
        <v>0.78616077918302096</v>
      </c>
      <c r="H37" s="24">
        <f t="shared" si="1"/>
        <v>1.831686390532544</v>
      </c>
      <c r="I37" s="24">
        <f t="shared" si="2"/>
        <v>1.9530339187789296</v>
      </c>
      <c r="J37" s="24">
        <f t="shared" si="3"/>
        <v>1.5353986673581121</v>
      </c>
      <c r="K37" s="24">
        <f t="shared" si="4"/>
        <v>0.26320380181766539</v>
      </c>
    </row>
    <row r="38" spans="2:11">
      <c r="B38" s="2"/>
      <c r="C38" s="52" t="s">
        <v>11</v>
      </c>
      <c r="D38" s="2">
        <v>32</v>
      </c>
      <c r="E38" s="53">
        <v>1.72</v>
      </c>
      <c r="F38" s="24"/>
      <c r="G38" s="25">
        <v>0.85230411397005379</v>
      </c>
      <c r="H38" s="24">
        <f t="shared" si="1"/>
        <v>2.0180590141565751</v>
      </c>
      <c r="I38" s="24">
        <f t="shared" si="2"/>
        <v>1.9702328065000909</v>
      </c>
      <c r="J38" s="24">
        <f t="shared" si="3"/>
        <v>1.6792375264587924</v>
      </c>
      <c r="K38" s="24">
        <f t="shared" si="4"/>
        <v>6.261645744891195E-2</v>
      </c>
    </row>
    <row r="39" spans="2:11">
      <c r="B39" s="2"/>
      <c r="C39" s="52" t="s">
        <v>12</v>
      </c>
      <c r="D39" s="2">
        <v>33</v>
      </c>
      <c r="E39" s="53">
        <v>2.09</v>
      </c>
      <c r="F39" s="24"/>
      <c r="G39" s="25">
        <v>0.9297863061491497</v>
      </c>
      <c r="H39" s="24">
        <f t="shared" si="1"/>
        <v>2.2478283302063784</v>
      </c>
      <c r="I39" s="24">
        <f t="shared" si="2"/>
        <v>1.9874316942212524</v>
      </c>
      <c r="J39" s="24">
        <f t="shared" si="3"/>
        <v>1.8478867736937248</v>
      </c>
      <c r="K39" s="24">
        <f t="shared" si="4"/>
        <v>1.0520257350322632E-2</v>
      </c>
    </row>
    <row r="40" spans="2:11">
      <c r="B40" s="2"/>
      <c r="C40" s="52" t="s">
        <v>13</v>
      </c>
      <c r="D40" s="2">
        <v>34</v>
      </c>
      <c r="E40" s="53">
        <v>2.5</v>
      </c>
      <c r="F40" s="24"/>
      <c r="G40" s="25">
        <v>0.94868440180258762</v>
      </c>
      <c r="H40" s="24">
        <f t="shared" si="1"/>
        <v>2.6352283174992337</v>
      </c>
      <c r="I40" s="24">
        <f t="shared" si="2"/>
        <v>2.0046305819424139</v>
      </c>
      <c r="J40" s="24">
        <f t="shared" si="3"/>
        <v>1.9017617644652121</v>
      </c>
      <c r="K40" s="24">
        <f t="shared" si="4"/>
        <v>0.24539086034671145</v>
      </c>
    </row>
    <row r="41" spans="2:11">
      <c r="B41" s="2"/>
      <c r="C41" s="52" t="s">
        <v>14</v>
      </c>
      <c r="D41" s="2">
        <v>35</v>
      </c>
      <c r="E41" s="53">
        <v>3.35</v>
      </c>
      <c r="F41" s="24"/>
      <c r="G41" s="25">
        <v>1.0299462131123711</v>
      </c>
      <c r="H41" s="24">
        <f t="shared" si="1"/>
        <v>3.2525970359915313</v>
      </c>
      <c r="I41" s="24">
        <f t="shared" si="2"/>
        <v>2.0218294696635755</v>
      </c>
      <c r="J41" s="24">
        <f t="shared" si="3"/>
        <v>2.0823756058389931</v>
      </c>
      <c r="K41" s="24">
        <f t="shared" si="4"/>
        <v>1.7640369576541395</v>
      </c>
    </row>
    <row r="42" spans="2:11">
      <c r="B42" s="2"/>
      <c r="C42" s="52" t="s">
        <v>15</v>
      </c>
      <c r="D42" s="2">
        <v>36</v>
      </c>
      <c r="E42" s="53">
        <v>3.3</v>
      </c>
      <c r="F42" s="24"/>
      <c r="G42" s="25">
        <v>1.0790812618113099</v>
      </c>
      <c r="H42" s="24">
        <f t="shared" si="1"/>
        <v>3.0581570793479718</v>
      </c>
      <c r="I42" s="24">
        <f t="shared" si="2"/>
        <v>2.039028357384737</v>
      </c>
      <c r="J42" s="24">
        <f t="shared" si="3"/>
        <v>2.2002772927557648</v>
      </c>
      <c r="K42" s="24">
        <f t="shared" si="4"/>
        <v>1.5900494834798342</v>
      </c>
    </row>
    <row r="43" spans="2:11">
      <c r="B43" s="2">
        <v>2022</v>
      </c>
      <c r="C43" s="52" t="s">
        <v>89</v>
      </c>
      <c r="D43" s="2">
        <v>37</v>
      </c>
      <c r="E43" s="53">
        <v>3.5</v>
      </c>
      <c r="F43" s="24"/>
      <c r="G43" s="25">
        <v>1.0927823811600526</v>
      </c>
      <c r="H43" s="24">
        <f t="shared" si="1"/>
        <v>3.2028334829891243</v>
      </c>
      <c r="I43" s="24">
        <f t="shared" si="2"/>
        <v>2.056227245105898</v>
      </c>
      <c r="J43" s="24">
        <f t="shared" si="3"/>
        <v>2.2470089051129984</v>
      </c>
      <c r="K43" s="24">
        <f t="shared" si="4"/>
        <v>2.0844797677745044</v>
      </c>
    </row>
    <row r="44" spans="2:11">
      <c r="B44" s="2"/>
      <c r="C44" s="52" t="s">
        <v>5</v>
      </c>
      <c r="D44" s="2">
        <v>38</v>
      </c>
      <c r="E44" s="53">
        <v>4.9000000000000004</v>
      </c>
      <c r="F44" s="24"/>
      <c r="G44" s="25">
        <v>1.2245965983427827</v>
      </c>
      <c r="H44" s="24">
        <f t="shared" si="1"/>
        <v>4.0013176638176633</v>
      </c>
      <c r="I44" s="24">
        <f t="shared" si="2"/>
        <v>2.0734261328270596</v>
      </c>
      <c r="J44" s="24">
        <f t="shared" si="3"/>
        <v>2.5391105891750478</v>
      </c>
      <c r="K44" s="24">
        <f t="shared" si="4"/>
        <v>7.9895198265849938</v>
      </c>
    </row>
    <row r="45" spans="2:11">
      <c r="B45" s="2"/>
      <c r="C45" s="52" t="s">
        <v>6</v>
      </c>
      <c r="D45" s="2">
        <v>39</v>
      </c>
      <c r="E45" s="53">
        <v>5.79</v>
      </c>
      <c r="F45" s="24"/>
      <c r="G45" s="25">
        <v>1.3592455298735282</v>
      </c>
      <c r="H45" s="24">
        <f t="shared" si="1"/>
        <v>4.2597160503729841</v>
      </c>
      <c r="I45" s="24">
        <f t="shared" si="2"/>
        <v>2.0906250205482211</v>
      </c>
      <c r="J45" s="24">
        <f t="shared" si="3"/>
        <v>2.8416727138219224</v>
      </c>
      <c r="K45" s="24">
        <f t="shared" si="4"/>
        <v>13.685375238593849</v>
      </c>
    </row>
    <row r="46" spans="2:11">
      <c r="B46" s="2"/>
      <c r="C46" s="52" t="s">
        <v>7</v>
      </c>
      <c r="D46" s="2">
        <v>40</v>
      </c>
      <c r="E46" s="2"/>
      <c r="F46" s="2"/>
      <c r="G46" s="25">
        <v>0.78805058874836464</v>
      </c>
      <c r="H46" s="2"/>
      <c r="I46" s="24">
        <f t="shared" si="2"/>
        <v>2.1078239082693826</v>
      </c>
      <c r="J46" s="24">
        <f t="shared" si="3"/>
        <v>1.6610718718895658</v>
      </c>
      <c r="K46" s="24"/>
    </row>
    <row r="47" spans="2:11">
      <c r="B47" s="2"/>
      <c r="C47" s="52" t="s">
        <v>8</v>
      </c>
      <c r="D47" s="2">
        <v>41</v>
      </c>
      <c r="E47" s="2"/>
      <c r="F47" s="2"/>
      <c r="G47" s="25">
        <v>0.80694868440180256</v>
      </c>
      <c r="H47" s="2"/>
      <c r="I47" s="24">
        <f t="shared" si="2"/>
        <v>2.1250227959905441</v>
      </c>
      <c r="J47" s="24">
        <f t="shared" si="3"/>
        <v>1.7147843495484096</v>
      </c>
      <c r="K47" s="24"/>
    </row>
    <row r="48" spans="2:11">
      <c r="B48" s="2"/>
      <c r="C48" s="52" t="s">
        <v>9</v>
      </c>
      <c r="D48" s="2">
        <v>42</v>
      </c>
      <c r="E48" s="2"/>
      <c r="F48" s="2"/>
      <c r="G48" s="25">
        <v>0.87687163831952331</v>
      </c>
      <c r="H48" s="2"/>
      <c r="I48" s="24">
        <f t="shared" si="2"/>
        <v>2.1422216837117056</v>
      </c>
      <c r="J48" s="24">
        <f t="shared" si="3"/>
        <v>1.8784534374398909</v>
      </c>
      <c r="K48" s="24"/>
    </row>
    <row r="50" spans="4:11">
      <c r="D50" t="s">
        <v>95</v>
      </c>
      <c r="E50" s="29">
        <f>AVERAGE(E7:E45)</f>
        <v>1.7638461538461536</v>
      </c>
      <c r="G50" t="s">
        <v>59</v>
      </c>
      <c r="H50" s="29">
        <f>INTERCEPT(H7:H45,D7:D45)</f>
        <v>1.4198683994229246</v>
      </c>
      <c r="J50" t="s">
        <v>44</v>
      </c>
      <c r="K50" s="29">
        <f>AVERAGE(K7:K45)</f>
        <v>1.4973854576527021</v>
      </c>
    </row>
    <row r="51" spans="4:11">
      <c r="D51" t="s">
        <v>94</v>
      </c>
      <c r="E51">
        <f>SUM(E7:E45)</f>
        <v>68.789999999999992</v>
      </c>
      <c r="G51" t="s">
        <v>60</v>
      </c>
      <c r="H51" s="29">
        <f>SLOPE(H7:H45,D7:D45)</f>
        <v>1.719888772116145E-2</v>
      </c>
    </row>
    <row r="52" spans="4:11">
      <c r="G52" s="8" t="s">
        <v>93</v>
      </c>
      <c r="H52" s="29">
        <f>RSQ(H7:H45,D7:D45)</f>
        <v>2.7799710229847455E-2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FBEA-E062-4EAB-A3C5-CDEE7871501C}">
  <dimension ref="A2:D18"/>
  <sheetViews>
    <sheetView workbookViewId="0">
      <selection activeCell="C3" sqref="C3"/>
    </sheetView>
  </sheetViews>
  <sheetFormatPr baseColWidth="10" defaultRowHeight="15.75"/>
  <sheetData>
    <row r="2" spans="1:4">
      <c r="A2" t="s">
        <v>66</v>
      </c>
    </row>
    <row r="3" spans="1:4">
      <c r="A3" t="s">
        <v>62</v>
      </c>
      <c r="B3" t="s">
        <v>63</v>
      </c>
      <c r="C3" t="s">
        <v>67</v>
      </c>
      <c r="D3" s="35" t="s">
        <v>65</v>
      </c>
    </row>
    <row r="4" spans="1:4">
      <c r="A4">
        <v>1</v>
      </c>
      <c r="B4">
        <v>66</v>
      </c>
      <c r="C4" s="36"/>
      <c r="D4" s="36"/>
    </row>
    <row r="5" spans="1:4">
      <c r="A5">
        <v>2</v>
      </c>
      <c r="B5">
        <v>73</v>
      </c>
      <c r="C5" s="36"/>
      <c r="D5" s="36"/>
    </row>
    <row r="6" spans="1:4">
      <c r="A6">
        <v>3</v>
      </c>
      <c r="B6">
        <v>103</v>
      </c>
      <c r="C6" s="36"/>
      <c r="D6" s="36"/>
    </row>
    <row r="7" spans="1:4">
      <c r="A7">
        <v>4</v>
      </c>
      <c r="B7">
        <v>60</v>
      </c>
      <c r="C7" s="36"/>
      <c r="D7" s="36"/>
    </row>
    <row r="8" spans="1:4">
      <c r="A8">
        <v>5</v>
      </c>
      <c r="B8">
        <v>81</v>
      </c>
      <c r="C8" s="30">
        <f t="shared" ref="C8:C16" si="0">AVERAGE(B4:B7)</f>
        <v>75.5</v>
      </c>
      <c r="D8" s="39">
        <f t="shared" ref="D8:D15" si="1">(B8-C8)^2</f>
        <v>30.25</v>
      </c>
    </row>
    <row r="9" spans="1:4">
      <c r="A9">
        <v>6</v>
      </c>
      <c r="B9">
        <v>87</v>
      </c>
      <c r="C9" s="30">
        <f t="shared" si="0"/>
        <v>79.25</v>
      </c>
      <c r="D9" s="39">
        <f t="shared" si="1"/>
        <v>60.0625</v>
      </c>
    </row>
    <row r="10" spans="1:4">
      <c r="A10">
        <v>7</v>
      </c>
      <c r="B10">
        <v>73</v>
      </c>
      <c r="C10" s="30">
        <f t="shared" si="0"/>
        <v>82.75</v>
      </c>
      <c r="D10" s="39">
        <f t="shared" si="1"/>
        <v>95.0625</v>
      </c>
    </row>
    <row r="11" spans="1:4">
      <c r="A11">
        <v>8</v>
      </c>
      <c r="B11">
        <v>90</v>
      </c>
      <c r="C11" s="30">
        <f t="shared" si="0"/>
        <v>75.25</v>
      </c>
      <c r="D11" s="39">
        <f t="shared" si="1"/>
        <v>217.5625</v>
      </c>
    </row>
    <row r="12" spans="1:4">
      <c r="A12">
        <v>9</v>
      </c>
      <c r="B12">
        <v>78</v>
      </c>
      <c r="C12" s="30">
        <f t="shared" si="0"/>
        <v>82.75</v>
      </c>
      <c r="D12" s="39">
        <f t="shared" si="1"/>
        <v>22.5625</v>
      </c>
    </row>
    <row r="13" spans="1:4">
      <c r="A13">
        <v>10</v>
      </c>
      <c r="B13">
        <v>87</v>
      </c>
      <c r="C13" s="30">
        <f t="shared" si="0"/>
        <v>82</v>
      </c>
      <c r="D13" s="39">
        <f t="shared" si="1"/>
        <v>25</v>
      </c>
    </row>
    <row r="14" spans="1:4">
      <c r="A14">
        <v>11</v>
      </c>
      <c r="B14">
        <v>99</v>
      </c>
      <c r="C14" s="30">
        <f t="shared" si="0"/>
        <v>82</v>
      </c>
      <c r="D14" s="39">
        <f t="shared" si="1"/>
        <v>289</v>
      </c>
    </row>
    <row r="15" spans="1:4">
      <c r="A15">
        <v>12</v>
      </c>
      <c r="B15">
        <v>72</v>
      </c>
      <c r="C15" s="30">
        <f t="shared" si="0"/>
        <v>88.5</v>
      </c>
      <c r="D15" s="39">
        <f t="shared" si="1"/>
        <v>272.25</v>
      </c>
    </row>
    <row r="16" spans="1:4">
      <c r="A16">
        <v>13</v>
      </c>
      <c r="C16" s="30">
        <f t="shared" si="0"/>
        <v>84</v>
      </c>
    </row>
    <row r="18" spans="3:4">
      <c r="C18" t="s">
        <v>44</v>
      </c>
      <c r="D18" s="39">
        <f>AVERAGE(D8:D15)</f>
        <v>126.46875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9"/>
  <sheetViews>
    <sheetView workbookViewId="0">
      <selection activeCell="F23" sqref="F23"/>
    </sheetView>
  </sheetViews>
  <sheetFormatPr baseColWidth="10" defaultColWidth="11" defaultRowHeight="15.75"/>
  <sheetData>
    <row r="2" spans="1:8">
      <c r="A2" s="8" t="s">
        <v>83</v>
      </c>
    </row>
    <row r="4" spans="1:8">
      <c r="A4" s="6" t="s">
        <v>0</v>
      </c>
      <c r="B4" s="6" t="s">
        <v>69</v>
      </c>
      <c r="C4" s="6" t="s">
        <v>67</v>
      </c>
      <c r="D4" s="6" t="s">
        <v>84</v>
      </c>
      <c r="E4" s="7" t="s">
        <v>16</v>
      </c>
      <c r="F4" s="7" t="s">
        <v>17</v>
      </c>
      <c r="G4" s="43" t="s">
        <v>18</v>
      </c>
    </row>
    <row r="5" spans="1:8">
      <c r="A5" s="42" t="s">
        <v>71</v>
      </c>
      <c r="B5" s="42">
        <v>9.2899999999999991</v>
      </c>
      <c r="C5" s="2"/>
      <c r="D5" s="2"/>
      <c r="E5" s="7" t="s">
        <v>20</v>
      </c>
      <c r="F5" s="7" t="s">
        <v>21</v>
      </c>
      <c r="G5" s="7" t="s">
        <v>22</v>
      </c>
      <c r="H5" s="7" t="s">
        <v>70</v>
      </c>
    </row>
    <row r="6" spans="1:8">
      <c r="A6" s="42" t="s">
        <v>72</v>
      </c>
      <c r="B6" s="42">
        <v>9.99</v>
      </c>
      <c r="C6" s="2"/>
      <c r="D6" s="2"/>
      <c r="E6" s="2"/>
      <c r="F6" s="2"/>
      <c r="G6" s="44"/>
    </row>
    <row r="7" spans="1:8">
      <c r="A7" s="42" t="s">
        <v>73</v>
      </c>
      <c r="B7" s="42">
        <v>10.16</v>
      </c>
      <c r="C7" s="42">
        <f t="shared" ref="C7:D16" si="0">AVERAGE(B5:B7)</f>
        <v>9.8133333333333344</v>
      </c>
      <c r="D7" s="42"/>
      <c r="E7" s="2"/>
      <c r="F7" s="2"/>
      <c r="G7" s="45"/>
    </row>
    <row r="8" spans="1:8">
      <c r="A8" s="42" t="s">
        <v>74</v>
      </c>
      <c r="B8" s="42">
        <v>10.25</v>
      </c>
      <c r="C8" s="42">
        <f t="shared" si="0"/>
        <v>10.133333333333333</v>
      </c>
      <c r="D8" s="42"/>
      <c r="E8" s="2"/>
      <c r="F8" s="2"/>
      <c r="G8" s="45"/>
    </row>
    <row r="9" spans="1:8">
      <c r="A9" s="42" t="s">
        <v>75</v>
      </c>
      <c r="B9" s="42">
        <v>10.61</v>
      </c>
      <c r="C9" s="42">
        <f t="shared" si="0"/>
        <v>10.34</v>
      </c>
      <c r="D9" s="42">
        <f>AVERAGE(C7:C9)</f>
        <v>10.095555555555555</v>
      </c>
      <c r="E9" s="42">
        <f>(2*C9-D9)</f>
        <v>10.584444444444445</v>
      </c>
      <c r="F9" s="23">
        <f>(2/(3-1))*(C9-D9)</f>
        <v>0.24444444444444535</v>
      </c>
      <c r="G9" s="46"/>
    </row>
    <row r="10" spans="1:8">
      <c r="A10" s="42" t="s">
        <v>76</v>
      </c>
      <c r="B10" s="42">
        <v>11.07</v>
      </c>
      <c r="C10" s="42">
        <f t="shared" si="0"/>
        <v>10.643333333333333</v>
      </c>
      <c r="D10" s="42">
        <f t="shared" si="0"/>
        <v>10.372222222222222</v>
      </c>
      <c r="E10" s="42">
        <f t="shared" ref="E10:E16" si="1">(2*C10-D10)</f>
        <v>10.914444444444444</v>
      </c>
      <c r="F10" s="23">
        <f t="shared" ref="F10:F16" si="2">(2/(3-1))*(C10-D10)</f>
        <v>0.27111111111111086</v>
      </c>
      <c r="G10" s="42">
        <f>E9+F9*1</f>
        <v>10.828888888888891</v>
      </c>
      <c r="H10" s="42">
        <f>(B10-G10)^2</f>
        <v>5.8134567901233898E-2</v>
      </c>
    </row>
    <row r="11" spans="1:8">
      <c r="A11" s="42" t="s">
        <v>77</v>
      </c>
      <c r="B11" s="42">
        <v>11.52</v>
      </c>
      <c r="C11" s="42">
        <f t="shared" si="0"/>
        <v>11.066666666666668</v>
      </c>
      <c r="D11" s="42">
        <f t="shared" si="0"/>
        <v>10.683333333333335</v>
      </c>
      <c r="E11" s="42">
        <f t="shared" si="1"/>
        <v>11.450000000000001</v>
      </c>
      <c r="F11" s="23">
        <f t="shared" si="2"/>
        <v>0.38333333333333286</v>
      </c>
      <c r="G11" s="42">
        <f t="shared" ref="G11:G17" si="3">E10+F10*1</f>
        <v>11.185555555555554</v>
      </c>
      <c r="H11" s="42">
        <f t="shared" ref="H11:H16" si="4">(B11-G11)^2</f>
        <v>0.1118530864197536</v>
      </c>
    </row>
    <row r="12" spans="1:8">
      <c r="A12" s="42" t="s">
        <v>78</v>
      </c>
      <c r="B12" s="42">
        <v>11.09</v>
      </c>
      <c r="C12" s="42">
        <f t="shared" si="0"/>
        <v>11.226666666666667</v>
      </c>
      <c r="D12" s="42">
        <f t="shared" si="0"/>
        <v>10.978888888888889</v>
      </c>
      <c r="E12" s="42">
        <f t="shared" si="1"/>
        <v>11.474444444444444</v>
      </c>
      <c r="F12" s="23">
        <f t="shared" si="2"/>
        <v>0.24777777777777743</v>
      </c>
      <c r="G12" s="42">
        <f t="shared" si="3"/>
        <v>11.833333333333334</v>
      </c>
      <c r="H12" s="42">
        <f t="shared" si="4"/>
        <v>0.5525444444444455</v>
      </c>
    </row>
    <row r="13" spans="1:8">
      <c r="A13" s="42" t="s">
        <v>79</v>
      </c>
      <c r="B13" s="42">
        <v>10.8</v>
      </c>
      <c r="C13" s="42">
        <f t="shared" si="0"/>
        <v>11.136666666666665</v>
      </c>
      <c r="D13" s="42">
        <f t="shared" si="0"/>
        <v>11.143333333333333</v>
      </c>
      <c r="E13" s="42">
        <f t="shared" si="1"/>
        <v>11.129999999999997</v>
      </c>
      <c r="F13" s="23">
        <f t="shared" si="2"/>
        <v>-6.6666666666677088E-3</v>
      </c>
      <c r="G13" s="42">
        <f t="shared" si="3"/>
        <v>11.722222222222221</v>
      </c>
      <c r="H13" s="42">
        <f t="shared" si="4"/>
        <v>0.85049382716049104</v>
      </c>
    </row>
    <row r="14" spans="1:8">
      <c r="A14" s="42" t="s">
        <v>80</v>
      </c>
      <c r="B14" s="42">
        <v>10.5</v>
      </c>
      <c r="C14" s="42">
        <f t="shared" si="0"/>
        <v>10.796666666666667</v>
      </c>
      <c r="D14" s="42">
        <f t="shared" si="0"/>
        <v>11.053333333333333</v>
      </c>
      <c r="E14" s="42">
        <f t="shared" si="1"/>
        <v>10.540000000000001</v>
      </c>
      <c r="F14" s="23">
        <f t="shared" si="2"/>
        <v>-0.25666666666666593</v>
      </c>
      <c r="G14" s="42">
        <f t="shared" si="3"/>
        <v>11.12333333333333</v>
      </c>
      <c r="H14" s="42">
        <f t="shared" si="4"/>
        <v>0.3885444444444397</v>
      </c>
    </row>
    <row r="15" spans="1:8">
      <c r="A15" s="42" t="s">
        <v>81</v>
      </c>
      <c r="B15" s="42">
        <v>10.86</v>
      </c>
      <c r="C15" s="42">
        <f t="shared" si="0"/>
        <v>10.719999999999999</v>
      </c>
      <c r="D15" s="42">
        <f t="shared" si="0"/>
        <v>10.884444444444442</v>
      </c>
      <c r="E15" s="42">
        <f t="shared" si="1"/>
        <v>10.555555555555555</v>
      </c>
      <c r="F15" s="23">
        <f t="shared" si="2"/>
        <v>-0.1644444444444435</v>
      </c>
      <c r="G15" s="42">
        <f t="shared" si="3"/>
        <v>10.283333333333335</v>
      </c>
      <c r="H15" s="42">
        <f t="shared" si="4"/>
        <v>0.33254444444444187</v>
      </c>
    </row>
    <row r="16" spans="1:8">
      <c r="A16" s="42" t="s">
        <v>82</v>
      </c>
      <c r="B16" s="42">
        <v>9.9700000000000006</v>
      </c>
      <c r="C16" s="42">
        <f t="shared" si="0"/>
        <v>10.443333333333333</v>
      </c>
      <c r="D16" s="42">
        <f t="shared" si="0"/>
        <v>10.653333333333334</v>
      </c>
      <c r="E16" s="42">
        <f t="shared" si="1"/>
        <v>10.233333333333333</v>
      </c>
      <c r="F16" s="23">
        <f t="shared" si="2"/>
        <v>-0.21000000000000085</v>
      </c>
      <c r="G16" s="42">
        <f t="shared" si="3"/>
        <v>10.391111111111112</v>
      </c>
      <c r="H16" s="42">
        <f t="shared" si="4"/>
        <v>0.17733456790123464</v>
      </c>
    </row>
    <row r="17" spans="1:8">
      <c r="A17" s="42" t="s">
        <v>71</v>
      </c>
      <c r="G17" s="42">
        <f t="shared" si="3"/>
        <v>10.023333333333332</v>
      </c>
    </row>
    <row r="19" spans="1:8">
      <c r="G19" s="47" t="s">
        <v>44</v>
      </c>
      <c r="H19" s="30">
        <f>AVERAGE(H10:H16)</f>
        <v>0.35306419753086288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8"/>
  <sheetViews>
    <sheetView tabSelected="1" workbookViewId="0">
      <selection activeCell="H5" sqref="H5"/>
    </sheetView>
  </sheetViews>
  <sheetFormatPr baseColWidth="10" defaultColWidth="11" defaultRowHeight="15.75"/>
  <sheetData>
    <row r="2" spans="1:7">
      <c r="C2" s="40" t="s">
        <v>68</v>
      </c>
      <c r="D2" s="41">
        <v>0.2</v>
      </c>
      <c r="G2" t="s">
        <v>110</v>
      </c>
    </row>
    <row r="3" spans="1:7">
      <c r="A3" s="6" t="s">
        <v>0</v>
      </c>
      <c r="B3" s="6" t="s">
        <v>69</v>
      </c>
      <c r="C3" s="6" t="s">
        <v>1</v>
      </c>
      <c r="D3" s="6" t="s">
        <v>70</v>
      </c>
    </row>
    <row r="4" spans="1:7">
      <c r="A4" s="42" t="s">
        <v>71</v>
      </c>
      <c r="B4" s="42">
        <v>9.2899999999999991</v>
      </c>
      <c r="C4" s="42">
        <f>B4</f>
        <v>9.2899999999999991</v>
      </c>
      <c r="D4" s="42"/>
    </row>
    <row r="5" spans="1:7">
      <c r="A5" s="42" t="s">
        <v>72</v>
      </c>
      <c r="B5" s="42">
        <v>9.99</v>
      </c>
      <c r="C5" s="42">
        <f>$D$2*B4+(1-$D$2)*C4</f>
        <v>9.2899999999999991</v>
      </c>
      <c r="D5" s="42">
        <f>(B5-C5)^2</f>
        <v>0.49000000000000149</v>
      </c>
    </row>
    <row r="6" spans="1:7">
      <c r="A6" s="42" t="s">
        <v>73</v>
      </c>
      <c r="B6" s="42">
        <v>10.16</v>
      </c>
      <c r="C6" s="42">
        <f t="shared" ref="C6:C15" si="0">$D$2*B5+(1-$D$2)*C5</f>
        <v>9.43</v>
      </c>
      <c r="D6" s="42">
        <f t="shared" ref="D6:D15" si="1">(B6-C6)^2</f>
        <v>0.5329000000000006</v>
      </c>
    </row>
    <row r="7" spans="1:7">
      <c r="A7" s="42" t="s">
        <v>74</v>
      </c>
      <c r="B7" s="42">
        <v>10.25</v>
      </c>
      <c r="C7" s="42">
        <f>$D$2*B6+(1-$D$2)*C6</f>
        <v>9.5760000000000005</v>
      </c>
      <c r="D7" s="42">
        <f t="shared" si="1"/>
        <v>0.45427599999999929</v>
      </c>
    </row>
    <row r="8" spans="1:7">
      <c r="A8" s="42" t="s">
        <v>75</v>
      </c>
      <c r="B8" s="42">
        <v>10.61</v>
      </c>
      <c r="C8" s="42">
        <f>$D$2*B7+(1-$D$2)*C7</f>
        <v>9.7108000000000008</v>
      </c>
      <c r="D8" s="42">
        <f t="shared" si="1"/>
        <v>0.80856063999999761</v>
      </c>
    </row>
    <row r="9" spans="1:7">
      <c r="A9" s="42" t="s">
        <v>76</v>
      </c>
      <c r="B9" s="42">
        <v>11.07</v>
      </c>
      <c r="C9" s="42">
        <f t="shared" si="0"/>
        <v>9.8906400000000012</v>
      </c>
      <c r="D9" s="42">
        <f t="shared" si="1"/>
        <v>1.3908900095999979</v>
      </c>
    </row>
    <row r="10" spans="1:7">
      <c r="A10" s="42" t="s">
        <v>77</v>
      </c>
      <c r="B10" s="42">
        <v>11.52</v>
      </c>
      <c r="C10" s="42">
        <f t="shared" si="0"/>
        <v>10.126512000000002</v>
      </c>
      <c r="D10" s="42">
        <f t="shared" si="1"/>
        <v>1.941808806143994</v>
      </c>
    </row>
    <row r="11" spans="1:7">
      <c r="A11" s="42" t="s">
        <v>78</v>
      </c>
      <c r="B11" s="42">
        <v>11.09</v>
      </c>
      <c r="C11" s="42">
        <f t="shared" si="0"/>
        <v>10.405209600000003</v>
      </c>
      <c r="D11" s="42">
        <f t="shared" si="1"/>
        <v>0.46893789193215607</v>
      </c>
    </row>
    <row r="12" spans="1:7">
      <c r="A12" s="42" t="s">
        <v>79</v>
      </c>
      <c r="B12" s="42">
        <v>10.8</v>
      </c>
      <c r="C12" s="42">
        <f t="shared" si="0"/>
        <v>10.542167680000002</v>
      </c>
      <c r="D12" s="42">
        <f t="shared" si="1"/>
        <v>6.6477505236581663E-2</v>
      </c>
    </row>
    <row r="13" spans="1:7">
      <c r="A13" s="42" t="s">
        <v>80</v>
      </c>
      <c r="B13" s="42">
        <v>10.5</v>
      </c>
      <c r="C13" s="42">
        <f t="shared" si="0"/>
        <v>10.593734144000003</v>
      </c>
      <c r="D13" s="42">
        <f t="shared" si="1"/>
        <v>8.7860897514132185E-3</v>
      </c>
    </row>
    <row r="14" spans="1:7">
      <c r="A14" s="42" t="s">
        <v>81</v>
      </c>
      <c r="B14" s="42">
        <v>10.86</v>
      </c>
      <c r="C14" s="42">
        <f t="shared" si="0"/>
        <v>10.574987315200001</v>
      </c>
      <c r="D14" s="42">
        <f t="shared" si="1"/>
        <v>8.1232230496903063E-2</v>
      </c>
    </row>
    <row r="15" spans="1:7">
      <c r="A15" s="42" t="s">
        <v>82</v>
      </c>
      <c r="B15" s="42">
        <v>9.9700000000000006</v>
      </c>
      <c r="C15" s="42">
        <f t="shared" si="0"/>
        <v>10.631989852160002</v>
      </c>
      <c r="D15" s="42">
        <f t="shared" si="1"/>
        <v>0.43823056436282048</v>
      </c>
    </row>
    <row r="16" spans="1:7">
      <c r="A16" s="42" t="s">
        <v>71</v>
      </c>
      <c r="C16" s="23">
        <f>$D$2*B15+(1-$D$2)*C15</f>
        <v>10.499591881728001</v>
      </c>
      <c r="D16" s="6"/>
    </row>
    <row r="18" spans="3:4">
      <c r="C18" s="8" t="s">
        <v>44</v>
      </c>
      <c r="D18" s="29">
        <f>AVERAGE(D5:D15)</f>
        <v>0.60746361250216951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D1D8-D24B-4204-9A34-7D0DCE197774}">
  <dimension ref="C2:I19"/>
  <sheetViews>
    <sheetView topLeftCell="D1" workbookViewId="0">
      <selection activeCell="E18" sqref="E18"/>
    </sheetView>
  </sheetViews>
  <sheetFormatPr baseColWidth="10" defaultRowHeight="15.75"/>
  <sheetData>
    <row r="2" spans="6:9">
      <c r="F2" t="s">
        <v>61</v>
      </c>
    </row>
    <row r="3" spans="6:9" ht="21">
      <c r="F3" t="s">
        <v>62</v>
      </c>
      <c r="G3" t="s">
        <v>63</v>
      </c>
      <c r="H3" s="34" t="s">
        <v>64</v>
      </c>
      <c r="I3" s="35" t="s">
        <v>65</v>
      </c>
    </row>
    <row r="4" spans="6:9">
      <c r="F4">
        <v>1</v>
      </c>
      <c r="G4">
        <v>66</v>
      </c>
      <c r="H4">
        <f>G4</f>
        <v>66</v>
      </c>
      <c r="I4" s="36"/>
    </row>
    <row r="5" spans="6:9">
      <c r="F5">
        <v>2</v>
      </c>
      <c r="G5">
        <v>73</v>
      </c>
      <c r="H5" s="30">
        <f t="shared" ref="H5:H16" si="0">$E$18*G4+(1-$E$18)*H4</f>
        <v>66</v>
      </c>
      <c r="I5" s="30">
        <f t="shared" ref="I5:I15" si="1">(G5-H5)^2</f>
        <v>49</v>
      </c>
    </row>
    <row r="6" spans="6:9">
      <c r="F6">
        <v>3</v>
      </c>
      <c r="G6">
        <v>103</v>
      </c>
      <c r="H6" s="30">
        <f t="shared" si="0"/>
        <v>67.75</v>
      </c>
      <c r="I6" s="30">
        <f t="shared" si="1"/>
        <v>1242.5625</v>
      </c>
    </row>
    <row r="7" spans="6:9">
      <c r="F7">
        <v>4</v>
      </c>
      <c r="G7">
        <v>60</v>
      </c>
      <c r="H7" s="30">
        <f t="shared" si="0"/>
        <v>76.5625</v>
      </c>
      <c r="I7" s="30">
        <f t="shared" si="1"/>
        <v>274.31640625</v>
      </c>
    </row>
    <row r="8" spans="6:9">
      <c r="F8">
        <v>5</v>
      </c>
      <c r="G8">
        <v>81</v>
      </c>
      <c r="H8" s="30">
        <f t="shared" si="0"/>
        <v>72.421875</v>
      </c>
      <c r="I8" s="30">
        <f t="shared" si="1"/>
        <v>73.584228515625</v>
      </c>
    </row>
    <row r="9" spans="6:9">
      <c r="F9">
        <v>6</v>
      </c>
      <c r="G9">
        <v>87</v>
      </c>
      <c r="H9" s="30">
        <f t="shared" si="0"/>
        <v>74.56640625</v>
      </c>
      <c r="I9" s="30">
        <f t="shared" si="1"/>
        <v>154.59425354003906</v>
      </c>
    </row>
    <row r="10" spans="6:9">
      <c r="F10">
        <v>7</v>
      </c>
      <c r="G10">
        <v>73</v>
      </c>
      <c r="H10" s="30">
        <f t="shared" si="0"/>
        <v>77.6748046875</v>
      </c>
      <c r="I10" s="30">
        <f t="shared" si="1"/>
        <v>21.853798866271973</v>
      </c>
    </row>
    <row r="11" spans="6:9">
      <c r="F11">
        <v>8</v>
      </c>
      <c r="G11">
        <v>90</v>
      </c>
      <c r="H11" s="30">
        <f t="shared" si="0"/>
        <v>76.506103515625</v>
      </c>
      <c r="I11" s="30">
        <f t="shared" si="1"/>
        <v>182.08524233102798</v>
      </c>
    </row>
    <row r="12" spans="6:9">
      <c r="F12">
        <v>9</v>
      </c>
      <c r="G12">
        <v>78</v>
      </c>
      <c r="H12" s="30">
        <f t="shared" si="0"/>
        <v>79.87957763671875</v>
      </c>
      <c r="I12" s="30">
        <f>(G12-H12)^2</f>
        <v>3.5328120924532413</v>
      </c>
    </row>
    <row r="13" spans="6:9">
      <c r="F13">
        <v>10</v>
      </c>
      <c r="G13">
        <v>87</v>
      </c>
      <c r="H13" s="30">
        <f t="shared" si="0"/>
        <v>79.409683227539063</v>
      </c>
      <c r="I13" s="30">
        <f t="shared" si="1"/>
        <v>57.612908706301823</v>
      </c>
    </row>
    <row r="14" spans="6:9">
      <c r="F14">
        <v>11</v>
      </c>
      <c r="G14">
        <v>99</v>
      </c>
      <c r="H14" s="30">
        <f t="shared" si="0"/>
        <v>81.307262420654297</v>
      </c>
      <c r="I14" s="30">
        <f t="shared" si="1"/>
        <v>313.03296305159165</v>
      </c>
    </row>
    <row r="15" spans="6:9">
      <c r="F15">
        <v>12</v>
      </c>
      <c r="G15">
        <v>72</v>
      </c>
      <c r="H15" s="30">
        <f t="shared" si="0"/>
        <v>85.730446815490723</v>
      </c>
      <c r="I15" s="30">
        <f t="shared" si="1"/>
        <v>188.52516975301933</v>
      </c>
    </row>
    <row r="16" spans="6:9">
      <c r="F16">
        <v>13</v>
      </c>
      <c r="H16" s="30">
        <f t="shared" si="0"/>
        <v>82.297835111618042</v>
      </c>
    </row>
    <row r="18" spans="3:8">
      <c r="D18" s="38" t="s">
        <v>59</v>
      </c>
      <c r="E18">
        <v>0.25</v>
      </c>
      <c r="G18" s="37" t="s">
        <v>44</v>
      </c>
      <c r="H18" s="30">
        <f>AVERAGE(I5:I15)</f>
        <v>232.79093482784819</v>
      </c>
    </row>
    <row r="19" spans="3:8">
      <c r="C19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0"/>
  <sheetViews>
    <sheetView workbookViewId="0">
      <selection activeCell="J3" sqref="J3"/>
    </sheetView>
  </sheetViews>
  <sheetFormatPr baseColWidth="10" defaultColWidth="11" defaultRowHeight="15.75"/>
  <sheetData>
    <row r="2" spans="1:8">
      <c r="A2" s="48" t="s">
        <v>85</v>
      </c>
    </row>
    <row r="3" spans="1:8">
      <c r="A3" s="48"/>
      <c r="E3" s="5" t="s">
        <v>24</v>
      </c>
      <c r="F3" s="13" t="s">
        <v>25</v>
      </c>
    </row>
    <row r="4" spans="1:8">
      <c r="A4" s="48"/>
      <c r="E4" s="29">
        <v>0.81088103225750152</v>
      </c>
      <c r="F4" s="29">
        <v>0.32396519538176166</v>
      </c>
    </row>
    <row r="6" spans="1:8">
      <c r="A6" s="2" t="s">
        <v>86</v>
      </c>
      <c r="B6" s="1" t="s">
        <v>62</v>
      </c>
      <c r="C6" s="1" t="s">
        <v>87</v>
      </c>
      <c r="D6" s="1" t="s">
        <v>88</v>
      </c>
      <c r="E6" s="49" t="s">
        <v>27</v>
      </c>
      <c r="F6" s="50" t="s">
        <v>28</v>
      </c>
      <c r="G6" s="49" t="s">
        <v>29</v>
      </c>
      <c r="H6" s="51" t="s">
        <v>30</v>
      </c>
    </row>
    <row r="7" spans="1:8">
      <c r="A7" s="2">
        <v>2019</v>
      </c>
      <c r="B7" s="52" t="s">
        <v>89</v>
      </c>
      <c r="C7" s="2">
        <v>1</v>
      </c>
      <c r="D7" s="53">
        <v>1.67</v>
      </c>
      <c r="E7" s="24">
        <f>D7</f>
        <v>1.67</v>
      </c>
      <c r="F7" s="24">
        <v>0</v>
      </c>
      <c r="G7" s="45"/>
      <c r="H7" s="45"/>
    </row>
    <row r="8" spans="1:8">
      <c r="A8" s="2"/>
      <c r="B8" s="52" t="s">
        <v>5</v>
      </c>
      <c r="C8" s="2">
        <v>2</v>
      </c>
      <c r="D8" s="53">
        <v>1.54</v>
      </c>
      <c r="E8" s="24">
        <f>$E$4*D7+(1-$E$4)*(D7+F7)</f>
        <v>1.67</v>
      </c>
      <c r="F8" s="24">
        <f>$F$4*(E8-E7)+(1-$F$4)*F7</f>
        <v>0</v>
      </c>
      <c r="G8" s="24">
        <f>E7+F7*1</f>
        <v>1.67</v>
      </c>
      <c r="H8" s="24">
        <f>(D8-G8)^2</f>
        <v>1.6899999999999971E-2</v>
      </c>
    </row>
    <row r="9" spans="1:8">
      <c r="A9" s="2"/>
      <c r="B9" s="52" t="s">
        <v>6</v>
      </c>
      <c r="C9" s="2">
        <v>3</v>
      </c>
      <c r="D9" s="53">
        <v>1.42</v>
      </c>
      <c r="E9" s="24">
        <f>$E$4*D8+(1-$E$4)*(E8+F8)</f>
        <v>1.5645854658065248</v>
      </c>
      <c r="F9" s="24">
        <f>$F$4*(E9-E8)+(1-$F$4)*F8</f>
        <v>-3.4150640166066566E-2</v>
      </c>
      <c r="G9" s="24">
        <f t="shared" ref="G9:G44" si="0">E8+F8*1</f>
        <v>1.67</v>
      </c>
      <c r="H9" s="24">
        <f t="shared" ref="H9:H44" si="1">(D9-G9)^2</f>
        <v>6.25E-2</v>
      </c>
    </row>
    <row r="10" spans="1:8">
      <c r="A10" s="2"/>
      <c r="B10" s="52" t="s">
        <v>7</v>
      </c>
      <c r="C10" s="2">
        <v>4</v>
      </c>
      <c r="D10" s="53">
        <v>2.0699999999999998</v>
      </c>
      <c r="E10" s="24">
        <f t="shared" ref="E10:E45" si="2">$E$4*D9+(1-$E$4)*(E9+F9)</f>
        <v>1.4408853202279461</v>
      </c>
      <c r="F10" s="24">
        <f t="shared" ref="F10:F45" si="3">$F$4*(E10-E9)+(1-$F$4)*F9</f>
        <v>-6.3161563183371169E-2</v>
      </c>
      <c r="G10" s="24">
        <f t="shared" si="0"/>
        <v>1.5304348256404583</v>
      </c>
      <c r="H10" s="24">
        <f t="shared" si="1"/>
        <v>0.29113057738164244</v>
      </c>
    </row>
    <row r="11" spans="1:8">
      <c r="A11" s="2"/>
      <c r="B11" s="52" t="s">
        <v>8</v>
      </c>
      <c r="C11" s="2">
        <v>5</v>
      </c>
      <c r="D11" s="53">
        <v>2.3199999999999998</v>
      </c>
      <c r="E11" s="24">
        <f t="shared" si="2"/>
        <v>1.9390774315396149</v>
      </c>
      <c r="F11" s="24">
        <f>$F$4*(E11-E10)+(1-$F$4)*F10</f>
        <v>0.11869748965268428</v>
      </c>
      <c r="G11" s="24">
        <f>E10+F10*1</f>
        <v>1.3777237570445751</v>
      </c>
      <c r="H11" s="24">
        <f t="shared" si="1"/>
        <v>0.88788451803819068</v>
      </c>
    </row>
    <row r="12" spans="1:8">
      <c r="A12" s="2"/>
      <c r="B12" s="52" t="s">
        <v>9</v>
      </c>
      <c r="C12" s="2">
        <v>6</v>
      </c>
      <c r="D12" s="53">
        <v>2.42</v>
      </c>
      <c r="E12" s="24">
        <f t="shared" si="2"/>
        <v>2.2704082637796921</v>
      </c>
      <c r="F12" s="24">
        <f t="shared" si="3"/>
        <v>0.18758329202868607</v>
      </c>
      <c r="G12" s="24">
        <f t="shared" si="0"/>
        <v>2.0577749211922991</v>
      </c>
      <c r="H12" s="24">
        <f t="shared" si="1"/>
        <v>0.13120700771724508</v>
      </c>
    </row>
    <row r="13" spans="1:8">
      <c r="A13" s="2"/>
      <c r="B13" s="52" t="s">
        <v>10</v>
      </c>
      <c r="C13" s="2">
        <v>7</v>
      </c>
      <c r="D13" s="53">
        <v>2.89</v>
      </c>
      <c r="E13" s="24">
        <f t="shared" si="2"/>
        <v>2.4271849238174119</v>
      </c>
      <c r="F13" s="24">
        <f t="shared" si="3"/>
        <v>0.17760301547667864</v>
      </c>
      <c r="G13" s="24">
        <f t="shared" si="0"/>
        <v>2.4579915558083782</v>
      </c>
      <c r="H13" s="24">
        <f>(D13-G13)^2</f>
        <v>0.18663129585286567</v>
      </c>
    </row>
    <row r="14" spans="1:8">
      <c r="A14" s="2"/>
      <c r="B14" s="52" t="s">
        <v>11</v>
      </c>
      <c r="C14" s="2">
        <v>8</v>
      </c>
      <c r="D14" s="53">
        <v>2.86</v>
      </c>
      <c r="E14" s="24">
        <f t="shared" si="2"/>
        <v>2.8360609894915876</v>
      </c>
      <c r="F14" s="24">
        <f t="shared" si="3"/>
        <v>0.25252743437044672</v>
      </c>
      <c r="G14" s="24">
        <f t="shared" si="0"/>
        <v>2.6047879392940905</v>
      </c>
      <c r="H14" s="24">
        <f t="shared" si="1"/>
        <v>6.513319592975679E-2</v>
      </c>
    </row>
    <row r="15" spans="1:8">
      <c r="A15" s="2"/>
      <c r="B15" s="52" t="s">
        <v>12</v>
      </c>
      <c r="C15" s="2">
        <v>9</v>
      </c>
      <c r="D15" s="53">
        <v>2.5299999999999998</v>
      </c>
      <c r="E15" s="24">
        <f t="shared" si="2"/>
        <v>2.9032304067586727</v>
      </c>
      <c r="F15" s="24">
        <f>$F$4*(E15-E14)+(1-$F$4)*F14</f>
        <v>0.19247788814398026</v>
      </c>
      <c r="G15" s="24">
        <f>E14+F14*1</f>
        <v>3.0885884238620345</v>
      </c>
      <c r="H15" s="24">
        <f t="shared" si="1"/>
        <v>0.31202102727267211</v>
      </c>
    </row>
    <row r="16" spans="1:8">
      <c r="A16" s="2"/>
      <c r="B16" s="52" t="s">
        <v>13</v>
      </c>
      <c r="C16" s="2">
        <v>10</v>
      </c>
      <c r="D16" s="53">
        <v>2.0699999999999998</v>
      </c>
      <c r="E16" s="24">
        <f t="shared" si="2"/>
        <v>2.6369861687753584</v>
      </c>
      <c r="F16" s="24">
        <f>$F$4*(E16-E15)+(1-$F$4)*F15</f>
        <v>4.3867884927214135E-2</v>
      </c>
      <c r="G16" s="24">
        <f t="shared" si="0"/>
        <v>3.0957082949026531</v>
      </c>
      <c r="H16" s="24">
        <f t="shared" si="1"/>
        <v>1.0520775062321084</v>
      </c>
    </row>
    <row r="17" spans="1:8">
      <c r="A17" s="2"/>
      <c r="B17" s="52" t="s">
        <v>14</v>
      </c>
      <c r="C17" s="2">
        <v>11</v>
      </c>
      <c r="D17" s="53">
        <v>1.86</v>
      </c>
      <c r="E17" s="24">
        <f t="shared" si="2"/>
        <v>2.1855240880775515</v>
      </c>
      <c r="F17" s="24">
        <f>$F$4*(E17-E16)+(1-$F$4)*F16</f>
        <v>-0.11660178416493709</v>
      </c>
      <c r="G17" s="24">
        <f t="shared" si="0"/>
        <v>2.6808540537025727</v>
      </c>
      <c r="H17" s="24">
        <f t="shared" si="1"/>
        <v>0.67380137747994595</v>
      </c>
    </row>
    <row r="18" spans="1:8">
      <c r="A18" s="2"/>
      <c r="B18" s="52" t="s">
        <v>15</v>
      </c>
      <c r="C18" s="2">
        <v>12</v>
      </c>
      <c r="D18" s="53">
        <v>1.52</v>
      </c>
      <c r="E18" s="24">
        <f t="shared" si="2"/>
        <v>1.8995111704543381</v>
      </c>
      <c r="F18" s="24">
        <f t="shared" si="3"/>
        <v>-0.17148509511559323</v>
      </c>
      <c r="G18" s="24">
        <f t="shared" si="0"/>
        <v>2.0689223039126143</v>
      </c>
      <c r="H18" s="24">
        <f t="shared" si="1"/>
        <v>0.30131569573273254</v>
      </c>
    </row>
    <row r="19" spans="1:8">
      <c r="A19" s="2">
        <v>2020</v>
      </c>
      <c r="B19" s="52" t="s">
        <v>89</v>
      </c>
      <c r="C19" s="2">
        <v>13</v>
      </c>
      <c r="D19" s="53">
        <v>1.58</v>
      </c>
      <c r="E19" s="24">
        <f t="shared" si="2"/>
        <v>1.5593416766315866</v>
      </c>
      <c r="F19" s="24">
        <f t="shared" si="3"/>
        <v>-0.22613296930061275</v>
      </c>
      <c r="G19" s="24">
        <f t="shared" si="0"/>
        <v>1.7280260753387449</v>
      </c>
      <c r="H19" s="24">
        <f t="shared" si="1"/>
        <v>2.1911718980191747E-2</v>
      </c>
    </row>
    <row r="20" spans="1:8">
      <c r="A20" s="2"/>
      <c r="B20" s="52" t="s">
        <v>5</v>
      </c>
      <c r="C20" s="2">
        <v>14</v>
      </c>
      <c r="D20" s="53">
        <v>1.79</v>
      </c>
      <c r="E20" s="24">
        <f t="shared" si="2"/>
        <v>1.5333270854825971</v>
      </c>
      <c r="F20" s="24">
        <f t="shared" si="3"/>
        <v>-0.16130157982324084</v>
      </c>
      <c r="G20" s="24">
        <f t="shared" si="0"/>
        <v>1.333208707330974</v>
      </c>
      <c r="H20" s="24">
        <f t="shared" si="1"/>
        <v>0.20865828505823983</v>
      </c>
    </row>
    <row r="21" spans="1:8">
      <c r="A21" s="2"/>
      <c r="B21" s="52" t="s">
        <v>6</v>
      </c>
      <c r="C21" s="2">
        <v>15</v>
      </c>
      <c r="D21" s="53">
        <v>1.91</v>
      </c>
      <c r="E21" s="24">
        <f t="shared" si="2"/>
        <v>1.7109530950876048</v>
      </c>
      <c r="F21" s="24">
        <f t="shared" si="3"/>
        <v>-5.1500837093848784E-2</v>
      </c>
      <c r="G21" s="24">
        <f t="shared" si="0"/>
        <v>1.3720255056593562</v>
      </c>
      <c r="H21" s="24">
        <f t="shared" si="1"/>
        <v>0.28941655656107129</v>
      </c>
    </row>
    <row r="22" spans="1:8">
      <c r="A22" s="2"/>
      <c r="B22" s="52" t="s">
        <v>7</v>
      </c>
      <c r="C22" s="2">
        <v>16</v>
      </c>
      <c r="D22" s="53">
        <v>0.89</v>
      </c>
      <c r="E22" s="24">
        <f t="shared" si="2"/>
        <v>1.8626166696615654</v>
      </c>
      <c r="F22" s="24">
        <f t="shared" si="3"/>
        <v>1.4317361226733716E-2</v>
      </c>
      <c r="G22" s="24">
        <f t="shared" si="0"/>
        <v>1.6594522579937561</v>
      </c>
      <c r="H22" s="24">
        <f t="shared" si="1"/>
        <v>0.59205677733168971</v>
      </c>
    </row>
    <row r="23" spans="1:8">
      <c r="A23" s="2"/>
      <c r="B23" s="52" t="s">
        <v>8</v>
      </c>
      <c r="C23" s="2">
        <v>17</v>
      </c>
      <c r="D23" s="53">
        <v>0.61</v>
      </c>
      <c r="E23" s="24">
        <f t="shared" si="2"/>
        <v>1.0766479451515383</v>
      </c>
      <c r="F23" s="24">
        <f t="shared" si="3"/>
        <v>-0.24494747690028126</v>
      </c>
      <c r="G23" s="24">
        <f t="shared" si="0"/>
        <v>1.8769340308882991</v>
      </c>
      <c r="H23" s="24">
        <f t="shared" si="1"/>
        <v>1.6051218386228734</v>
      </c>
    </row>
    <row r="24" spans="1:8">
      <c r="A24" s="2"/>
      <c r="B24" s="52" t="s">
        <v>9</v>
      </c>
      <c r="C24" s="2">
        <v>18</v>
      </c>
      <c r="D24" s="53">
        <v>0.31</v>
      </c>
      <c r="E24" s="24">
        <f t="shared" si="2"/>
        <v>0.6519277637037062</v>
      </c>
      <c r="F24" s="24">
        <f t="shared" si="3"/>
        <v>-0.30318757625333626</v>
      </c>
      <c r="G24" s="24">
        <f t="shared" si="0"/>
        <v>0.83170046825125699</v>
      </c>
      <c r="H24" s="24">
        <f t="shared" si="1"/>
        <v>0.27217137857358076</v>
      </c>
    </row>
    <row r="25" spans="1:8">
      <c r="A25" s="2"/>
      <c r="B25" s="52" t="s">
        <v>10</v>
      </c>
      <c r="C25" s="2">
        <v>19</v>
      </c>
      <c r="D25" s="53">
        <v>-0.17</v>
      </c>
      <c r="E25" s="24">
        <f t="shared" si="2"/>
        <v>0.31732650426076486</v>
      </c>
      <c r="F25" s="24">
        <f t="shared" si="3"/>
        <v>-0.31336451626551742</v>
      </c>
      <c r="G25" s="24">
        <f t="shared" si="0"/>
        <v>0.34874018745036994</v>
      </c>
      <c r="H25" s="24">
        <f t="shared" si="1"/>
        <v>0.26909138207604499</v>
      </c>
    </row>
    <row r="26" spans="1:8">
      <c r="A26" s="2"/>
      <c r="B26" s="52" t="s">
        <v>11</v>
      </c>
      <c r="C26" s="2">
        <v>20</v>
      </c>
      <c r="D26" s="53">
        <v>-7.0000000000000007E-2</v>
      </c>
      <c r="E26" s="24">
        <f t="shared" si="2"/>
        <v>-0.1371004884039059</v>
      </c>
      <c r="F26" s="24">
        <f t="shared" si="3"/>
        <v>-0.35906384899320426</v>
      </c>
      <c r="G26" s="24">
        <f t="shared" si="0"/>
        <v>3.9619879952474402E-3</v>
      </c>
      <c r="H26" s="24">
        <f t="shared" si="1"/>
        <v>5.4703756682091273E-3</v>
      </c>
    </row>
    <row r="27" spans="1:8">
      <c r="A27" s="2"/>
      <c r="B27" s="52" t="s">
        <v>12</v>
      </c>
      <c r="C27" s="2">
        <v>21</v>
      </c>
      <c r="D27" s="53">
        <v>0.3</v>
      </c>
      <c r="E27" s="24">
        <f t="shared" si="2"/>
        <v>-0.15059575957720733</v>
      </c>
      <c r="F27" s="24">
        <f t="shared" si="3"/>
        <v>-0.24711165716198191</v>
      </c>
      <c r="G27" s="24">
        <f t="shared" si="0"/>
        <v>-0.49616433739711019</v>
      </c>
      <c r="H27" s="24">
        <f>(D27-G27)^2</f>
        <v>0.63387765214297942</v>
      </c>
    </row>
    <row r="28" spans="1:8">
      <c r="A28" s="2"/>
      <c r="B28" s="52" t="s">
        <v>13</v>
      </c>
      <c r="C28" s="2">
        <v>22</v>
      </c>
      <c r="D28" s="53">
        <v>0.45</v>
      </c>
      <c r="E28" s="24">
        <f t="shared" si="2"/>
        <v>0.16805029355999929</v>
      </c>
      <c r="F28" s="24">
        <f t="shared" si="3"/>
        <v>-6.3825850006167167E-2</v>
      </c>
      <c r="G28" s="24">
        <f t="shared" si="0"/>
        <v>-0.39770741673918925</v>
      </c>
      <c r="H28" s="24">
        <f t="shared" si="1"/>
        <v>0.71860786439462954</v>
      </c>
    </row>
    <row r="29" spans="1:8">
      <c r="A29" s="2"/>
      <c r="B29" s="52" t="s">
        <v>14</v>
      </c>
      <c r="C29" s="2">
        <v>23</v>
      </c>
      <c r="D29" s="53">
        <v>0.24</v>
      </c>
      <c r="E29" s="24">
        <f t="shared" si="2"/>
        <v>0.38460728369431274</v>
      </c>
      <c r="F29" s="24">
        <f t="shared" si="3"/>
        <v>2.7008431581636891E-2</v>
      </c>
      <c r="G29" s="24">
        <f t="shared" si="0"/>
        <v>0.10422444355383212</v>
      </c>
      <c r="H29" s="24">
        <f t="shared" si="1"/>
        <v>1.8435001728266519E-2</v>
      </c>
    </row>
    <row r="30" spans="1:8">
      <c r="A30" s="2"/>
      <c r="B30" s="52" t="s">
        <v>15</v>
      </c>
      <c r="C30" s="2">
        <v>24</v>
      </c>
      <c r="D30" s="53">
        <v>0.89</v>
      </c>
      <c r="E30" s="24">
        <f t="shared" si="2"/>
        <v>0.27245578692137812</v>
      </c>
      <c r="F30" s="24">
        <f t="shared" si="3"/>
        <v>-1.8074541797063824E-2</v>
      </c>
      <c r="G30" s="24">
        <f t="shared" si="0"/>
        <v>0.41161571527594965</v>
      </c>
      <c r="H30" s="24">
        <f t="shared" si="1"/>
        <v>0.22885152387094129</v>
      </c>
    </row>
    <row r="31" spans="1:8">
      <c r="A31" s="2">
        <v>2021</v>
      </c>
      <c r="B31" s="52" t="s">
        <v>89</v>
      </c>
      <c r="C31" s="2">
        <v>25</v>
      </c>
      <c r="D31" s="53">
        <v>0.96</v>
      </c>
      <c r="E31" s="24">
        <f t="shared" si="2"/>
        <v>0.76979243720013812</v>
      </c>
      <c r="F31" s="24">
        <f t="shared" si="3"/>
        <v>0.14890074574572712</v>
      </c>
      <c r="G31" s="24">
        <f t="shared" si="0"/>
        <v>0.25438124512431431</v>
      </c>
      <c r="H31" s="24">
        <f t="shared" si="1"/>
        <v>0.49789782723231285</v>
      </c>
    </row>
    <row r="32" spans="1:8">
      <c r="A32" s="2"/>
      <c r="B32" s="52" t="s">
        <v>5</v>
      </c>
      <c r="C32" s="2">
        <v>26</v>
      </c>
      <c r="D32" s="53">
        <v>0.41</v>
      </c>
      <c r="E32" s="24">
        <f t="shared" si="2"/>
        <v>0.95218809739799382</v>
      </c>
      <c r="F32" s="24">
        <f t="shared" si="3"/>
        <v>0.15975193225050632</v>
      </c>
      <c r="G32" s="24">
        <f t="shared" si="0"/>
        <v>0.91869318294586522</v>
      </c>
      <c r="H32" s="24">
        <f t="shared" si="1"/>
        <v>0.25876875437559549</v>
      </c>
    </row>
    <row r="33" spans="1:8">
      <c r="A33" s="2"/>
      <c r="B33" s="52" t="s">
        <v>6</v>
      </c>
      <c r="C33" s="2">
        <v>27</v>
      </c>
      <c r="D33" s="53">
        <v>0.47</v>
      </c>
      <c r="E33" s="24">
        <f t="shared" si="2"/>
        <v>0.54275017382426305</v>
      </c>
      <c r="F33" s="24">
        <f t="shared" si="3"/>
        <v>-2.4645770600909417E-2</v>
      </c>
      <c r="G33" s="24">
        <f t="shared" si="0"/>
        <v>1.1119400296485002</v>
      </c>
      <c r="H33" s="24">
        <f t="shared" si="1"/>
        <v>0.41208700166511741</v>
      </c>
    </row>
    <row r="34" spans="1:8">
      <c r="A34" s="2"/>
      <c r="B34" s="52" t="s">
        <v>7</v>
      </c>
      <c r="C34" s="2">
        <v>28</v>
      </c>
      <c r="D34" s="53">
        <v>1.21</v>
      </c>
      <c r="E34" s="24">
        <f t="shared" si="2"/>
        <v>0.4790974550814695</v>
      </c>
      <c r="F34" s="24">
        <f t="shared" si="3"/>
        <v>-3.7282664176941149E-2</v>
      </c>
      <c r="G34" s="24">
        <f t="shared" si="0"/>
        <v>0.5181044032233536</v>
      </c>
      <c r="H34" s="24">
        <f t="shared" si="1"/>
        <v>0.47871951683891162</v>
      </c>
    </row>
    <row r="35" spans="1:8">
      <c r="A35" s="2"/>
      <c r="B35" s="52" t="s">
        <v>8</v>
      </c>
      <c r="C35" s="2">
        <v>29</v>
      </c>
      <c r="D35" s="53">
        <v>1.34</v>
      </c>
      <c r="E35" s="24">
        <f t="shared" si="2"/>
        <v>1.0647216062208089</v>
      </c>
      <c r="F35" s="24">
        <f t="shared" si="3"/>
        <v>0.16451746395162861</v>
      </c>
      <c r="G35" s="24">
        <f t="shared" si="0"/>
        <v>0.44181479090452835</v>
      </c>
      <c r="H35" s="24">
        <f t="shared" si="1"/>
        <v>0.80673666983787629</v>
      </c>
    </row>
    <row r="36" spans="1:8">
      <c r="A36" s="2"/>
      <c r="B36" s="52" t="s">
        <v>9</v>
      </c>
      <c r="C36" s="2">
        <v>30</v>
      </c>
      <c r="D36" s="53">
        <v>1.91</v>
      </c>
      <c r="E36" s="24">
        <f t="shared" si="2"/>
        <v>1.3190530072848121</v>
      </c>
      <c r="F36" s="24">
        <f t="shared" si="3"/>
        <v>0.19361405363624429</v>
      </c>
      <c r="G36" s="24">
        <f t="shared" si="0"/>
        <v>1.2292390701724376</v>
      </c>
      <c r="H36" s="24">
        <f t="shared" si="1"/>
        <v>0.46343544357968719</v>
      </c>
    </row>
    <row r="37" spans="1:8">
      <c r="A37" s="2"/>
      <c r="B37" s="52" t="s">
        <v>10</v>
      </c>
      <c r="C37" s="2">
        <v>31</v>
      </c>
      <c r="D37" s="53">
        <v>1.44</v>
      </c>
      <c r="E37" s="24">
        <f t="shared" si="2"/>
        <v>1.8348568047112972</v>
      </c>
      <c r="F37" s="24">
        <f t="shared" si="3"/>
        <v>0.29799231693324935</v>
      </c>
      <c r="G37" s="24">
        <f t="shared" si="0"/>
        <v>1.5126670609210564</v>
      </c>
      <c r="H37" s="24">
        <f t="shared" si="1"/>
        <v>5.2805017429045304E-3</v>
      </c>
    </row>
    <row r="38" spans="1:8">
      <c r="A38" s="2"/>
      <c r="B38" s="52" t="s">
        <v>11</v>
      </c>
      <c r="C38" s="2">
        <v>32</v>
      </c>
      <c r="D38" s="53">
        <v>1.72</v>
      </c>
      <c r="E38" s="24">
        <f t="shared" si="2"/>
        <v>1.5710309106867133</v>
      </c>
      <c r="F38" s="24">
        <f t="shared" si="3"/>
        <v>0.11598277045126311</v>
      </c>
      <c r="G38" s="24">
        <f t="shared" si="0"/>
        <v>2.1328491216445467</v>
      </c>
      <c r="H38" s="24">
        <f t="shared" si="1"/>
        <v>0.17044439724267371</v>
      </c>
    </row>
    <row r="39" spans="1:8">
      <c r="A39" s="2"/>
      <c r="B39" s="52" t="s">
        <v>12</v>
      </c>
      <c r="C39" s="2">
        <v>33</v>
      </c>
      <c r="D39" s="53">
        <v>2.09</v>
      </c>
      <c r="E39" s="24">
        <f t="shared" si="2"/>
        <v>1.7137616614271893</v>
      </c>
      <c r="F39" s="24">
        <f t="shared" si="3"/>
        <v>0.12464818511172547</v>
      </c>
      <c r="G39" s="24">
        <f t="shared" si="0"/>
        <v>1.6870136811379763</v>
      </c>
      <c r="H39" s="24">
        <f t="shared" si="1"/>
        <v>0.16239797318996449</v>
      </c>
    </row>
    <row r="40" spans="1:8">
      <c r="A40" s="2"/>
      <c r="B40" s="52" t="s">
        <v>13</v>
      </c>
      <c r="C40" s="2">
        <v>34</v>
      </c>
      <c r="D40" s="53">
        <v>2.5</v>
      </c>
      <c r="E40" s="24">
        <f t="shared" si="2"/>
        <v>2.0424195298832624</v>
      </c>
      <c r="F40" s="24">
        <f t="shared" si="3"/>
        <v>0.19074022203614835</v>
      </c>
      <c r="G40" s="24">
        <f t="shared" si="0"/>
        <v>1.8384098465389147</v>
      </c>
      <c r="H40" s="24">
        <f t="shared" si="1"/>
        <v>0.43770153115666238</v>
      </c>
    </row>
    <row r="41" spans="1:8">
      <c r="A41" s="2"/>
      <c r="B41" s="52" t="s">
        <v>14</v>
      </c>
      <c r="C41" s="2">
        <v>35</v>
      </c>
      <c r="D41" s="53">
        <v>3.35</v>
      </c>
      <c r="E41" s="24">
        <f t="shared" si="2"/>
        <v>2.4495354477308471</v>
      </c>
      <c r="F41" s="24">
        <f t="shared" si="3"/>
        <v>0.26083841660556495</v>
      </c>
      <c r="G41" s="24">
        <f t="shared" si="0"/>
        <v>2.2331597519194109</v>
      </c>
      <c r="H41" s="24">
        <f t="shared" si="1"/>
        <v>1.2473321397327122</v>
      </c>
    </row>
    <row r="42" spans="1:8">
      <c r="A42" s="2"/>
      <c r="B42" s="52" t="s">
        <v>15</v>
      </c>
      <c r="C42" s="2">
        <v>36</v>
      </c>
      <c r="D42" s="53">
        <v>3.3</v>
      </c>
      <c r="E42" s="24">
        <f t="shared" si="2"/>
        <v>3.2290345654821788</v>
      </c>
      <c r="F42" s="24">
        <f t="shared" si="3"/>
        <v>0.42886643198909474</v>
      </c>
      <c r="G42" s="24">
        <f t="shared" si="0"/>
        <v>2.7103738643364119</v>
      </c>
      <c r="H42" s="24">
        <f t="shared" si="1"/>
        <v>0.34765897985757577</v>
      </c>
    </row>
    <row r="43" spans="1:8">
      <c r="A43" s="2">
        <v>2022</v>
      </c>
      <c r="B43" s="52" t="s">
        <v>89</v>
      </c>
      <c r="C43" s="2">
        <v>37</v>
      </c>
      <c r="D43" s="53">
        <v>3.5</v>
      </c>
      <c r="E43" s="24">
        <f t="shared" si="2"/>
        <v>3.3676858671957777</v>
      </c>
      <c r="F43" s="24">
        <f t="shared" si="3"/>
        <v>0.33484683060665027</v>
      </c>
      <c r="G43" s="24">
        <f t="shared" si="0"/>
        <v>3.6579009974712737</v>
      </c>
      <c r="H43" s="24">
        <f t="shared" si="1"/>
        <v>2.4932725002423193E-2</v>
      </c>
    </row>
    <row r="44" spans="1:8">
      <c r="A44" s="2"/>
      <c r="B44" s="52" t="s">
        <v>5</v>
      </c>
      <c r="C44" s="2">
        <v>38</v>
      </c>
      <c r="D44" s="53">
        <v>4.9000000000000004</v>
      </c>
      <c r="E44" s="24">
        <f t="shared" si="2"/>
        <v>3.5383027747424984</v>
      </c>
      <c r="F44" s="24">
        <f t="shared" si="3"/>
        <v>0.28164205149500848</v>
      </c>
      <c r="G44" s="24">
        <f t="shared" si="0"/>
        <v>3.702532697802428</v>
      </c>
      <c r="H44" s="24">
        <f t="shared" si="1"/>
        <v>1.4339279398323321</v>
      </c>
    </row>
    <row r="45" spans="1:8">
      <c r="A45" s="2"/>
      <c r="B45" s="52" t="s">
        <v>6</v>
      </c>
      <c r="C45" s="2">
        <v>39</v>
      </c>
      <c r="D45" s="53">
        <v>5.79</v>
      </c>
      <c r="E45" s="24">
        <f t="shared" si="2"/>
        <v>4.695741080433093</v>
      </c>
      <c r="F45" s="24">
        <f t="shared" si="3"/>
        <v>0.56536955610009654</v>
      </c>
      <c r="G45" s="24">
        <f>E44+F44*1</f>
        <v>3.8199448262375069</v>
      </c>
      <c r="H45" s="24">
        <f>(D45-G45)^2</f>
        <v>3.8811173876683673</v>
      </c>
    </row>
    <row r="46" spans="1:8">
      <c r="A46" s="2"/>
      <c r="B46" s="52" t="s">
        <v>7</v>
      </c>
      <c r="C46" s="2">
        <v>40</v>
      </c>
      <c r="D46" s="2"/>
      <c r="E46" s="2"/>
      <c r="F46" s="2"/>
      <c r="G46" s="24">
        <f>E45+F45*1</f>
        <v>5.2611106365331892</v>
      </c>
      <c r="H46" s="24"/>
    </row>
    <row r="47" spans="1:8">
      <c r="A47" s="2"/>
      <c r="B47" s="52" t="s">
        <v>8</v>
      </c>
      <c r="C47" s="2">
        <v>41</v>
      </c>
      <c r="D47" s="2"/>
      <c r="E47" s="2"/>
      <c r="F47" s="2"/>
      <c r="G47" s="24">
        <f>E45+F45*2</f>
        <v>5.8264801926332863</v>
      </c>
      <c r="H47" s="24"/>
    </row>
    <row r="48" spans="1:8">
      <c r="A48" s="2"/>
      <c r="B48" s="52" t="s">
        <v>9</v>
      </c>
      <c r="C48" s="2">
        <v>42</v>
      </c>
      <c r="D48" s="2"/>
      <c r="E48" s="2"/>
      <c r="F48" s="2"/>
      <c r="G48" s="24">
        <f>E45+F45*3</f>
        <v>6.3918497487333825</v>
      </c>
      <c r="H48" s="24"/>
    </row>
    <row r="50" spans="6:7">
      <c r="F50" t="s">
        <v>44</v>
      </c>
      <c r="G50" s="29">
        <f>AVERAGE(H8:H45)</f>
        <v>0.5124397722526578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52"/>
  <sheetViews>
    <sheetView zoomScaleNormal="100" workbookViewId="0">
      <selection activeCell="G3" sqref="G3"/>
    </sheetView>
  </sheetViews>
  <sheetFormatPr baseColWidth="10" defaultColWidth="11" defaultRowHeight="15.75"/>
  <cols>
    <col min="2" max="2" width="15.125" bestFit="1" customWidth="1"/>
  </cols>
  <sheetData>
    <row r="1" spans="2:14">
      <c r="B1" s="8"/>
      <c r="C1" s="3"/>
      <c r="D1" s="3"/>
      <c r="E1" s="5"/>
      <c r="F1" s="11"/>
      <c r="G1" s="18"/>
      <c r="H1" s="5"/>
      <c r="I1" s="12"/>
    </row>
    <row r="2" spans="2:14">
      <c r="B2" s="3" t="s">
        <v>33</v>
      </c>
      <c r="C2" s="3"/>
      <c r="D2" s="3"/>
      <c r="E2" s="5" t="s">
        <v>24</v>
      </c>
      <c r="F2" s="13" t="s">
        <v>25</v>
      </c>
      <c r="G2" s="10" t="s">
        <v>31</v>
      </c>
      <c r="H2" s="5"/>
      <c r="I2" s="12"/>
    </row>
    <row r="3" spans="2:14">
      <c r="B3" s="3"/>
      <c r="C3" s="3"/>
      <c r="D3" s="8"/>
      <c r="E3" s="19">
        <v>0.4</v>
      </c>
      <c r="F3" s="5">
        <v>0.1</v>
      </c>
      <c r="G3" s="20">
        <v>0.3</v>
      </c>
      <c r="H3" s="5"/>
      <c r="I3" s="12"/>
      <c r="M3" t="s">
        <v>51</v>
      </c>
    </row>
    <row r="4" spans="2:14">
      <c r="B4" s="3"/>
      <c r="C4" s="3"/>
      <c r="D4" s="3"/>
      <c r="E4" s="3"/>
      <c r="F4" s="11"/>
      <c r="G4" s="18"/>
      <c r="H4" s="5"/>
      <c r="I4" s="12"/>
    </row>
    <row r="5" spans="2:14">
      <c r="B5" s="4"/>
      <c r="C5" s="4" t="s">
        <v>4</v>
      </c>
      <c r="D5" s="4" t="s">
        <v>26</v>
      </c>
      <c r="E5" s="5"/>
      <c r="F5" s="11"/>
      <c r="G5" s="18"/>
      <c r="H5" s="5"/>
      <c r="I5" s="12"/>
      <c r="M5" t="s">
        <v>52</v>
      </c>
      <c r="N5" t="s">
        <v>53</v>
      </c>
    </row>
    <row r="6" spans="2:14">
      <c r="B6" s="4"/>
      <c r="C6" s="4"/>
      <c r="D6" s="4" t="s">
        <v>19</v>
      </c>
      <c r="E6" s="14" t="s">
        <v>27</v>
      </c>
      <c r="F6" s="15" t="s">
        <v>28</v>
      </c>
      <c r="G6" s="21" t="s">
        <v>32</v>
      </c>
      <c r="H6" s="14" t="s">
        <v>29</v>
      </c>
      <c r="I6" s="9" t="s">
        <v>30</v>
      </c>
      <c r="M6" t="s">
        <v>54</v>
      </c>
      <c r="N6">
        <v>0</v>
      </c>
    </row>
    <row r="7" spans="2:14">
      <c r="B7" s="4"/>
      <c r="C7" s="4"/>
      <c r="D7" s="4"/>
      <c r="E7" s="14"/>
      <c r="F7" s="15"/>
      <c r="G7" s="21"/>
      <c r="H7" s="14"/>
      <c r="I7" s="9"/>
      <c r="M7" t="s">
        <v>32</v>
      </c>
      <c r="N7">
        <v>1</v>
      </c>
    </row>
    <row r="8" spans="2:14">
      <c r="B8" s="4"/>
      <c r="C8" s="4"/>
      <c r="D8" s="4"/>
      <c r="E8" s="14"/>
      <c r="F8" s="15"/>
      <c r="G8" s="21"/>
      <c r="H8" s="14"/>
      <c r="I8" s="9"/>
    </row>
    <row r="9" spans="2:14">
      <c r="B9" s="4"/>
      <c r="C9" s="4"/>
      <c r="D9" s="4"/>
      <c r="E9" s="14"/>
      <c r="F9" s="15"/>
      <c r="G9" s="21"/>
      <c r="H9" s="14"/>
      <c r="I9" s="9"/>
    </row>
    <row r="10" spans="2:14">
      <c r="B10" s="22" t="s">
        <v>46</v>
      </c>
      <c r="C10" s="54"/>
      <c r="D10" s="54"/>
      <c r="E10" s="49"/>
      <c r="F10" s="50"/>
      <c r="G10" s="57">
        <v>1</v>
      </c>
      <c r="H10" s="49"/>
      <c r="I10" s="51"/>
    </row>
    <row r="11" spans="2:14">
      <c r="B11" s="22" t="s">
        <v>47</v>
      </c>
      <c r="C11" s="54"/>
      <c r="D11" s="54"/>
      <c r="E11" s="49"/>
      <c r="F11" s="50"/>
      <c r="G11" s="57">
        <v>1</v>
      </c>
      <c r="H11" s="49"/>
      <c r="I11" s="51"/>
    </row>
    <row r="12" spans="2:14">
      <c r="B12" s="22" t="s">
        <v>48</v>
      </c>
      <c r="C12" s="54"/>
      <c r="D12" s="54"/>
      <c r="E12" s="49"/>
      <c r="F12" s="50"/>
      <c r="G12" s="57">
        <v>1</v>
      </c>
      <c r="H12" s="49"/>
      <c r="I12" s="51"/>
    </row>
    <row r="13" spans="2:14">
      <c r="B13" s="22" t="s">
        <v>49</v>
      </c>
      <c r="C13" s="54"/>
      <c r="D13" s="54" t="s">
        <v>50</v>
      </c>
      <c r="E13" s="49"/>
      <c r="F13" s="50"/>
      <c r="G13" s="57">
        <v>1</v>
      </c>
      <c r="H13" s="49"/>
      <c r="I13" s="51"/>
    </row>
    <row r="14" spans="2:14">
      <c r="B14" s="22" t="s">
        <v>45</v>
      </c>
      <c r="C14" s="6">
        <v>1</v>
      </c>
      <c r="D14" s="17">
        <v>1000</v>
      </c>
      <c r="E14" s="23">
        <f>D14</f>
        <v>1000</v>
      </c>
      <c r="F14" s="16">
        <v>0</v>
      </c>
      <c r="G14" s="16">
        <v>1</v>
      </c>
      <c r="H14" s="55"/>
      <c r="I14" s="56"/>
    </row>
    <row r="15" spans="2:14">
      <c r="B15" s="22" t="s">
        <v>46</v>
      </c>
      <c r="C15" s="6">
        <v>2</v>
      </c>
      <c r="D15" s="17">
        <v>1065.5171361430707</v>
      </c>
      <c r="E15" s="23">
        <f>$E$3*(D15/G10)+(1-$E$3)*(E14+F14)</f>
        <v>1026.2068544572282</v>
      </c>
      <c r="F15" s="16">
        <f>$F$3*(E15-E14)+(1-$F$3)*F14</f>
        <v>2.6206854457228248</v>
      </c>
      <c r="G15" s="16">
        <f>$G$3*(D15/E15)+(1-$G$3)*G10</f>
        <v>1.0114919174964878</v>
      </c>
      <c r="H15" s="23">
        <f>(E14+1*F14)*G10</f>
        <v>1000</v>
      </c>
      <c r="I15" s="16">
        <f>(D15-H15)^2</f>
        <v>4292.4951283896653</v>
      </c>
    </row>
    <row r="16" spans="2:14">
      <c r="B16" s="22" t="s">
        <v>47</v>
      </c>
      <c r="C16" s="6">
        <v>3</v>
      </c>
      <c r="D16" s="17">
        <v>1030.481887264626</v>
      </c>
      <c r="E16" s="23">
        <f t="shared" ref="E16:E43" si="0">$E$3*(D16/G11)+(1-$E$3)*(E15+F15)</f>
        <v>1029.4892788476211</v>
      </c>
      <c r="F16" s="16">
        <f t="shared" ref="F16:F43" si="1">$F$3*(E16-E15)+(1-$F$3)*F15</f>
        <v>2.6868593401898284</v>
      </c>
      <c r="G16" s="16">
        <f t="shared" ref="G16:G43" si="2">$G$3*(D16/E16)+(1-$G$3)*G11</f>
        <v>1.0002892526723879</v>
      </c>
      <c r="H16" s="23">
        <f>(E15+1*F15)*G11</f>
        <v>1028.827539902951</v>
      </c>
      <c r="I16" s="16">
        <f t="shared" ref="I16:I43" si="3">(D16-H16)^2</f>
        <v>2.7368651930811527</v>
      </c>
    </row>
    <row r="17" spans="2:9">
      <c r="B17" s="22" t="s">
        <v>48</v>
      </c>
      <c r="C17" s="6">
        <v>4</v>
      </c>
      <c r="D17" s="17">
        <v>1067.497787408063</v>
      </c>
      <c r="E17" s="23">
        <f t="shared" si="0"/>
        <v>1046.3047978759118</v>
      </c>
      <c r="F17" s="16">
        <f t="shared" si="1"/>
        <v>4.0997253089999193</v>
      </c>
      <c r="G17" s="16">
        <f t="shared" si="2"/>
        <v>1.006076524615535</v>
      </c>
      <c r="H17" s="23">
        <f t="shared" ref="H17:H43" si="4">(E16+1*F16)*G12</f>
        <v>1032.1761381878109</v>
      </c>
      <c r="I17" s="16">
        <f t="shared" si="3"/>
        <v>1247.6189036385347</v>
      </c>
    </row>
    <row r="18" spans="2:9">
      <c r="B18" s="22" t="s">
        <v>49</v>
      </c>
      <c r="C18" s="6">
        <v>5</v>
      </c>
      <c r="D18" s="17">
        <v>1010.6753746147039</v>
      </c>
      <c r="E18" s="23">
        <f t="shared" si="0"/>
        <v>1034.5128637568287</v>
      </c>
      <c r="F18" s="16">
        <f t="shared" si="1"/>
        <v>2.5105593661916092</v>
      </c>
      <c r="G18" s="16">
        <f t="shared" si="2"/>
        <v>0.9930873293187793</v>
      </c>
      <c r="H18" s="23">
        <f>(E17+1*F17)*G13</f>
        <v>1050.4045231849118</v>
      </c>
      <c r="I18" s="16">
        <f t="shared" si="3"/>
        <v>1578.4052461136555</v>
      </c>
    </row>
    <row r="19" spans="2:9">
      <c r="B19" s="22" t="s">
        <v>45</v>
      </c>
      <c r="C19" s="6">
        <v>6</v>
      </c>
      <c r="D19" s="17">
        <v>1051.6586809900205</v>
      </c>
      <c r="E19" s="23">
        <f t="shared" si="0"/>
        <v>1042.8775262698202</v>
      </c>
      <c r="F19" s="16">
        <f t="shared" si="1"/>
        <v>3.0959696808716055</v>
      </c>
      <c r="G19" s="16">
        <f t="shared" si="2"/>
        <v>1.0025260362311983</v>
      </c>
      <c r="H19" s="23">
        <f t="shared" si="4"/>
        <v>1037.0234231230202</v>
      </c>
      <c r="I19" s="16">
        <f t="shared" si="3"/>
        <v>214.19077283359391</v>
      </c>
    </row>
    <row r="20" spans="2:9">
      <c r="B20" s="22" t="s">
        <v>46</v>
      </c>
      <c r="C20" s="6">
        <v>7</v>
      </c>
      <c r="D20" s="17">
        <v>500</v>
      </c>
      <c r="E20" s="23">
        <f t="shared" si="0"/>
        <v>825.31182681912105</v>
      </c>
      <c r="F20" s="16">
        <f t="shared" si="1"/>
        <v>-18.970197232285475</v>
      </c>
      <c r="G20" s="16">
        <f t="shared" si="2"/>
        <v>0.88979382786696248</v>
      </c>
      <c r="H20" s="23">
        <f t="shared" si="4"/>
        <v>1057.99373706967</v>
      </c>
      <c r="I20" s="16">
        <f t="shared" si="3"/>
        <v>311357.01060897607</v>
      </c>
    </row>
    <row r="21" spans="2:9">
      <c r="B21" s="22" t="s">
        <v>47</v>
      </c>
      <c r="C21" s="6">
        <v>8</v>
      </c>
      <c r="D21" s="17">
        <v>565.51713614307073</v>
      </c>
      <c r="E21" s="23">
        <f t="shared" si="0"/>
        <v>709.94642019276603</v>
      </c>
      <c r="F21" s="16">
        <f t="shared" si="1"/>
        <v>-28.609718171692432</v>
      </c>
      <c r="G21" s="16">
        <f t="shared" si="2"/>
        <v>0.93917141314174413</v>
      </c>
      <c r="H21" s="23">
        <f t="shared" si="4"/>
        <v>806.57486605805116</v>
      </c>
      <c r="I21" s="16">
        <f t="shared" si="3"/>
        <v>58108.829151763646</v>
      </c>
    </row>
    <row r="22" spans="2:9">
      <c r="B22" s="22" t="s">
        <v>48</v>
      </c>
      <c r="C22" s="6">
        <v>9</v>
      </c>
      <c r="D22" s="17">
        <v>530.48188726462604</v>
      </c>
      <c r="E22" s="23">
        <f t="shared" si="0"/>
        <v>619.7131693352369</v>
      </c>
      <c r="F22" s="16">
        <f t="shared" si="1"/>
        <v>-34.7720714402761</v>
      </c>
      <c r="G22" s="16">
        <f t="shared" si="2"/>
        <v>0.96105715646248835</v>
      </c>
      <c r="H22" s="23">
        <f t="shared" si="4"/>
        <v>685.47686126237215</v>
      </c>
      <c r="I22" s="16">
        <f t="shared" si="3"/>
        <v>24023.441964561993</v>
      </c>
    </row>
    <row r="23" spans="2:9">
      <c r="B23" s="22" t="s">
        <v>49</v>
      </c>
      <c r="C23" s="6">
        <v>10</v>
      </c>
      <c r="D23" s="17">
        <v>567.497787408063</v>
      </c>
      <c r="E23" s="23">
        <f t="shared" si="0"/>
        <v>579.54386648795844</v>
      </c>
      <c r="F23" s="16">
        <f t="shared" si="1"/>
        <v>-35.31179458097634</v>
      </c>
      <c r="G23" s="16">
        <f t="shared" si="2"/>
        <v>0.98892549603033575</v>
      </c>
      <c r="H23" s="23">
        <f t="shared" si="4"/>
        <v>580.89759271730122</v>
      </c>
      <c r="I23" s="16">
        <f t="shared" si="3"/>
        <v>179.55478232548873</v>
      </c>
    </row>
    <row r="24" spans="2:9">
      <c r="B24" s="22" t="s">
        <v>45</v>
      </c>
      <c r="C24" s="6">
        <v>11</v>
      </c>
      <c r="D24" s="17">
        <v>510.6753746147038</v>
      </c>
      <c r="E24" s="23">
        <f t="shared" si="0"/>
        <v>530.2946993254526</v>
      </c>
      <c r="F24" s="16">
        <f t="shared" si="1"/>
        <v>-36.705531839129293</v>
      </c>
      <c r="G24" s="16">
        <f t="shared" si="2"/>
        <v>0.99066911873167351</v>
      </c>
      <c r="H24" s="23">
        <f t="shared" si="4"/>
        <v>545.60682183879931</v>
      </c>
      <c r="I24" s="16">
        <f t="shared" si="3"/>
        <v>1220.2060051697697</v>
      </c>
    </row>
    <row r="25" spans="2:9">
      <c r="B25" s="22" t="s">
        <v>46</v>
      </c>
      <c r="C25" s="6">
        <v>12</v>
      </c>
      <c r="D25" s="17">
        <v>551.65868099002046</v>
      </c>
      <c r="E25" s="23">
        <f t="shared" si="0"/>
        <v>544.14743513729331</v>
      </c>
      <c r="F25" s="16">
        <f t="shared" si="1"/>
        <v>-31.64970507403229</v>
      </c>
      <c r="G25" s="16">
        <f t="shared" si="2"/>
        <v>0.92699678835037957</v>
      </c>
      <c r="H25" s="23">
        <f t="shared" si="4"/>
        <v>439.19259473132286</v>
      </c>
      <c r="I25" s="16">
        <f t="shared" si="3"/>
        <v>12648.62055834881</v>
      </c>
    </row>
    <row r="26" spans="2:9">
      <c r="B26" s="22" t="s">
        <v>47</v>
      </c>
      <c r="C26" s="6">
        <v>13</v>
      </c>
      <c r="D26" s="17">
        <v>1100</v>
      </c>
      <c r="E26" s="23">
        <f t="shared" si="0"/>
        <v>775.99671394094742</v>
      </c>
      <c r="F26" s="16">
        <f t="shared" si="1"/>
        <v>-5.2998066862636506</v>
      </c>
      <c r="G26" s="16">
        <f t="shared" si="2"/>
        <v>1.0826795219671814</v>
      </c>
      <c r="H26" s="23">
        <f t="shared" si="4"/>
        <v>481.32321737544891</v>
      </c>
      <c r="I26" s="16">
        <f t="shared" si="3"/>
        <v>382760.96135866613</v>
      </c>
    </row>
    <row r="27" spans="2:9">
      <c r="B27" s="22" t="s">
        <v>48</v>
      </c>
      <c r="C27" s="6">
        <v>14</v>
      </c>
      <c r="D27" s="17">
        <v>1165.5171361430707</v>
      </c>
      <c r="E27" s="23">
        <f t="shared" si="0"/>
        <v>947.5160922972052</v>
      </c>
      <c r="F27" s="16">
        <f t="shared" si="1"/>
        <v>12.382111817988495</v>
      </c>
      <c r="G27" s="16">
        <f t="shared" si="2"/>
        <v>1.0417629144489762</v>
      </c>
      <c r="H27" s="23">
        <f t="shared" si="4"/>
        <v>740.68377818062049</v>
      </c>
      <c r="I27" s="16">
        <f t="shared" si="3"/>
        <v>180483.38203765138</v>
      </c>
    </row>
    <row r="28" spans="2:9">
      <c r="B28" s="22" t="s">
        <v>49</v>
      </c>
      <c r="C28" s="6">
        <v>15</v>
      </c>
      <c r="D28" s="17">
        <v>1130.481887264626</v>
      </c>
      <c r="E28" s="23">
        <f t="shared" si="0"/>
        <v>1033.1955679100577</v>
      </c>
      <c r="F28" s="16">
        <f t="shared" si="1"/>
        <v>19.711848197474893</v>
      </c>
      <c r="G28" s="16">
        <f t="shared" si="2"/>
        <v>1.0204960286041727</v>
      </c>
      <c r="H28" s="23">
        <f t="shared" si="4"/>
        <v>949.26780764324644</v>
      </c>
      <c r="I28" s="16">
        <f t="shared" si="3"/>
        <v>32838.542653023702</v>
      </c>
    </row>
    <row r="29" spans="2:9">
      <c r="B29" s="22" t="s">
        <v>45</v>
      </c>
      <c r="C29" s="6">
        <v>16</v>
      </c>
      <c r="D29" s="17">
        <v>1167.497787408063</v>
      </c>
      <c r="E29" s="23">
        <f t="shared" si="0"/>
        <v>1103.1421203228228</v>
      </c>
      <c r="F29" s="16">
        <f t="shared" si="1"/>
        <v>24.735318619003923</v>
      </c>
      <c r="G29" s="16">
        <f t="shared" si="2"/>
        <v>1.0109699359673212</v>
      </c>
      <c r="H29" s="23">
        <f t="shared" si="4"/>
        <v>1043.0828620212926</v>
      </c>
      <c r="I29" s="16">
        <f t="shared" si="3"/>
        <v>15479.073658995643</v>
      </c>
    </row>
    <row r="30" spans="2:9">
      <c r="B30" s="22" t="s">
        <v>46</v>
      </c>
      <c r="C30" s="6">
        <v>17</v>
      </c>
      <c r="D30" s="17">
        <v>1110.6753746147037</v>
      </c>
      <c r="E30" s="23">
        <f t="shared" si="0"/>
        <v>1155.983948859166</v>
      </c>
      <c r="F30" s="16">
        <f t="shared" si="1"/>
        <v>27.545969610737853</v>
      </c>
      <c r="G30" s="16">
        <f t="shared" si="2"/>
        <v>0.93713930806518275</v>
      </c>
      <c r="H30" s="23">
        <f t="shared" si="4"/>
        <v>1045.5387635519248</v>
      </c>
      <c r="I30" s="16">
        <f t="shared" si="3"/>
        <v>4242.7781007437325</v>
      </c>
    </row>
    <row r="31" spans="2:9">
      <c r="B31" s="22" t="s">
        <v>47</v>
      </c>
      <c r="C31" s="6">
        <v>18</v>
      </c>
      <c r="D31" s="17">
        <v>1151.6586809900205</v>
      </c>
      <c r="E31" s="23">
        <f t="shared" si="0"/>
        <v>1135.6025594534046</v>
      </c>
      <c r="F31" s="16">
        <f t="shared" si="1"/>
        <v>22.75323370908793</v>
      </c>
      <c r="G31" s="16">
        <f t="shared" si="2"/>
        <v>1.062117322302583</v>
      </c>
      <c r="H31" s="23">
        <f t="shared" si="4"/>
        <v>1281.3836063628526</v>
      </c>
      <c r="I31" s="16">
        <f t="shared" si="3"/>
        <v>16828.556262986858</v>
      </c>
    </row>
    <row r="32" spans="2:9">
      <c r="B32" s="22" t="s">
        <v>48</v>
      </c>
      <c r="C32" s="6">
        <v>19</v>
      </c>
      <c r="D32" s="17">
        <v>600</v>
      </c>
      <c r="E32" s="23">
        <f t="shared" si="0"/>
        <v>925.39218939484067</v>
      </c>
      <c r="F32" s="16">
        <f t="shared" si="1"/>
        <v>-0.5431266676772637</v>
      </c>
      <c r="G32" s="16">
        <f t="shared" si="2"/>
        <v>0.92374616379852448</v>
      </c>
      <c r="H32" s="23">
        <f t="shared" si="4"/>
        <v>1206.7321070538137</v>
      </c>
      <c r="I32" s="16">
        <f t="shared" si="3"/>
        <v>368123.84972996044</v>
      </c>
    </row>
    <row r="33" spans="2:9">
      <c r="B33" s="22" t="s">
        <v>49</v>
      </c>
      <c r="C33" s="6">
        <v>20</v>
      </c>
      <c r="D33" s="17">
        <v>665.51713614307073</v>
      </c>
      <c r="E33" s="23">
        <f t="shared" si="0"/>
        <v>815.7696928411558</v>
      </c>
      <c r="F33" s="16">
        <f t="shared" si="1"/>
        <v>-11.451063656278025</v>
      </c>
      <c r="G33" s="16">
        <f t="shared" si="2"/>
        <v>0.95909171420431649</v>
      </c>
      <c r="H33" s="23">
        <f t="shared" si="4"/>
        <v>943.80479557136164</v>
      </c>
      <c r="I33" s="16">
        <f t="shared" si="3"/>
        <v>77444.021390076436</v>
      </c>
    </row>
    <row r="34" spans="2:9">
      <c r="B34" s="22" t="s">
        <v>45</v>
      </c>
      <c r="C34" s="6">
        <v>21</v>
      </c>
      <c r="D34" s="17">
        <v>630.48188726462604</v>
      </c>
      <c r="E34" s="23">
        <f t="shared" si="0"/>
        <v>732.04741348153061</v>
      </c>
      <c r="F34" s="16">
        <f t="shared" si="1"/>
        <v>-18.67818522661274</v>
      </c>
      <c r="G34" s="16">
        <f t="shared" si="2"/>
        <v>0.96605643550976972</v>
      </c>
      <c r="H34" s="23">
        <f t="shared" si="4"/>
        <v>813.14195304435941</v>
      </c>
      <c r="I34" s="16">
        <f t="shared" si="3"/>
        <v>33364.69963065652</v>
      </c>
    </row>
    <row r="35" spans="2:9">
      <c r="B35" s="22" t="s">
        <v>46</v>
      </c>
      <c r="C35" s="6">
        <v>22</v>
      </c>
      <c r="D35" s="17">
        <v>667.497787408063</v>
      </c>
      <c r="E35" s="23">
        <f t="shared" si="0"/>
        <v>712.93020812423197</v>
      </c>
      <c r="F35" s="16">
        <f t="shared" si="1"/>
        <v>-18.722087239681329</v>
      </c>
      <c r="G35" s="16">
        <f t="shared" si="2"/>
        <v>0.93687961874697989</v>
      </c>
      <c r="H35" s="23">
        <f t="shared" si="4"/>
        <v>668.52634496180713</v>
      </c>
      <c r="I35" s="16">
        <f t="shared" si="3"/>
        <v>1.0579306413640921</v>
      </c>
    </row>
    <row r="36" spans="2:9">
      <c r="B36" s="22" t="s">
        <v>47</v>
      </c>
      <c r="C36" s="6">
        <v>23</v>
      </c>
      <c r="D36" s="17">
        <v>610.67537461470386</v>
      </c>
      <c r="E36" s="23">
        <f t="shared" si="0"/>
        <v>646.50902279044362</v>
      </c>
      <c r="F36" s="16">
        <f t="shared" si="1"/>
        <v>-23.491997049092031</v>
      </c>
      <c r="G36" s="16">
        <f t="shared" si="2"/>
        <v>1.0268542146720308</v>
      </c>
      <c r="H36" s="23">
        <f t="shared" si="4"/>
        <v>737.33047047460684</v>
      </c>
      <c r="I36" s="16">
        <f t="shared" si="3"/>
        <v>16041.513307281215</v>
      </c>
    </row>
    <row r="37" spans="2:9">
      <c r="B37" s="22" t="s">
        <v>48</v>
      </c>
      <c r="C37" s="6">
        <v>24</v>
      </c>
      <c r="D37" s="17">
        <v>651.65868099002046</v>
      </c>
      <c r="E37" s="23">
        <f t="shared" si="0"/>
        <v>655.99105971932181</v>
      </c>
      <c r="F37" s="16">
        <f t="shared" si="1"/>
        <v>-20.194593651295008</v>
      </c>
      <c r="G37" s="16">
        <f t="shared" si="2"/>
        <v>0.94464101689654556</v>
      </c>
      <c r="H37" s="23">
        <f t="shared" si="4"/>
        <v>575.50958750974019</v>
      </c>
      <c r="I37" s="16">
        <f t="shared" si="3"/>
        <v>5798.6844378684636</v>
      </c>
    </row>
    <row r="38" spans="2:9">
      <c r="B38" s="22" t="s">
        <v>49</v>
      </c>
      <c r="C38" s="6">
        <v>25</v>
      </c>
      <c r="D38" s="17">
        <v>1200</v>
      </c>
      <c r="E38" s="23">
        <f t="shared" si="0"/>
        <v>881.95139316524319</v>
      </c>
      <c r="F38" s="16">
        <f t="shared" si="1"/>
        <v>4.420899058426631</v>
      </c>
      <c r="G38" s="16">
        <f t="shared" si="2"/>
        <v>1.0795499602806664</v>
      </c>
      <c r="H38" s="23">
        <f t="shared" si="4"/>
        <v>609.78712252623041</v>
      </c>
      <c r="I38" s="16">
        <f t="shared" si="3"/>
        <v>348351.24073586694</v>
      </c>
    </row>
    <row r="39" spans="2:9">
      <c r="B39" s="22" t="s">
        <v>45</v>
      </c>
      <c r="C39" s="6">
        <v>26</v>
      </c>
      <c r="D39" s="17">
        <v>1265.5171361430707</v>
      </c>
      <c r="E39" s="23">
        <f t="shared" si="0"/>
        <v>1055.816421548021</v>
      </c>
      <c r="F39" s="16">
        <f t="shared" si="1"/>
        <v>21.365311990861752</v>
      </c>
      <c r="G39" s="16">
        <f t="shared" si="2"/>
        <v>1.0358239298521206</v>
      </c>
      <c r="H39" s="23">
        <f t="shared" si="4"/>
        <v>856.2856571602224</v>
      </c>
      <c r="I39" s="16">
        <f t="shared" si="3"/>
        <v>167470.40339048943</v>
      </c>
    </row>
    <row r="40" spans="2:9">
      <c r="B40" s="22" t="s">
        <v>46</v>
      </c>
      <c r="C40" s="6">
        <v>27</v>
      </c>
      <c r="D40" s="17">
        <v>1230.481887264626</v>
      </c>
      <c r="E40" s="23">
        <f t="shared" si="0"/>
        <v>1171.6622926192358</v>
      </c>
      <c r="F40" s="16">
        <f t="shared" si="1"/>
        <v>30.813367898897056</v>
      </c>
      <c r="G40" s="16">
        <f t="shared" si="2"/>
        <v>0.97087628299700524</v>
      </c>
      <c r="H40" s="23">
        <f t="shared" si="4"/>
        <v>1009.1896118391194</v>
      </c>
      <c r="I40" s="16">
        <f t="shared" si="3"/>
        <v>48970.271162998295</v>
      </c>
    </row>
    <row r="41" spans="2:9">
      <c r="B41" s="22" t="s">
        <v>47</v>
      </c>
      <c r="C41" s="6">
        <v>28</v>
      </c>
      <c r="D41" s="17">
        <v>1267.497787408063</v>
      </c>
      <c r="E41" s="23">
        <f t="shared" si="0"/>
        <v>1215.2255083141758</v>
      </c>
      <c r="F41" s="16">
        <f t="shared" si="1"/>
        <v>32.088352678501352</v>
      </c>
      <c r="G41" s="16">
        <f t="shared" si="2"/>
        <v>1.0317022907577442</v>
      </c>
      <c r="H41" s="23">
        <f t="shared" si="4"/>
        <v>1234.7672000435787</v>
      </c>
      <c r="I41" s="16">
        <f t="shared" si="3"/>
        <v>1071.2913492241416</v>
      </c>
    </row>
    <row r="42" spans="2:9">
      <c r="B42" s="22" t="s">
        <v>48</v>
      </c>
      <c r="C42" s="6">
        <f>C41+1</f>
        <v>29</v>
      </c>
      <c r="D42" s="17">
        <v>1210.6753746147037</v>
      </c>
      <c r="E42" s="23">
        <f t="shared" si="0"/>
        <v>1261.0382451757428</v>
      </c>
      <c r="F42" s="16">
        <f t="shared" si="1"/>
        <v>33.46079109680791</v>
      </c>
      <c r="G42" s="16">
        <f t="shared" si="2"/>
        <v>0.94926742479991821</v>
      </c>
      <c r="H42" s="23">
        <f t="shared" si="4"/>
        <v>1178.2638340372791</v>
      </c>
      <c r="I42" s="16">
        <f t="shared" si="3"/>
        <v>1050.5079626020415</v>
      </c>
    </row>
    <row r="43" spans="2:9">
      <c r="B43" s="22" t="s">
        <v>49</v>
      </c>
      <c r="C43" s="6">
        <f t="shared" ref="C43" si="5">C42+1</f>
        <v>30</v>
      </c>
      <c r="D43" s="17">
        <v>1251.6586809900205</v>
      </c>
      <c r="E43" s="23">
        <f t="shared" si="0"/>
        <v>1240.4699658019401</v>
      </c>
      <c r="F43" s="16">
        <f t="shared" si="1"/>
        <v>28.057884049746857</v>
      </c>
      <c r="G43" s="16">
        <f t="shared" si="2"/>
        <v>1.0583908938624167</v>
      </c>
      <c r="H43" s="23">
        <f t="shared" si="4"/>
        <v>1397.4763831913931</v>
      </c>
      <c r="I43" s="16">
        <f t="shared" si="3"/>
        <v>21262.802275288195</v>
      </c>
    </row>
    <row r="44" spans="2:9">
      <c r="B44" s="22" t="s">
        <v>45</v>
      </c>
      <c r="C44" s="2"/>
      <c r="D44" s="2"/>
      <c r="E44" s="2"/>
      <c r="F44" s="2"/>
      <c r="G44" s="2"/>
      <c r="H44" s="23">
        <f>(E43+1*F43)*G39</f>
        <v>1313.9715025602352</v>
      </c>
      <c r="I44" s="2"/>
    </row>
    <row r="45" spans="2:9">
      <c r="B45" s="22" t="s">
        <v>46</v>
      </c>
      <c r="C45" s="2"/>
      <c r="D45" s="2"/>
      <c r="E45" s="2"/>
      <c r="F45" s="2"/>
      <c r="G45" s="2"/>
      <c r="H45" s="24">
        <f>(E43+2*F43)*G40</f>
        <v>1258.8243379171681</v>
      </c>
      <c r="I45" s="2"/>
    </row>
    <row r="46" spans="2:9">
      <c r="B46" s="22" t="s">
        <v>47</v>
      </c>
      <c r="C46" s="2"/>
      <c r="D46" s="2"/>
      <c r="E46" s="2"/>
      <c r="F46" s="2"/>
      <c r="G46" s="2"/>
      <c r="H46" s="24">
        <f>(E43+3*F43)*G41</f>
        <v>1366.6378550778593</v>
      </c>
      <c r="I46" s="2"/>
    </row>
    <row r="47" spans="2:9">
      <c r="B47" s="22" t="s">
        <v>48</v>
      </c>
      <c r="C47" s="2"/>
      <c r="D47" s="2"/>
      <c r="E47" s="2"/>
      <c r="F47" s="2"/>
      <c r="G47" s="2"/>
      <c r="H47" s="24">
        <f>(E43+4*F43)*G42</f>
        <v>1284.0754713274018</v>
      </c>
      <c r="I47" s="2"/>
    </row>
    <row r="48" spans="2:9">
      <c r="B48" s="22" t="s">
        <v>49</v>
      </c>
      <c r="C48" s="2"/>
      <c r="D48" s="2"/>
      <c r="E48" s="2"/>
      <c r="F48" s="2"/>
      <c r="G48" s="2"/>
      <c r="H48" s="24">
        <f>(E43+5*F43)*G43</f>
        <v>1461.383160811095</v>
      </c>
      <c r="I48" s="2"/>
    </row>
    <row r="52" spans="10:11">
      <c r="J52" t="s">
        <v>44</v>
      </c>
      <c r="K52" s="29">
        <f>AVERAGE(I15:I43)</f>
        <v>73670.922322839178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829D-1DC1-47A6-860A-6CB6BA2CCB91}">
  <dimension ref="A2:H59"/>
  <sheetViews>
    <sheetView topLeftCell="A31" workbookViewId="0">
      <selection activeCell="C62" sqref="C62"/>
    </sheetView>
  </sheetViews>
  <sheetFormatPr baseColWidth="10" defaultColWidth="9" defaultRowHeight="15.75"/>
  <cols>
    <col min="2" max="2" width="10.125"/>
    <col min="3" max="3" width="23.125" customWidth="1"/>
    <col min="4" max="4" width="31" customWidth="1"/>
    <col min="5" max="5" width="15.5" customWidth="1"/>
    <col min="6" max="6" width="18" bestFit="1" customWidth="1"/>
    <col min="7" max="7" width="24.75" bestFit="1" customWidth="1"/>
    <col min="8" max="8" width="17.875" bestFit="1" customWidth="1"/>
    <col min="9" max="9" width="10.125"/>
  </cols>
  <sheetData>
    <row r="2" spans="1:6">
      <c r="A2" s="58"/>
    </row>
    <row r="5" spans="1:6" ht="21">
      <c r="A5" s="2" t="s">
        <v>86</v>
      </c>
      <c r="B5" s="2" t="s">
        <v>62</v>
      </c>
      <c r="C5" s="2" t="s">
        <v>0</v>
      </c>
      <c r="D5" s="2" t="s">
        <v>63</v>
      </c>
      <c r="E5" s="59" t="s">
        <v>64</v>
      </c>
      <c r="F5" s="60" t="s">
        <v>65</v>
      </c>
    </row>
    <row r="6" spans="1:6">
      <c r="A6" s="2">
        <v>2019</v>
      </c>
      <c r="B6" s="52" t="s">
        <v>89</v>
      </c>
      <c r="C6" s="2">
        <v>1</v>
      </c>
      <c r="D6" s="53">
        <v>1.67</v>
      </c>
      <c r="E6" s="24">
        <f t="shared" ref="E6:E14" si="0">$B$53+$B$54*C6</f>
        <v>1.2085384615384609</v>
      </c>
      <c r="F6" s="24">
        <f>(D6-E6)^2</f>
        <v>0.21294675147929046</v>
      </c>
    </row>
    <row r="7" spans="1:6">
      <c r="A7" s="2"/>
      <c r="B7" s="52" t="s">
        <v>5</v>
      </c>
      <c r="C7" s="2">
        <v>2</v>
      </c>
      <c r="D7" s="53">
        <v>1.54</v>
      </c>
      <c r="E7" s="24">
        <f t="shared" si="0"/>
        <v>1.2377651821862343</v>
      </c>
      <c r="F7" s="24">
        <f t="shared" ref="F7:F44" si="1">(D7-E7)^2</f>
        <v>9.1345885098920152E-2</v>
      </c>
    </row>
    <row r="8" spans="1:6">
      <c r="A8" s="2"/>
      <c r="B8" s="52" t="s">
        <v>6</v>
      </c>
      <c r="C8" s="2">
        <v>3</v>
      </c>
      <c r="D8" s="53">
        <v>1.42</v>
      </c>
      <c r="E8" s="24">
        <f t="shared" si="0"/>
        <v>1.2669919028340075</v>
      </c>
      <c r="F8" s="24">
        <f t="shared" si="1"/>
        <v>2.3411477798357769E-2</v>
      </c>
    </row>
    <row r="9" spans="1:6">
      <c r="A9" s="2"/>
      <c r="B9" s="52" t="s">
        <v>7</v>
      </c>
      <c r="C9" s="2">
        <v>4</v>
      </c>
      <c r="D9" s="53">
        <v>2.0699999999999998</v>
      </c>
      <c r="E9" s="24">
        <f t="shared" si="0"/>
        <v>1.296218623481781</v>
      </c>
      <c r="F9" s="24">
        <f t="shared" si="1"/>
        <v>0.5987376186464296</v>
      </c>
    </row>
    <row r="10" spans="1:6">
      <c r="A10" s="2"/>
      <c r="B10" s="52" t="s">
        <v>8</v>
      </c>
      <c r="C10" s="2">
        <v>5</v>
      </c>
      <c r="D10" s="53">
        <v>2.3199999999999998</v>
      </c>
      <c r="E10" s="24">
        <f t="shared" si="0"/>
        <v>1.3254453441295542</v>
      </c>
      <c r="F10" s="24">
        <f t="shared" si="1"/>
        <v>0.98913896351358066</v>
      </c>
    </row>
    <row r="11" spans="1:6">
      <c r="A11" s="2"/>
      <c r="B11" s="52" t="s">
        <v>9</v>
      </c>
      <c r="C11" s="2">
        <v>6</v>
      </c>
      <c r="D11" s="53">
        <v>2.42</v>
      </c>
      <c r="E11" s="24">
        <f t="shared" si="0"/>
        <v>1.3546720647773274</v>
      </c>
      <c r="F11" s="24">
        <f t="shared" si="1"/>
        <v>1.1349236095658028</v>
      </c>
    </row>
    <row r="12" spans="1:6">
      <c r="A12" s="2"/>
      <c r="B12" s="52" t="s">
        <v>10</v>
      </c>
      <c r="C12" s="2">
        <v>7</v>
      </c>
      <c r="D12" s="53">
        <v>2.89</v>
      </c>
      <c r="E12" s="24">
        <f t="shared" si="0"/>
        <v>1.3838987854251008</v>
      </c>
      <c r="F12" s="24">
        <f t="shared" si="1"/>
        <v>2.2683408685439868</v>
      </c>
    </row>
    <row r="13" spans="1:6">
      <c r="A13" s="2"/>
      <c r="B13" s="52" t="s">
        <v>11</v>
      </c>
      <c r="C13" s="2">
        <v>8</v>
      </c>
      <c r="D13" s="53">
        <v>2.86</v>
      </c>
      <c r="E13" s="24">
        <f t="shared" si="0"/>
        <v>1.413125506072874</v>
      </c>
      <c r="F13" s="24">
        <f t="shared" si="1"/>
        <v>2.0934458011768764</v>
      </c>
    </row>
    <row r="14" spans="1:6">
      <c r="A14" s="2"/>
      <c r="B14" s="52" t="s">
        <v>12</v>
      </c>
      <c r="C14" s="2">
        <v>9</v>
      </c>
      <c r="D14" s="53">
        <v>2.5299999999999998</v>
      </c>
      <c r="E14" s="24">
        <f t="shared" si="0"/>
        <v>1.4423522267206472</v>
      </c>
      <c r="F14" s="24">
        <f t="shared" si="1"/>
        <v>1.1829776787195339</v>
      </c>
    </row>
    <row r="15" spans="1:6">
      <c r="A15" s="2"/>
      <c r="B15" s="52" t="s">
        <v>13</v>
      </c>
      <c r="C15" s="2">
        <v>10</v>
      </c>
      <c r="D15" s="53">
        <v>2.0699999999999998</v>
      </c>
      <c r="E15" s="24">
        <f>$B$53+$B$54*C15</f>
        <v>1.4715789473684207</v>
      </c>
      <c r="F15" s="24">
        <f t="shared" si="1"/>
        <v>0.35810775623268726</v>
      </c>
    </row>
    <row r="16" spans="1:6">
      <c r="A16" s="2"/>
      <c r="B16" s="52" t="s">
        <v>14</v>
      </c>
      <c r="C16" s="2">
        <v>11</v>
      </c>
      <c r="D16" s="53">
        <v>1.86</v>
      </c>
      <c r="E16" s="24">
        <f t="shared" ref="E16:E47" si="2">$B$53+$B$54*C16</f>
        <v>1.5008056680161939</v>
      </c>
      <c r="F16" s="24">
        <f t="shared" si="1"/>
        <v>0.1290205681292928</v>
      </c>
    </row>
    <row r="17" spans="1:8">
      <c r="A17" s="2"/>
      <c r="B17" s="52" t="s">
        <v>15</v>
      </c>
      <c r="C17" s="2">
        <v>12</v>
      </c>
      <c r="D17" s="53">
        <v>1.52</v>
      </c>
      <c r="E17" s="24">
        <f t="shared" si="2"/>
        <v>1.5300323886639673</v>
      </c>
      <c r="F17" s="24">
        <f t="shared" si="1"/>
        <v>1.0064882230489905E-4</v>
      </c>
    </row>
    <row r="18" spans="1:8">
      <c r="A18" s="2">
        <v>2020</v>
      </c>
      <c r="B18" s="52" t="s">
        <v>89</v>
      </c>
      <c r="C18" s="2">
        <v>13</v>
      </c>
      <c r="D18" s="53">
        <v>1.58</v>
      </c>
      <c r="E18" s="24">
        <f t="shared" si="2"/>
        <v>1.5592591093117405</v>
      </c>
      <c r="F18" s="24">
        <f t="shared" si="1"/>
        <v>4.3018454654233262E-4</v>
      </c>
      <c r="G18" s="30"/>
    </row>
    <row r="19" spans="1:8">
      <c r="A19" s="2"/>
      <c r="B19" s="52" t="s">
        <v>5</v>
      </c>
      <c r="C19" s="2">
        <v>14</v>
      </c>
      <c r="D19" s="53">
        <v>1.79</v>
      </c>
      <c r="E19" s="24">
        <f t="shared" si="2"/>
        <v>1.5884858299595139</v>
      </c>
      <c r="F19" s="24">
        <f t="shared" si="1"/>
        <v>4.060796072710595E-2</v>
      </c>
    </row>
    <row r="20" spans="1:8">
      <c r="A20" s="2"/>
      <c r="B20" s="52" t="s">
        <v>6</v>
      </c>
      <c r="C20" s="2">
        <v>15</v>
      </c>
      <c r="D20" s="53">
        <v>1.91</v>
      </c>
      <c r="E20" s="24">
        <f t="shared" si="2"/>
        <v>1.6177125506072871</v>
      </c>
      <c r="F20" s="24">
        <f t="shared" si="1"/>
        <v>8.5431953072497638E-2</v>
      </c>
    </row>
    <row r="21" spans="1:8">
      <c r="A21" s="2"/>
      <c r="B21" s="52" t="s">
        <v>7</v>
      </c>
      <c r="C21" s="2">
        <v>16</v>
      </c>
      <c r="D21" s="53">
        <v>0.89</v>
      </c>
      <c r="E21" s="24">
        <f t="shared" si="2"/>
        <v>1.6469392712550603</v>
      </c>
      <c r="F21" s="24">
        <f t="shared" si="1"/>
        <v>0.57295706036814176</v>
      </c>
    </row>
    <row r="22" spans="1:8">
      <c r="A22" s="2"/>
      <c r="B22" s="52" t="s">
        <v>8</v>
      </c>
      <c r="C22" s="2">
        <v>17</v>
      </c>
      <c r="D22" s="53">
        <v>0.61</v>
      </c>
      <c r="E22" s="24">
        <f t="shared" si="2"/>
        <v>1.6761659919028338</v>
      </c>
      <c r="F22" s="24">
        <f t="shared" si="1"/>
        <v>1.1367099222901538</v>
      </c>
      <c r="G22" s="58"/>
      <c r="H22" s="58"/>
    </row>
    <row r="23" spans="1:8">
      <c r="A23" s="2"/>
      <c r="B23" s="52" t="s">
        <v>9</v>
      </c>
      <c r="C23" s="2">
        <v>18</v>
      </c>
      <c r="D23" s="53">
        <v>0.31</v>
      </c>
      <c r="E23" s="24">
        <f t="shared" si="2"/>
        <v>1.705392712550607</v>
      </c>
      <c r="F23" s="24">
        <f t="shared" si="1"/>
        <v>1.9471208222393408</v>
      </c>
    </row>
    <row r="24" spans="1:8">
      <c r="A24" s="2"/>
      <c r="B24" s="52" t="s">
        <v>10</v>
      </c>
      <c r="C24" s="2">
        <v>19</v>
      </c>
      <c r="D24" s="53">
        <v>-0.17</v>
      </c>
      <c r="E24" s="24">
        <f t="shared" si="2"/>
        <v>1.7346194331983802</v>
      </c>
      <c r="F24" s="24">
        <f t="shared" si="1"/>
        <v>3.6275751853169189</v>
      </c>
    </row>
    <row r="25" spans="1:8">
      <c r="A25" s="2"/>
      <c r="B25" s="52" t="s">
        <v>11</v>
      </c>
      <c r="C25" s="2">
        <v>20</v>
      </c>
      <c r="D25" s="53">
        <v>-7.0000000000000007E-2</v>
      </c>
      <c r="E25" s="24">
        <f t="shared" si="2"/>
        <v>1.7638461538461536</v>
      </c>
      <c r="F25" s="24">
        <f t="shared" si="1"/>
        <v>3.3629917159763307</v>
      </c>
    </row>
    <row r="26" spans="1:8">
      <c r="A26" s="2"/>
      <c r="B26" s="52" t="s">
        <v>12</v>
      </c>
      <c r="C26" s="2">
        <v>21</v>
      </c>
      <c r="D26" s="53">
        <v>0.3</v>
      </c>
      <c r="E26" s="24">
        <f t="shared" si="2"/>
        <v>1.7930728744939268</v>
      </c>
      <c r="F26" s="24">
        <f t="shared" si="1"/>
        <v>2.2292666085495574</v>
      </c>
    </row>
    <row r="27" spans="1:8">
      <c r="A27" s="2"/>
      <c r="B27" s="52" t="s">
        <v>13</v>
      </c>
      <c r="C27" s="2">
        <v>22</v>
      </c>
      <c r="D27" s="53">
        <v>0.45</v>
      </c>
      <c r="E27" s="24">
        <f t="shared" si="2"/>
        <v>1.8222995951417</v>
      </c>
      <c r="F27" s="24">
        <f t="shared" si="1"/>
        <v>1.8832061788260739</v>
      </c>
    </row>
    <row r="28" spans="1:8">
      <c r="A28" s="2"/>
      <c r="B28" s="52" t="s">
        <v>14</v>
      </c>
      <c r="C28" s="2">
        <v>23</v>
      </c>
      <c r="D28" s="53">
        <v>0.24</v>
      </c>
      <c r="E28" s="24">
        <f t="shared" si="2"/>
        <v>1.8515263157894735</v>
      </c>
      <c r="F28" s="24">
        <f t="shared" si="1"/>
        <v>2.5970170664819938</v>
      </c>
    </row>
    <row r="29" spans="1:8">
      <c r="A29" s="2"/>
      <c r="B29" s="52" t="s">
        <v>15</v>
      </c>
      <c r="C29" s="2">
        <v>24</v>
      </c>
      <c r="D29" s="53">
        <v>0.89</v>
      </c>
      <c r="E29" s="24">
        <f t="shared" si="2"/>
        <v>1.8807530364372469</v>
      </c>
      <c r="F29" s="24">
        <f t="shared" si="1"/>
        <v>0.9815915792096247</v>
      </c>
    </row>
    <row r="30" spans="1:8">
      <c r="A30" s="2">
        <v>2021</v>
      </c>
      <c r="B30" s="52" t="s">
        <v>89</v>
      </c>
      <c r="C30" s="2">
        <v>25</v>
      </c>
      <c r="D30" s="53">
        <v>0.96</v>
      </c>
      <c r="E30" s="24">
        <f t="shared" si="2"/>
        <v>1.9099797570850201</v>
      </c>
      <c r="F30" s="24">
        <f t="shared" si="1"/>
        <v>0.90246153887131386</v>
      </c>
    </row>
    <row r="31" spans="1:8">
      <c r="A31" s="2"/>
      <c r="B31" s="52" t="s">
        <v>5</v>
      </c>
      <c r="C31" s="2">
        <v>26</v>
      </c>
      <c r="D31" s="53">
        <v>0.41</v>
      </c>
      <c r="E31" s="24">
        <f t="shared" si="2"/>
        <v>1.9392064777327933</v>
      </c>
      <c r="F31" s="24">
        <f t="shared" si="1"/>
        <v>2.3384724515399364</v>
      </c>
    </row>
    <row r="32" spans="1:8">
      <c r="A32" s="2"/>
      <c r="B32" s="52" t="s">
        <v>6</v>
      </c>
      <c r="C32" s="2">
        <v>27</v>
      </c>
      <c r="D32" s="53">
        <v>0.47</v>
      </c>
      <c r="E32" s="24">
        <f t="shared" si="2"/>
        <v>1.9684331983805667</v>
      </c>
      <c r="F32" s="24">
        <f t="shared" si="1"/>
        <v>2.2453020500090148</v>
      </c>
    </row>
    <row r="33" spans="1:6">
      <c r="A33" s="2"/>
      <c r="B33" s="52" t="s">
        <v>7</v>
      </c>
      <c r="C33" s="2">
        <v>28</v>
      </c>
      <c r="D33" s="53">
        <v>1.21</v>
      </c>
      <c r="E33" s="24">
        <f t="shared" si="2"/>
        <v>1.9976599190283399</v>
      </c>
      <c r="F33" s="24">
        <f t="shared" si="1"/>
        <v>0.62040814804373112</v>
      </c>
    </row>
    <row r="34" spans="1:6">
      <c r="A34" s="2"/>
      <c r="B34" s="52" t="s">
        <v>8</v>
      </c>
      <c r="C34" s="2">
        <v>29</v>
      </c>
      <c r="D34" s="53">
        <v>1.34</v>
      </c>
      <c r="E34" s="24">
        <f t="shared" si="2"/>
        <v>2.0268866396761132</v>
      </c>
      <c r="F34" s="24">
        <f t="shared" si="1"/>
        <v>0.47181325576554239</v>
      </c>
    </row>
    <row r="35" spans="1:6">
      <c r="A35" s="2"/>
      <c r="B35" s="52" t="s">
        <v>9</v>
      </c>
      <c r="C35" s="2">
        <v>30</v>
      </c>
      <c r="D35" s="53">
        <v>1.91</v>
      </c>
      <c r="E35" s="24">
        <f t="shared" si="2"/>
        <v>2.0561133603238866</v>
      </c>
      <c r="F35" s="24">
        <f t="shared" si="1"/>
        <v>2.1349114065137939E-2</v>
      </c>
    </row>
    <row r="36" spans="1:6">
      <c r="A36" s="2"/>
      <c r="B36" s="52" t="s">
        <v>10</v>
      </c>
      <c r="C36" s="2">
        <v>31</v>
      </c>
      <c r="D36" s="53">
        <v>1.44</v>
      </c>
      <c r="E36" s="24">
        <f t="shared" si="2"/>
        <v>2.08534008097166</v>
      </c>
      <c r="F36" s="24">
        <f t="shared" si="1"/>
        <v>0.4164638201085088</v>
      </c>
    </row>
    <row r="37" spans="1:6">
      <c r="A37" s="2"/>
      <c r="B37" s="52" t="s">
        <v>11</v>
      </c>
      <c r="C37" s="2">
        <v>32</v>
      </c>
      <c r="D37" s="53">
        <v>1.72</v>
      </c>
      <c r="E37" s="24">
        <f t="shared" si="2"/>
        <v>2.114566801619433</v>
      </c>
      <c r="F37" s="24">
        <f t="shared" si="1"/>
        <v>0.15568296094018902</v>
      </c>
    </row>
    <row r="38" spans="1:6">
      <c r="A38" s="2"/>
      <c r="B38" s="52" t="s">
        <v>12</v>
      </c>
      <c r="C38" s="2">
        <v>33</v>
      </c>
      <c r="D38" s="53">
        <v>2.09</v>
      </c>
      <c r="E38" s="24">
        <f t="shared" si="2"/>
        <v>2.1437935222672064</v>
      </c>
      <c r="F38" s="24">
        <f t="shared" si="1"/>
        <v>2.8937430379124495E-3</v>
      </c>
    </row>
    <row r="39" spans="1:6">
      <c r="A39" s="2"/>
      <c r="B39" s="52" t="s">
        <v>13</v>
      </c>
      <c r="C39" s="2">
        <v>34</v>
      </c>
      <c r="D39" s="53">
        <v>2.5</v>
      </c>
      <c r="E39" s="24">
        <f t="shared" si="2"/>
        <v>2.1730202429149799</v>
      </c>
      <c r="F39" s="24">
        <f t="shared" si="1"/>
        <v>0.10691576154337878</v>
      </c>
    </row>
    <row r="40" spans="1:6">
      <c r="A40" s="2"/>
      <c r="B40" s="52" t="s">
        <v>14</v>
      </c>
      <c r="C40" s="2">
        <v>35</v>
      </c>
      <c r="D40" s="53">
        <v>3.35</v>
      </c>
      <c r="E40" s="24">
        <f>$B$53+$B$54*C40</f>
        <v>2.2022469635627528</v>
      </c>
      <c r="F40" s="24">
        <f t="shared" si="1"/>
        <v>1.3173370326509211</v>
      </c>
    </row>
    <row r="41" spans="1:6">
      <c r="A41" s="2"/>
      <c r="B41" s="52" t="s">
        <v>15</v>
      </c>
      <c r="C41" s="2">
        <v>36</v>
      </c>
      <c r="D41" s="53">
        <v>3.3</v>
      </c>
      <c r="E41" s="24">
        <f t="shared" si="2"/>
        <v>2.2314736842105263</v>
      </c>
      <c r="F41" s="24">
        <f t="shared" si="1"/>
        <v>1.1417484875346258</v>
      </c>
    </row>
    <row r="42" spans="1:6">
      <c r="A42" s="2">
        <v>2022</v>
      </c>
      <c r="B42" s="52" t="s">
        <v>89</v>
      </c>
      <c r="C42" s="2">
        <v>37</v>
      </c>
      <c r="D42" s="53">
        <v>3.5</v>
      </c>
      <c r="E42" s="24">
        <f t="shared" si="2"/>
        <v>2.2607004048582997</v>
      </c>
      <c r="F42" s="24">
        <f t="shared" si="1"/>
        <v>1.5358634865183822</v>
      </c>
    </row>
    <row r="43" spans="1:6">
      <c r="A43" s="2"/>
      <c r="B43" s="52" t="s">
        <v>5</v>
      </c>
      <c r="C43" s="2">
        <v>38</v>
      </c>
      <c r="D43" s="53">
        <v>4.9000000000000004</v>
      </c>
      <c r="E43" s="24">
        <f t="shared" si="2"/>
        <v>2.2899271255060727</v>
      </c>
      <c r="F43" s="24">
        <f t="shared" si="1"/>
        <v>6.8124804101689946</v>
      </c>
    </row>
    <row r="44" spans="1:6">
      <c r="A44" s="2"/>
      <c r="B44" s="52" t="s">
        <v>6</v>
      </c>
      <c r="C44" s="2">
        <v>39</v>
      </c>
      <c r="D44" s="53">
        <v>5.79</v>
      </c>
      <c r="E44" s="24">
        <f t="shared" si="2"/>
        <v>2.3191538461538461</v>
      </c>
      <c r="F44" s="24">
        <f t="shared" si="1"/>
        <v>12.04677302366864</v>
      </c>
    </row>
    <row r="45" spans="1:6">
      <c r="A45" s="2"/>
      <c r="B45" s="52" t="s">
        <v>7</v>
      </c>
      <c r="C45" s="2">
        <v>40</v>
      </c>
      <c r="D45" s="2"/>
      <c r="E45" s="24">
        <f t="shared" si="2"/>
        <v>2.3483805668016196</v>
      </c>
      <c r="F45" s="24"/>
    </row>
    <row r="46" spans="1:6">
      <c r="A46" s="2"/>
      <c r="B46" s="52" t="s">
        <v>8</v>
      </c>
      <c r="C46" s="2">
        <v>41</v>
      </c>
      <c r="D46" s="2"/>
      <c r="E46" s="24">
        <f t="shared" si="2"/>
        <v>2.3776072874493925</v>
      </c>
      <c r="F46" s="24"/>
    </row>
    <row r="47" spans="1:6">
      <c r="A47" s="2"/>
      <c r="B47" s="52" t="s">
        <v>9</v>
      </c>
      <c r="C47" s="2">
        <v>42</v>
      </c>
      <c r="D47" s="2"/>
      <c r="E47" s="24">
        <f t="shared" si="2"/>
        <v>2.406834008097166</v>
      </c>
      <c r="F47" s="24"/>
    </row>
    <row r="48" spans="1:6">
      <c r="B48" s="61"/>
    </row>
    <row r="49" spans="1:6">
      <c r="B49" s="61"/>
    </row>
    <row r="50" spans="1:6">
      <c r="B50" s="61"/>
    </row>
    <row r="51" spans="1:6" ht="16.5" thickBot="1">
      <c r="B51" s="61"/>
      <c r="E51" t="s">
        <v>44</v>
      </c>
      <c r="F51" s="29">
        <f>AVERAGE(F6:F44)</f>
        <v>1.4790607474307071</v>
      </c>
    </row>
    <row r="52" spans="1:6">
      <c r="A52" s="62"/>
      <c r="B52" s="62" t="s">
        <v>90</v>
      </c>
    </row>
    <row r="53" spans="1:6">
      <c r="A53" t="s">
        <v>91</v>
      </c>
      <c r="B53" s="29">
        <v>1.1793117408906877</v>
      </c>
    </row>
    <row r="54" spans="1:6" ht="16.5" thickBot="1">
      <c r="A54" s="63" t="s">
        <v>0</v>
      </c>
      <c r="B54" s="64">
        <v>2.9226720647773295E-2</v>
      </c>
    </row>
    <row r="57" spans="1:6">
      <c r="B57" t="s">
        <v>59</v>
      </c>
      <c r="C57" s="29">
        <f>INTERCEPT(D6:D44,C6:C44)</f>
        <v>1.1793117408906879</v>
      </c>
    </row>
    <row r="58" spans="1:6">
      <c r="B58" t="s">
        <v>60</v>
      </c>
      <c r="C58" s="29">
        <f>SLOPE(D6:D44,C6:C44)</f>
        <v>2.9226720647773284E-2</v>
      </c>
    </row>
    <row r="59" spans="1:6">
      <c r="B59" s="73" t="s">
        <v>93</v>
      </c>
      <c r="C59" s="29">
        <f>RSQ(C6:C44,D6:D44)</f>
        <v>6.8167060357873829E-2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D142-5E91-4A1D-B483-EC3F230F0708}">
  <dimension ref="A1:I26"/>
  <sheetViews>
    <sheetView topLeftCell="A16" workbookViewId="0">
      <selection activeCell="B28" sqref="B28"/>
    </sheetView>
  </sheetViews>
  <sheetFormatPr baseColWidth="10" defaultColWidth="9" defaultRowHeight="15.75"/>
  <cols>
    <col min="2" max="2" width="27.25" bestFit="1" customWidth="1"/>
    <col min="3" max="3" width="13.875" customWidth="1"/>
    <col min="4" max="4" width="10.125" customWidth="1"/>
    <col min="5" max="5" width="11.875" customWidth="1"/>
    <col min="6" max="6" width="10.75" customWidth="1"/>
    <col min="7" max="7" width="10.125"/>
    <col min="8" max="8" width="14.625" bestFit="1" customWidth="1"/>
    <col min="9" max="9" width="11" bestFit="1" customWidth="1"/>
  </cols>
  <sheetData>
    <row r="1" spans="1:9" ht="18">
      <c r="A1" s="74"/>
      <c r="B1" s="74"/>
      <c r="C1" s="74"/>
      <c r="D1" s="74"/>
      <c r="E1" s="74"/>
      <c r="F1" s="74" t="s">
        <v>92</v>
      </c>
      <c r="G1" s="74"/>
      <c r="H1" s="74"/>
      <c r="I1" s="58"/>
    </row>
    <row r="2" spans="1:9" ht="60">
      <c r="A2" s="74"/>
      <c r="B2" s="75" t="s">
        <v>55</v>
      </c>
      <c r="C2" s="76" t="s">
        <v>100</v>
      </c>
      <c r="D2" s="76" t="s">
        <v>101</v>
      </c>
      <c r="E2" s="76" t="s">
        <v>102</v>
      </c>
      <c r="F2" s="77" t="s">
        <v>103</v>
      </c>
      <c r="G2" s="77" t="s">
        <v>104</v>
      </c>
      <c r="H2" s="74"/>
      <c r="I2" s="58"/>
    </row>
    <row r="3" spans="1:9">
      <c r="A3" s="74"/>
      <c r="B3" s="75">
        <v>2000</v>
      </c>
      <c r="C3" s="75">
        <v>2838</v>
      </c>
      <c r="D3" s="75">
        <v>7.01</v>
      </c>
      <c r="E3" s="75">
        <v>25620</v>
      </c>
      <c r="F3" s="78">
        <f>$C$21+$C$22*D3+$C$23*E3</f>
        <v>2669.2240148739493</v>
      </c>
      <c r="G3" s="78">
        <f>(C3-F3)^2</f>
        <v>28485.333155268898</v>
      </c>
      <c r="H3" s="74"/>
      <c r="I3" s="58"/>
    </row>
    <row r="4" spans="1:9">
      <c r="A4" s="74"/>
      <c r="B4" s="75">
        <v>2001</v>
      </c>
      <c r="C4" s="75">
        <v>2676</v>
      </c>
      <c r="D4" s="75">
        <v>7.13</v>
      </c>
      <c r="E4" s="75">
        <v>25450</v>
      </c>
      <c r="F4" s="78">
        <f t="shared" ref="F4:F15" si="0">$C$21+$C$22*D4+$C$23*E4</f>
        <v>2591.3579258926602</v>
      </c>
      <c r="G4" s="78">
        <f t="shared" ref="G4:G13" si="1">(C4-F4)^2</f>
        <v>7164.2807091924014</v>
      </c>
      <c r="H4" s="74"/>
      <c r="I4" s="58"/>
    </row>
    <row r="5" spans="1:9">
      <c r="A5" s="74"/>
      <c r="B5" s="75">
        <v>2002</v>
      </c>
      <c r="C5" s="75">
        <v>2599</v>
      </c>
      <c r="D5" s="75">
        <v>6.96</v>
      </c>
      <c r="E5" s="75">
        <v>26081</v>
      </c>
      <c r="F5" s="78">
        <f t="shared" si="0"/>
        <v>2800.7848483933803</v>
      </c>
      <c r="G5" s="78">
        <f t="shared" si="1"/>
        <v>40717.125041139487</v>
      </c>
      <c r="H5" s="74"/>
      <c r="I5" s="58"/>
    </row>
    <row r="6" spans="1:9">
      <c r="A6" s="74"/>
      <c r="B6" s="75">
        <v>2003</v>
      </c>
      <c r="C6" s="75">
        <v>2774</v>
      </c>
      <c r="D6" s="75">
        <v>6.78</v>
      </c>
      <c r="E6" s="75">
        <v>25640</v>
      </c>
      <c r="F6" s="78">
        <f t="shared" si="0"/>
        <v>2740.7744791102086</v>
      </c>
      <c r="G6" s="78">
        <f t="shared" si="1"/>
        <v>1103.9352383979626</v>
      </c>
      <c r="H6" s="74"/>
      <c r="I6" s="58"/>
    </row>
    <row r="7" spans="1:9">
      <c r="A7" s="74"/>
      <c r="B7" s="75">
        <v>2004</v>
      </c>
      <c r="C7" s="75">
        <v>2751</v>
      </c>
      <c r="D7" s="75">
        <v>6.96</v>
      </c>
      <c r="E7" s="75">
        <v>26249</v>
      </c>
      <c r="F7" s="78">
        <f t="shared" si="0"/>
        <v>2843.463004230819</v>
      </c>
      <c r="G7" s="78">
        <f t="shared" si="1"/>
        <v>8549.4071513884574</v>
      </c>
      <c r="H7" s="74"/>
      <c r="I7" s="58"/>
    </row>
    <row r="8" spans="1:9">
      <c r="A8" s="74"/>
      <c r="B8" s="75">
        <v>2005</v>
      </c>
      <c r="C8" s="75">
        <v>2871</v>
      </c>
      <c r="D8" s="75">
        <v>6.81</v>
      </c>
      <c r="E8" s="75">
        <v>26366</v>
      </c>
      <c r="F8" s="78">
        <f t="shared" si="0"/>
        <v>2916.535116156982</v>
      </c>
      <c r="G8" s="78">
        <f t="shared" si="1"/>
        <v>2073.446803429842</v>
      </c>
      <c r="H8" s="74"/>
      <c r="I8" s="58"/>
    </row>
    <row r="9" spans="1:9">
      <c r="A9" s="74"/>
      <c r="B9" s="75">
        <v>2006</v>
      </c>
      <c r="C9" s="75">
        <v>3014</v>
      </c>
      <c r="D9" s="75">
        <v>6.29</v>
      </c>
      <c r="E9" s="75">
        <v>26181</v>
      </c>
      <c r="F9" s="78">
        <f t="shared" si="0"/>
        <v>3019.8177301343931</v>
      </c>
      <c r="G9" s="78">
        <f t="shared" si="1"/>
        <v>33.845983916625087</v>
      </c>
      <c r="H9" s="74"/>
      <c r="I9" s="58"/>
    </row>
    <row r="10" spans="1:9">
      <c r="A10" s="74"/>
      <c r="B10" s="75">
        <v>2007</v>
      </c>
      <c r="C10" s="75">
        <v>3078</v>
      </c>
      <c r="D10" s="75">
        <v>6.07</v>
      </c>
      <c r="E10" s="75">
        <v>26123</v>
      </c>
      <c r="F10" s="78">
        <f t="shared" si="0"/>
        <v>3068.6633479815978</v>
      </c>
      <c r="G10" s="78">
        <f t="shared" si="1"/>
        <v>87.173070912734232</v>
      </c>
      <c r="H10" s="74"/>
      <c r="I10" s="58"/>
    </row>
    <row r="11" spans="1:9">
      <c r="A11" s="74"/>
      <c r="B11" s="75">
        <v>2008</v>
      </c>
      <c r="C11" s="75">
        <v>2939</v>
      </c>
      <c r="D11" s="75">
        <v>5.83</v>
      </c>
      <c r="E11" s="75">
        <v>26179</v>
      </c>
      <c r="F11" s="78">
        <f t="shared" si="0"/>
        <v>3152.2491196475521</v>
      </c>
      <c r="G11" s="78">
        <f t="shared" si="1"/>
        <v>45475.187030455992</v>
      </c>
      <c r="H11" s="74"/>
      <c r="I11" s="58"/>
    </row>
    <row r="12" spans="1:9">
      <c r="A12" s="74"/>
      <c r="B12" s="75">
        <v>2009</v>
      </c>
      <c r="C12" s="75">
        <v>3314</v>
      </c>
      <c r="D12" s="75">
        <v>5.5</v>
      </c>
      <c r="E12" s="75">
        <v>26392</v>
      </c>
      <c r="F12" s="78">
        <f t="shared" si="0"/>
        <v>3301.7285389852145</v>
      </c>
      <c r="G12" s="78">
        <f t="shared" si="1"/>
        <v>150.5887554373997</v>
      </c>
      <c r="H12" s="74"/>
      <c r="I12" s="58"/>
    </row>
    <row r="13" spans="1:9">
      <c r="A13" s="74"/>
      <c r="B13" s="75">
        <v>2010</v>
      </c>
      <c r="C13" s="75">
        <v>3472</v>
      </c>
      <c r="D13" s="75">
        <v>6.01</v>
      </c>
      <c r="E13" s="75">
        <v>26842</v>
      </c>
      <c r="F13" s="78">
        <f t="shared" si="0"/>
        <v>3268.6556234301975</v>
      </c>
      <c r="G13" s="78">
        <f t="shared" si="1"/>
        <v>41348.935482561661</v>
      </c>
      <c r="H13" s="74"/>
      <c r="I13" s="58"/>
    </row>
    <row r="14" spans="1:9">
      <c r="A14" s="74"/>
      <c r="B14" s="75">
        <v>2011</v>
      </c>
      <c r="C14" s="75">
        <v>3347</v>
      </c>
      <c r="D14" s="75">
        <v>5.92</v>
      </c>
      <c r="E14" s="75">
        <v>26862</v>
      </c>
      <c r="F14" s="78">
        <f t="shared" si="0"/>
        <v>3299.7462511630411</v>
      </c>
      <c r="G14" s="78">
        <f>(C14-F14)^2</f>
        <v>2232.9167791463992</v>
      </c>
      <c r="H14" s="74"/>
      <c r="I14" s="58"/>
    </row>
    <row r="15" spans="1:9">
      <c r="A15" s="74"/>
      <c r="B15" s="75">
        <v>2012</v>
      </c>
      <c r="C15" s="74"/>
      <c r="D15" s="75">
        <v>6</v>
      </c>
      <c r="E15" s="75">
        <v>26000</v>
      </c>
      <c r="F15" s="78">
        <f t="shared" si="0"/>
        <v>3057.6467592808949</v>
      </c>
      <c r="G15" s="78"/>
      <c r="H15" s="74"/>
      <c r="I15" s="58"/>
    </row>
    <row r="16" spans="1:9">
      <c r="A16" s="74"/>
      <c r="B16" s="74"/>
      <c r="C16" s="74"/>
      <c r="D16" s="74"/>
      <c r="E16" s="74"/>
      <c r="F16" s="74"/>
      <c r="G16" s="74"/>
      <c r="H16" s="74"/>
      <c r="I16" s="58"/>
    </row>
    <row r="17" spans="1:9">
      <c r="A17" s="74"/>
      <c r="B17" s="74"/>
      <c r="C17" s="74"/>
      <c r="D17" s="74"/>
      <c r="E17" s="74"/>
      <c r="F17" s="74"/>
      <c r="G17" s="74"/>
      <c r="H17" s="74"/>
      <c r="I17" s="58"/>
    </row>
    <row r="18" spans="1:9">
      <c r="A18" s="74"/>
      <c r="B18" s="74"/>
      <c r="C18" s="74"/>
      <c r="D18" s="74"/>
      <c r="E18" s="74"/>
      <c r="F18" s="74"/>
      <c r="G18" s="74"/>
      <c r="H18" s="74"/>
      <c r="I18" s="58"/>
    </row>
    <row r="19" spans="1:9" ht="16.5" thickBot="1">
      <c r="A19" s="74"/>
      <c r="B19" s="74"/>
      <c r="C19" s="74"/>
      <c r="D19" s="74"/>
      <c r="E19" s="74"/>
      <c r="F19" s="74"/>
      <c r="G19" s="66" t="s">
        <v>23</v>
      </c>
      <c r="H19" s="78">
        <f>AVERAGE(G3:G14)</f>
        <v>14785.18126677066</v>
      </c>
      <c r="I19" s="65"/>
    </row>
    <row r="20" spans="1:9">
      <c r="A20" s="74"/>
      <c r="B20" s="62"/>
      <c r="C20" s="62" t="s">
        <v>105</v>
      </c>
      <c r="D20" s="74"/>
      <c r="E20" s="74"/>
      <c r="F20" s="74"/>
      <c r="G20" s="74"/>
      <c r="H20" s="74"/>
      <c r="I20" s="58"/>
    </row>
    <row r="21" spans="1:9">
      <c r="A21" s="74"/>
      <c r="B21" s="74" t="s">
        <v>106</v>
      </c>
      <c r="C21" s="74">
        <v>-1813.3129368430582</v>
      </c>
      <c r="D21" s="74"/>
      <c r="E21" s="74"/>
      <c r="F21" s="74"/>
      <c r="G21" s="74"/>
      <c r="H21" s="74"/>
      <c r="I21" s="58"/>
    </row>
    <row r="22" spans="1:9" ht="18">
      <c r="A22" s="74"/>
      <c r="B22" s="74" t="s">
        <v>107</v>
      </c>
      <c r="C22" s="74">
        <v>-288.99883216725596</v>
      </c>
      <c r="D22" s="74"/>
      <c r="E22" s="74"/>
      <c r="F22" s="74"/>
      <c r="G22" s="74"/>
      <c r="H22" s="74"/>
      <c r="I22" s="58"/>
    </row>
    <row r="23" spans="1:9" ht="18.75" thickBot="1">
      <c r="A23" s="74"/>
      <c r="B23" s="79" t="s">
        <v>108</v>
      </c>
      <c r="C23" s="79">
        <v>0.2540366418895188</v>
      </c>
      <c r="D23" s="74"/>
      <c r="E23" s="74"/>
      <c r="F23" s="74"/>
      <c r="G23" s="74"/>
      <c r="H23" s="74"/>
      <c r="I23" s="58"/>
    </row>
    <row r="24" spans="1:9">
      <c r="I24" s="58"/>
    </row>
    <row r="26" spans="1:9">
      <c r="B26" s="80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Señal de Rastreo</vt:lpstr>
      <vt:lpstr>Promedio movil</vt:lpstr>
      <vt:lpstr>Móvil Doble</vt:lpstr>
      <vt:lpstr>Suavización Exponencial</vt:lpstr>
      <vt:lpstr>Suavizamiento</vt:lpstr>
      <vt:lpstr>Holt</vt:lpstr>
      <vt:lpstr>Winter</vt:lpstr>
      <vt:lpstr>Regrecion lineal</vt:lpstr>
      <vt:lpstr>Regrecion multiple</vt:lpstr>
      <vt:lpstr>Descomposicion de series</vt:lpstr>
    </vt:vector>
  </TitlesOfParts>
  <Company>Leon y Parra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Leon</dc:creator>
  <cp:lastModifiedBy>Erick Vasquez</cp:lastModifiedBy>
  <dcterms:created xsi:type="dcterms:W3CDTF">2012-03-27T18:16:16Z</dcterms:created>
  <dcterms:modified xsi:type="dcterms:W3CDTF">2022-05-29T21:09:06Z</dcterms:modified>
</cp:coreProperties>
</file>