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 Jesús\Desktop\"/>
    </mc:Choice>
  </mc:AlternateContent>
  <xr:revisionPtr revIDLastSave="0" documentId="13_ncr:1_{05026F2A-7F27-49CF-BB3C-8C0318B3D297}" xr6:coauthVersionLast="47" xr6:coauthVersionMax="47" xr10:uidLastSave="{00000000-0000-0000-0000-000000000000}"/>
  <bookViews>
    <workbookView xWindow="-120" yWindow="-120" windowWidth="29040" windowHeight="15720" activeTab="1" xr2:uid="{84BADF28-1CEE-4624-8C44-A2DE63E07CE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2" l="1"/>
  <c r="E26" i="2"/>
  <c r="F26" i="2" s="1"/>
  <c r="C26" i="2"/>
  <c r="C3" i="2"/>
  <c r="D26" i="2"/>
  <c r="E25" i="2"/>
  <c r="E3" i="2"/>
  <c r="D3" i="2"/>
  <c r="D25" i="2"/>
  <c r="C25" i="2"/>
  <c r="G25" i="2" s="1"/>
  <c r="F24" i="3"/>
  <c r="F3" i="3"/>
  <c r="C3" i="3"/>
  <c r="E23" i="3"/>
  <c r="E22" i="3"/>
  <c r="E21" i="3"/>
  <c r="E20" i="3"/>
  <c r="E19" i="3"/>
  <c r="E18" i="3"/>
  <c r="E17" i="3"/>
  <c r="E16" i="3"/>
  <c r="E3" i="3"/>
  <c r="E15" i="3"/>
  <c r="F15" i="3"/>
  <c r="E14" i="3"/>
  <c r="F14" i="3"/>
  <c r="E13" i="3"/>
  <c r="E12" i="3"/>
  <c r="E11" i="3"/>
  <c r="E10" i="3"/>
  <c r="E9" i="3"/>
  <c r="E7" i="3"/>
  <c r="E8" i="3"/>
  <c r="E6" i="3"/>
  <c r="D3" i="3"/>
  <c r="F23" i="3"/>
  <c r="F22" i="3"/>
  <c r="F21" i="3"/>
  <c r="F20" i="3"/>
  <c r="F19" i="3"/>
  <c r="F18" i="3"/>
  <c r="F17" i="3"/>
  <c r="F12" i="3"/>
  <c r="F11" i="3"/>
  <c r="F9" i="3"/>
  <c r="F8" i="3"/>
  <c r="F5" i="3"/>
  <c r="F4" i="3"/>
  <c r="C19" i="2"/>
  <c r="D7" i="2"/>
  <c r="C12" i="2"/>
  <c r="E4" i="2"/>
  <c r="F4" i="2"/>
  <c r="E5" i="2"/>
  <c r="D5" i="2"/>
  <c r="C5" i="2"/>
  <c r="E6" i="2"/>
  <c r="C6" i="2"/>
  <c r="D6" i="2"/>
  <c r="F6" i="2"/>
  <c r="E7" i="2"/>
  <c r="C7" i="2"/>
  <c r="E8" i="2"/>
  <c r="D8" i="2"/>
  <c r="C8" i="2"/>
  <c r="F8" i="2"/>
  <c r="E10" i="2"/>
  <c r="E11" i="2"/>
  <c r="F11" i="2"/>
  <c r="E9" i="2"/>
  <c r="D9" i="2"/>
  <c r="C9" i="2"/>
  <c r="C10" i="2"/>
  <c r="F10" i="2"/>
  <c r="D11" i="2"/>
  <c r="C11" i="2"/>
  <c r="E12" i="2"/>
  <c r="D12" i="2"/>
  <c r="E13" i="2"/>
  <c r="D13" i="2"/>
  <c r="C13" i="2"/>
  <c r="E14" i="2"/>
  <c r="D14" i="2"/>
  <c r="C14" i="2"/>
  <c r="F14" i="2"/>
  <c r="E15" i="2"/>
  <c r="D15" i="2"/>
  <c r="C15" i="2"/>
  <c r="F15" i="2"/>
  <c r="E16" i="2"/>
  <c r="C16" i="2"/>
  <c r="E17" i="2"/>
  <c r="C17" i="2"/>
  <c r="D17" i="2"/>
  <c r="F17" i="2"/>
  <c r="E18" i="2"/>
  <c r="D18" i="2"/>
  <c r="C18" i="2"/>
  <c r="F18" i="2"/>
  <c r="E19" i="2"/>
  <c r="D19" i="2"/>
  <c r="F19" i="2"/>
  <c r="E20" i="2"/>
  <c r="C20" i="2"/>
  <c r="C22" i="2"/>
  <c r="E22" i="2"/>
  <c r="D22" i="2"/>
  <c r="E23" i="2"/>
  <c r="D23" i="2"/>
  <c r="C23" i="2"/>
  <c r="E24" i="2"/>
  <c r="E21" i="2"/>
  <c r="F21" i="2"/>
  <c r="C21" i="2"/>
  <c r="F22" i="2"/>
  <c r="D24" i="2"/>
  <c r="AK3" i="1"/>
  <c r="AJ3" i="1"/>
  <c r="AI3" i="1"/>
  <c r="AG3" i="1"/>
  <c r="AF3" i="1"/>
  <c r="AE3" i="1"/>
  <c r="AC3" i="1"/>
  <c r="AB3" i="1"/>
  <c r="AA3" i="1"/>
  <c r="Y3" i="1"/>
  <c r="X3" i="1"/>
  <c r="W3" i="1"/>
  <c r="U3" i="1"/>
  <c r="T3" i="1"/>
  <c r="S3" i="1"/>
  <c r="H24" i="1"/>
  <c r="G24" i="1"/>
  <c r="F24" i="1"/>
  <c r="H23" i="1"/>
  <c r="G23" i="1"/>
  <c r="F23" i="1"/>
  <c r="H22" i="1"/>
  <c r="G22" i="1"/>
  <c r="F22" i="1"/>
  <c r="I22" i="1"/>
  <c r="H21" i="1"/>
  <c r="G21" i="1"/>
  <c r="F21" i="1"/>
  <c r="H20" i="1"/>
  <c r="G20" i="1"/>
  <c r="F20" i="1"/>
  <c r="I20" i="1"/>
  <c r="H19" i="1"/>
  <c r="G19" i="1"/>
  <c r="F19" i="1"/>
  <c r="H18" i="1"/>
  <c r="G18" i="1"/>
  <c r="F18" i="1"/>
  <c r="I18" i="1"/>
  <c r="H17" i="1"/>
  <c r="I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I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I4" i="1"/>
  <c r="G4" i="1"/>
  <c r="F4" i="1"/>
  <c r="I9" i="1"/>
  <c r="I6" i="1"/>
  <c r="I16" i="1"/>
  <c r="I8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J11" i="1"/>
  <c r="L23" i="1"/>
  <c r="L24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0" i="1"/>
  <c r="J9" i="1"/>
  <c r="J8" i="1"/>
  <c r="J7" i="1"/>
  <c r="J6" i="1"/>
  <c r="L5" i="1"/>
  <c r="L4" i="1"/>
  <c r="K5" i="1"/>
  <c r="K4" i="1"/>
  <c r="J5" i="1"/>
  <c r="J4" i="1"/>
  <c r="F16" i="3"/>
  <c r="F7" i="3"/>
  <c r="F10" i="3"/>
  <c r="F6" i="3"/>
  <c r="F13" i="3"/>
  <c r="F5" i="2"/>
  <c r="F7" i="2"/>
  <c r="F9" i="2"/>
  <c r="F12" i="2"/>
  <c r="F13" i="2"/>
  <c r="F16" i="2"/>
  <c r="F20" i="2"/>
  <c r="F24" i="2"/>
  <c r="F23" i="2"/>
  <c r="G3" i="1"/>
  <c r="H3" i="1"/>
  <c r="I24" i="1"/>
  <c r="I14" i="1"/>
  <c r="I21" i="1"/>
  <c r="F3" i="1"/>
  <c r="I5" i="1"/>
  <c r="I13" i="1"/>
  <c r="I12" i="1"/>
  <c r="I7" i="1"/>
  <c r="I11" i="1"/>
  <c r="I15" i="1"/>
  <c r="I19" i="1"/>
  <c r="I23" i="1"/>
  <c r="O3" i="1"/>
  <c r="P3" i="1"/>
  <c r="Q3" i="1"/>
  <c r="M24" i="1"/>
  <c r="M19" i="1"/>
  <c r="M18" i="1"/>
  <c r="M17" i="1"/>
  <c r="M22" i="1"/>
  <c r="M21" i="1"/>
  <c r="M20" i="1"/>
  <c r="M23" i="1"/>
  <c r="M16" i="1"/>
  <c r="M15" i="1"/>
  <c r="M14" i="1"/>
  <c r="K3" i="1"/>
  <c r="M13" i="1"/>
  <c r="L3" i="1"/>
  <c r="J3" i="1"/>
  <c r="M12" i="1"/>
  <c r="M11" i="1"/>
  <c r="M10" i="1"/>
  <c r="M9" i="1"/>
  <c r="M8" i="1"/>
  <c r="M7" i="1"/>
  <c r="M6" i="1"/>
  <c r="M5" i="1"/>
  <c r="M4" i="1"/>
  <c r="I3" i="1"/>
  <c r="M3" i="1"/>
  <c r="G26" i="2" l="1"/>
  <c r="F3" i="2"/>
  <c r="G3" i="2" s="1"/>
  <c r="F25" i="2"/>
</calcChain>
</file>

<file path=xl/sharedStrings.xml><?xml version="1.0" encoding="utf-8"?>
<sst xmlns="http://schemas.openxmlformats.org/spreadsheetml/2006/main" count="174" uniqueCount="59">
  <si>
    <t>Cristiano Ronaldo</t>
  </si>
  <si>
    <t>Goles</t>
  </si>
  <si>
    <t>Asistencias</t>
  </si>
  <si>
    <t>Partidos</t>
  </si>
  <si>
    <t>Total</t>
  </si>
  <si>
    <t>Temporada 03/04</t>
  </si>
  <si>
    <t>Temporada 04/05</t>
  </si>
  <si>
    <t>Temporada 05/06</t>
  </si>
  <si>
    <t>Equipo</t>
  </si>
  <si>
    <t>Temporada 06/07</t>
  </si>
  <si>
    <t>Temporada 07/08</t>
  </si>
  <si>
    <t>Temporada 08/09</t>
  </si>
  <si>
    <t>Temporada 09/10</t>
  </si>
  <si>
    <t>Temporada 10/11</t>
  </si>
  <si>
    <t>Temporada 11/12</t>
  </si>
  <si>
    <t>Temporada 12/13</t>
  </si>
  <si>
    <t>Temporada 13/14</t>
  </si>
  <si>
    <t>Temporada 14/15</t>
  </si>
  <si>
    <t>Temporada 15/16</t>
  </si>
  <si>
    <t>Temporada 16/17</t>
  </si>
  <si>
    <t>Temporada 17/18</t>
  </si>
  <si>
    <t>Temporada 18/19</t>
  </si>
  <si>
    <t>Temporada 19/20</t>
  </si>
  <si>
    <t>Temporada 20/21</t>
  </si>
  <si>
    <t>Temporada 21/22</t>
  </si>
  <si>
    <t>Temporada 22/23</t>
  </si>
  <si>
    <t>Liga</t>
  </si>
  <si>
    <t>Champions</t>
  </si>
  <si>
    <t>Porcentaje</t>
  </si>
  <si>
    <t>Otros</t>
  </si>
  <si>
    <t>Selección</t>
  </si>
  <si>
    <t>Temporada 02/03</t>
  </si>
  <si>
    <t>Posición</t>
  </si>
  <si>
    <t>MDI</t>
  </si>
  <si>
    <t>Edad</t>
  </si>
  <si>
    <t>-</t>
  </si>
  <si>
    <t>MDD</t>
  </si>
  <si>
    <t>EXD</t>
  </si>
  <si>
    <t xml:space="preserve"> </t>
  </si>
  <si>
    <t>EXI</t>
  </si>
  <si>
    <t>SD</t>
  </si>
  <si>
    <t>Palmares</t>
  </si>
  <si>
    <t>Asistencias T.</t>
  </si>
  <si>
    <t>Goles T.</t>
  </si>
  <si>
    <t>Partidos T.</t>
  </si>
  <si>
    <t>Títulos</t>
  </si>
  <si>
    <t>Amistosos</t>
  </si>
  <si>
    <t>Goles O.</t>
  </si>
  <si>
    <t>Asistencias O.</t>
  </si>
  <si>
    <t>Partidos O.</t>
  </si>
  <si>
    <t xml:space="preserve">Goles </t>
  </si>
  <si>
    <t xml:space="preserve">Asistencias </t>
  </si>
  <si>
    <t xml:space="preserve">Partidos </t>
  </si>
  <si>
    <t>Temporada 23/24</t>
  </si>
  <si>
    <t>Efectividad</t>
  </si>
  <si>
    <t>GOL</t>
  </si>
  <si>
    <t>Messi</t>
  </si>
  <si>
    <t>TEMPORADA 23/24</t>
  </si>
  <si>
    <t>Temporada 24/25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</si>
</sst>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lasassy Caps"/>
    </font>
    <font>
      <sz val="11"/>
      <color theme="0"/>
      <name val="Alasassy Caps"/>
    </font>
    <font>
      <sz val="11"/>
      <color theme="1"/>
      <name val="Agency FB"/>
      <family val="2"/>
    </font>
    <font>
      <sz val="8"/>
      <name val="Calibri"/>
      <family val="2"/>
      <scheme val="minor"/>
    </font>
    <font>
      <sz val="11"/>
      <color theme="1"/>
      <name val="Miriam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16" fontId="1" fillId="2" borderId="0" xfId="0" applyNumberFormat="1" applyFont="1" applyFill="1"/>
    <xf numFmtId="0" fontId="1" fillId="2" borderId="0" xfId="0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0" fontId="4" fillId="2" borderId="0" xfId="0" applyFont="1" applyFill="1"/>
    <xf numFmtId="16" fontId="4" fillId="2" borderId="0" xfId="0" applyNumberFormat="1" applyFont="1" applyFill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9" fontId="5" fillId="0" borderId="0" xfId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9" fontId="7" fillId="0" borderId="0" xfId="1" applyFont="1" applyAlignment="1">
      <alignment horizontal="center"/>
    </xf>
    <xf numFmtId="2" fontId="7" fillId="0" borderId="0" xfId="0" applyNumberFormat="1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1.png"/><Relationship Id="rId47" Type="http://schemas.openxmlformats.org/officeDocument/2006/relationships/image" Target="../media/image46.png"/><Relationship Id="rId63" Type="http://schemas.openxmlformats.org/officeDocument/2006/relationships/image" Target="../media/image62.png"/><Relationship Id="rId68" Type="http://schemas.openxmlformats.org/officeDocument/2006/relationships/image" Target="../media/image67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microsoft.com/office/2007/relationships/hdphoto" Target="../media/hdphoto1.wdp"/><Relationship Id="rId37" Type="http://schemas.openxmlformats.org/officeDocument/2006/relationships/image" Target="../media/image36.png"/><Relationship Id="rId53" Type="http://schemas.openxmlformats.org/officeDocument/2006/relationships/image" Target="../media/image52.jpeg"/><Relationship Id="rId58" Type="http://schemas.openxmlformats.org/officeDocument/2006/relationships/image" Target="../media/image57.png"/><Relationship Id="rId74" Type="http://schemas.openxmlformats.org/officeDocument/2006/relationships/image" Target="../media/image73.png"/><Relationship Id="rId79" Type="http://schemas.openxmlformats.org/officeDocument/2006/relationships/image" Target="../media/image78.png"/><Relationship Id="rId5" Type="http://schemas.openxmlformats.org/officeDocument/2006/relationships/image" Target="../media/image5.png"/><Relationship Id="rId61" Type="http://schemas.openxmlformats.org/officeDocument/2006/relationships/image" Target="../media/image60.png"/><Relationship Id="rId82" Type="http://schemas.openxmlformats.org/officeDocument/2006/relationships/image" Target="../media/image81.png"/><Relationship Id="rId19" Type="http://schemas.openxmlformats.org/officeDocument/2006/relationships/image" Target="../media/image1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jpeg"/><Relationship Id="rId35" Type="http://schemas.openxmlformats.org/officeDocument/2006/relationships/image" Target="../media/image34.png"/><Relationship Id="rId43" Type="http://schemas.openxmlformats.org/officeDocument/2006/relationships/image" Target="../media/image42.png"/><Relationship Id="rId48" Type="http://schemas.openxmlformats.org/officeDocument/2006/relationships/image" Target="../media/image47.png"/><Relationship Id="rId56" Type="http://schemas.openxmlformats.org/officeDocument/2006/relationships/image" Target="../media/image55.png"/><Relationship Id="rId64" Type="http://schemas.openxmlformats.org/officeDocument/2006/relationships/image" Target="../media/image63.png"/><Relationship Id="rId69" Type="http://schemas.openxmlformats.org/officeDocument/2006/relationships/image" Target="../media/image68.png"/><Relationship Id="rId77" Type="http://schemas.openxmlformats.org/officeDocument/2006/relationships/image" Target="../media/image76.png"/><Relationship Id="rId8" Type="http://schemas.openxmlformats.org/officeDocument/2006/relationships/image" Target="../media/image8.png"/><Relationship Id="rId51" Type="http://schemas.openxmlformats.org/officeDocument/2006/relationships/image" Target="../media/image50.png"/><Relationship Id="rId72" Type="http://schemas.openxmlformats.org/officeDocument/2006/relationships/image" Target="../media/image71.png"/><Relationship Id="rId80" Type="http://schemas.openxmlformats.org/officeDocument/2006/relationships/image" Target="../media/image79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2.png"/><Relationship Id="rId38" Type="http://schemas.openxmlformats.org/officeDocument/2006/relationships/image" Target="../media/image37.png"/><Relationship Id="rId46" Type="http://schemas.openxmlformats.org/officeDocument/2006/relationships/image" Target="../media/image45.png"/><Relationship Id="rId59" Type="http://schemas.openxmlformats.org/officeDocument/2006/relationships/image" Target="../media/image58.jpeg"/><Relationship Id="rId67" Type="http://schemas.openxmlformats.org/officeDocument/2006/relationships/image" Target="../media/image66.png"/><Relationship Id="rId20" Type="http://schemas.openxmlformats.org/officeDocument/2006/relationships/image" Target="../media/image20.png"/><Relationship Id="rId41" Type="http://schemas.openxmlformats.org/officeDocument/2006/relationships/image" Target="../media/image40.png"/><Relationship Id="rId54" Type="http://schemas.openxmlformats.org/officeDocument/2006/relationships/image" Target="../media/image53.jpeg"/><Relationship Id="rId62" Type="http://schemas.openxmlformats.org/officeDocument/2006/relationships/image" Target="../media/image61.png"/><Relationship Id="rId70" Type="http://schemas.openxmlformats.org/officeDocument/2006/relationships/image" Target="../media/image69.png"/><Relationship Id="rId75" Type="http://schemas.openxmlformats.org/officeDocument/2006/relationships/image" Target="../media/image7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jpeg"/><Relationship Id="rId23" Type="http://schemas.openxmlformats.org/officeDocument/2006/relationships/image" Target="../media/image23.png"/><Relationship Id="rId28" Type="http://schemas.openxmlformats.org/officeDocument/2006/relationships/image" Target="../media/image28.jpeg"/><Relationship Id="rId36" Type="http://schemas.openxmlformats.org/officeDocument/2006/relationships/image" Target="../media/image35.png"/><Relationship Id="rId49" Type="http://schemas.openxmlformats.org/officeDocument/2006/relationships/image" Target="../media/image48.png"/><Relationship Id="rId57" Type="http://schemas.openxmlformats.org/officeDocument/2006/relationships/image" Target="../media/image56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3.png"/><Relationship Id="rId52" Type="http://schemas.openxmlformats.org/officeDocument/2006/relationships/image" Target="../media/image51.png"/><Relationship Id="rId60" Type="http://schemas.openxmlformats.org/officeDocument/2006/relationships/image" Target="../media/image59.png"/><Relationship Id="rId65" Type="http://schemas.openxmlformats.org/officeDocument/2006/relationships/image" Target="../media/image64.png"/><Relationship Id="rId73" Type="http://schemas.openxmlformats.org/officeDocument/2006/relationships/image" Target="../media/image72.png"/><Relationship Id="rId78" Type="http://schemas.openxmlformats.org/officeDocument/2006/relationships/image" Target="../media/image77.png"/><Relationship Id="rId81" Type="http://schemas.openxmlformats.org/officeDocument/2006/relationships/image" Target="../media/image8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8.png"/><Relationship Id="rId34" Type="http://schemas.openxmlformats.org/officeDocument/2006/relationships/image" Target="../media/image33.png"/><Relationship Id="rId50" Type="http://schemas.openxmlformats.org/officeDocument/2006/relationships/image" Target="../media/image49.png"/><Relationship Id="rId55" Type="http://schemas.openxmlformats.org/officeDocument/2006/relationships/image" Target="../media/image54.jpeg"/><Relationship Id="rId76" Type="http://schemas.openxmlformats.org/officeDocument/2006/relationships/image" Target="../media/image75.png"/><Relationship Id="rId7" Type="http://schemas.openxmlformats.org/officeDocument/2006/relationships/image" Target="../media/image7.png"/><Relationship Id="rId71" Type="http://schemas.openxmlformats.org/officeDocument/2006/relationships/image" Target="../media/image7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39.png"/><Relationship Id="rId45" Type="http://schemas.openxmlformats.org/officeDocument/2006/relationships/image" Target="../media/image44.png"/><Relationship Id="rId66" Type="http://schemas.openxmlformats.org/officeDocument/2006/relationships/image" Target="../media/image6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</xdr:row>
      <xdr:rowOff>0</xdr:rowOff>
    </xdr:from>
    <xdr:to>
      <xdr:col>13</xdr:col>
      <xdr:colOff>142875</xdr:colOff>
      <xdr:row>3</xdr:row>
      <xdr:rowOff>142875</xdr:rowOff>
    </xdr:to>
    <xdr:pic>
      <xdr:nvPicPr>
        <xdr:cNvPr id="4" name="Imagen 3" descr="Sporting de Lisboa">
          <a:extLst>
            <a:ext uri="{FF2B5EF4-FFF2-40B4-BE49-F238E27FC236}">
              <a16:creationId xmlns:a16="http://schemas.microsoft.com/office/drawing/2014/main" id="{F40B5DEB-669C-B151-F93B-0744B0662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571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161925</xdr:colOff>
      <xdr:row>3</xdr:row>
      <xdr:rowOff>161925</xdr:rowOff>
    </xdr:to>
    <xdr:pic>
      <xdr:nvPicPr>
        <xdr:cNvPr id="7" name="Imagen 6" descr="Clasificación UEFA Champions League">
          <a:extLst>
            <a:ext uri="{FF2B5EF4-FFF2-40B4-BE49-F238E27FC236}">
              <a16:creationId xmlns:a16="http://schemas.microsoft.com/office/drawing/2014/main" id="{ED9BBF76-C104-F3F2-8D94-6978E6C7B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571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159293</xdr:colOff>
      <xdr:row>3</xdr:row>
      <xdr:rowOff>162739</xdr:rowOff>
    </xdr:to>
    <xdr:pic>
      <xdr:nvPicPr>
        <xdr:cNvPr id="9" name="Imagen 8" descr="Liga Portugal">
          <a:extLst>
            <a:ext uri="{FF2B5EF4-FFF2-40B4-BE49-F238E27FC236}">
              <a16:creationId xmlns:a16="http://schemas.microsoft.com/office/drawing/2014/main" id="{A7D0599D-0E91-C56F-0963-9D45AC1C4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350" y="571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25</xdr:col>
      <xdr:colOff>161925</xdr:colOff>
      <xdr:row>3</xdr:row>
      <xdr:rowOff>161925</xdr:rowOff>
    </xdr:to>
    <xdr:pic>
      <xdr:nvPicPr>
        <xdr:cNvPr id="10" name="Imagen 9" descr="Taça de Portugal">
          <a:extLst>
            <a:ext uri="{FF2B5EF4-FFF2-40B4-BE49-F238E27FC236}">
              <a16:creationId xmlns:a16="http://schemas.microsoft.com/office/drawing/2014/main" id="{ACE1B3EC-346E-A323-35F1-C0870B9AF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571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129020</xdr:colOff>
      <xdr:row>2</xdr:row>
      <xdr:rowOff>188768</xdr:rowOff>
    </xdr:from>
    <xdr:to>
      <xdr:col>25</xdr:col>
      <xdr:colOff>290945</xdr:colOff>
      <xdr:row>3</xdr:row>
      <xdr:rowOff>160193</xdr:rowOff>
    </xdr:to>
    <xdr:pic>
      <xdr:nvPicPr>
        <xdr:cNvPr id="12" name="Imagen 11" descr="Copa de la UEFA (- 2009)">
          <a:extLst>
            <a:ext uri="{FF2B5EF4-FFF2-40B4-BE49-F238E27FC236}">
              <a16:creationId xmlns:a16="http://schemas.microsoft.com/office/drawing/2014/main" id="{F2FBC468-B5DA-F960-B91A-5DB1CBB57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6236" y="569768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268432</xdr:colOff>
      <xdr:row>3</xdr:row>
      <xdr:rowOff>12989</xdr:rowOff>
    </xdr:from>
    <xdr:to>
      <xdr:col>25</xdr:col>
      <xdr:colOff>430357</xdr:colOff>
      <xdr:row>3</xdr:row>
      <xdr:rowOff>174914</xdr:rowOff>
    </xdr:to>
    <xdr:pic>
      <xdr:nvPicPr>
        <xdr:cNvPr id="14" name="Imagen 13" descr="Supertaça Cândido de Oliveira">
          <a:extLst>
            <a:ext uri="{FF2B5EF4-FFF2-40B4-BE49-F238E27FC236}">
              <a16:creationId xmlns:a16="http://schemas.microsoft.com/office/drawing/2014/main" id="{A5BA3F32-80FC-22B6-0EC2-042EEE32D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5648" y="584489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29</xdr:col>
      <xdr:colOff>142875</xdr:colOff>
      <xdr:row>3</xdr:row>
      <xdr:rowOff>85725</xdr:rowOff>
    </xdr:to>
    <xdr:pic>
      <xdr:nvPicPr>
        <xdr:cNvPr id="16" name="Imagen 15" descr="Portugal">
          <a:extLst>
            <a:ext uri="{FF2B5EF4-FFF2-40B4-BE49-F238E27FC236}">
              <a16:creationId xmlns:a16="http://schemas.microsoft.com/office/drawing/2014/main" id="{58377B39-BDA5-AD2D-489F-3804FDBE1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6350" y="57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142875</xdr:colOff>
      <xdr:row>4</xdr:row>
      <xdr:rowOff>142875</xdr:rowOff>
    </xdr:to>
    <xdr:pic>
      <xdr:nvPicPr>
        <xdr:cNvPr id="18" name="Imagen 17" descr="Manchester United">
          <a:extLst>
            <a:ext uri="{FF2B5EF4-FFF2-40B4-BE49-F238E27FC236}">
              <a16:creationId xmlns:a16="http://schemas.microsoft.com/office/drawing/2014/main" id="{BFA07213-6341-95FC-F1CD-4B763A37D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762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172928</xdr:colOff>
      <xdr:row>4</xdr:row>
      <xdr:rowOff>155356</xdr:rowOff>
    </xdr:to>
    <xdr:pic>
      <xdr:nvPicPr>
        <xdr:cNvPr id="21" name="Imagen 20" descr="UEFA Champions League">
          <a:extLst>
            <a:ext uri="{FF2B5EF4-FFF2-40B4-BE49-F238E27FC236}">
              <a16:creationId xmlns:a16="http://schemas.microsoft.com/office/drawing/2014/main" id="{DE42E79F-990E-BD84-6BAB-335D7ED88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762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4</xdr:row>
      <xdr:rowOff>0</xdr:rowOff>
    </xdr:from>
    <xdr:to>
      <xdr:col>21</xdr:col>
      <xdr:colOff>161925</xdr:colOff>
      <xdr:row>4</xdr:row>
      <xdr:rowOff>161925</xdr:rowOff>
    </xdr:to>
    <xdr:pic>
      <xdr:nvPicPr>
        <xdr:cNvPr id="22" name="Imagen 21" descr="Premier League">
          <a:extLst>
            <a:ext uri="{FF2B5EF4-FFF2-40B4-BE49-F238E27FC236}">
              <a16:creationId xmlns:a16="http://schemas.microsoft.com/office/drawing/2014/main" id="{5A2609FB-7054-760B-CDBC-1AC901513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762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4</xdr:row>
      <xdr:rowOff>0</xdr:rowOff>
    </xdr:from>
    <xdr:to>
      <xdr:col>25</xdr:col>
      <xdr:colOff>161925</xdr:colOff>
      <xdr:row>4</xdr:row>
      <xdr:rowOff>161925</xdr:rowOff>
    </xdr:to>
    <xdr:pic>
      <xdr:nvPicPr>
        <xdr:cNvPr id="23" name="Imagen 22" descr="FA Cup">
          <a:extLst>
            <a:ext uri="{FF2B5EF4-FFF2-40B4-BE49-F238E27FC236}">
              <a16:creationId xmlns:a16="http://schemas.microsoft.com/office/drawing/2014/main" id="{2708E401-F6FC-0957-4A0F-60BD717D0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8350" y="762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155863</xdr:colOff>
      <xdr:row>4</xdr:row>
      <xdr:rowOff>12989</xdr:rowOff>
    </xdr:from>
    <xdr:to>
      <xdr:col>25</xdr:col>
      <xdr:colOff>317788</xdr:colOff>
      <xdr:row>4</xdr:row>
      <xdr:rowOff>174914</xdr:rowOff>
    </xdr:to>
    <xdr:pic>
      <xdr:nvPicPr>
        <xdr:cNvPr id="24" name="Imagen 23" descr="EFL Cup">
          <a:extLst>
            <a:ext uri="{FF2B5EF4-FFF2-40B4-BE49-F238E27FC236}">
              <a16:creationId xmlns:a16="http://schemas.microsoft.com/office/drawing/2014/main" id="{91D133F5-2FD9-4942-4CB6-FF878605B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5079" y="774989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4</xdr:row>
      <xdr:rowOff>0</xdr:rowOff>
    </xdr:from>
    <xdr:to>
      <xdr:col>29</xdr:col>
      <xdr:colOff>142875</xdr:colOff>
      <xdr:row>4</xdr:row>
      <xdr:rowOff>85725</xdr:rowOff>
    </xdr:to>
    <xdr:pic>
      <xdr:nvPicPr>
        <xdr:cNvPr id="25" name="Imagen 24" descr="Portugal">
          <a:extLst>
            <a:ext uri="{FF2B5EF4-FFF2-40B4-BE49-F238E27FC236}">
              <a16:creationId xmlns:a16="http://schemas.microsoft.com/office/drawing/2014/main" id="{DD264F8E-2999-4300-9627-43902729D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7216" y="76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161925</xdr:colOff>
      <xdr:row>5</xdr:row>
      <xdr:rowOff>161925</xdr:rowOff>
    </xdr:to>
    <xdr:pic>
      <xdr:nvPicPr>
        <xdr:cNvPr id="30" name="Imagen 29" descr="UEFA Champions League">
          <a:extLst>
            <a:ext uri="{FF2B5EF4-FFF2-40B4-BE49-F238E27FC236}">
              <a16:creationId xmlns:a16="http://schemas.microsoft.com/office/drawing/2014/main" id="{8FC62EF3-8837-4601-93FA-3A0FC05E1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952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142875</xdr:colOff>
      <xdr:row>5</xdr:row>
      <xdr:rowOff>142875</xdr:rowOff>
    </xdr:to>
    <xdr:pic>
      <xdr:nvPicPr>
        <xdr:cNvPr id="31" name="Imagen 30" descr="Manchester United">
          <a:extLst>
            <a:ext uri="{FF2B5EF4-FFF2-40B4-BE49-F238E27FC236}">
              <a16:creationId xmlns:a16="http://schemas.microsoft.com/office/drawing/2014/main" id="{5B919F10-2A17-4098-B894-FF34DA7A6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952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161925</xdr:colOff>
      <xdr:row>5</xdr:row>
      <xdr:rowOff>161925</xdr:rowOff>
    </xdr:to>
    <xdr:pic>
      <xdr:nvPicPr>
        <xdr:cNvPr id="32" name="Imagen 31" descr="Premier League">
          <a:extLst>
            <a:ext uri="{FF2B5EF4-FFF2-40B4-BE49-F238E27FC236}">
              <a16:creationId xmlns:a16="http://schemas.microsoft.com/office/drawing/2014/main" id="{D0FBE098-74A0-467A-AA63-ABE6332A8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952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5</xdr:row>
      <xdr:rowOff>0</xdr:rowOff>
    </xdr:from>
    <xdr:to>
      <xdr:col>25</xdr:col>
      <xdr:colOff>161925</xdr:colOff>
      <xdr:row>5</xdr:row>
      <xdr:rowOff>161925</xdr:rowOff>
    </xdr:to>
    <xdr:pic>
      <xdr:nvPicPr>
        <xdr:cNvPr id="33" name="Imagen 32" descr="FA Cup">
          <a:extLst>
            <a:ext uri="{FF2B5EF4-FFF2-40B4-BE49-F238E27FC236}">
              <a16:creationId xmlns:a16="http://schemas.microsoft.com/office/drawing/2014/main" id="{4114F757-EF3A-447A-8F51-099399440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8350" y="952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156402</xdr:colOff>
      <xdr:row>5</xdr:row>
      <xdr:rowOff>12326</xdr:rowOff>
    </xdr:from>
    <xdr:to>
      <xdr:col>25</xdr:col>
      <xdr:colOff>318327</xdr:colOff>
      <xdr:row>5</xdr:row>
      <xdr:rowOff>175852</xdr:rowOff>
    </xdr:to>
    <xdr:pic>
      <xdr:nvPicPr>
        <xdr:cNvPr id="34" name="Imagen 33" descr="EFL Cup">
          <a:extLst>
            <a:ext uri="{FF2B5EF4-FFF2-40B4-BE49-F238E27FC236}">
              <a16:creationId xmlns:a16="http://schemas.microsoft.com/office/drawing/2014/main" id="{B12A8D0A-7CE9-495D-BF18-A8A3B0F95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9459" y="972830"/>
          <a:ext cx="161925" cy="163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5</xdr:row>
      <xdr:rowOff>0</xdr:rowOff>
    </xdr:from>
    <xdr:to>
      <xdr:col>29</xdr:col>
      <xdr:colOff>142875</xdr:colOff>
      <xdr:row>5</xdr:row>
      <xdr:rowOff>85725</xdr:rowOff>
    </xdr:to>
    <xdr:pic>
      <xdr:nvPicPr>
        <xdr:cNvPr id="35" name="Imagen 34" descr="Portugal">
          <a:extLst>
            <a:ext uri="{FF2B5EF4-FFF2-40B4-BE49-F238E27FC236}">
              <a16:creationId xmlns:a16="http://schemas.microsoft.com/office/drawing/2014/main" id="{F351C25F-26E3-43A0-ABFD-D25B4BD37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0805" y="968644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142875</xdr:colOff>
      <xdr:row>6</xdr:row>
      <xdr:rowOff>142875</xdr:rowOff>
    </xdr:to>
    <xdr:pic>
      <xdr:nvPicPr>
        <xdr:cNvPr id="40" name="Imagen 39" descr="Manchester United">
          <a:extLst>
            <a:ext uri="{FF2B5EF4-FFF2-40B4-BE49-F238E27FC236}">
              <a16:creationId xmlns:a16="http://schemas.microsoft.com/office/drawing/2014/main" id="{6D9AEA1E-2405-417B-8142-95AA199E5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7969" y="1143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161925</xdr:colOff>
      <xdr:row>6</xdr:row>
      <xdr:rowOff>161925</xdr:rowOff>
    </xdr:to>
    <xdr:pic>
      <xdr:nvPicPr>
        <xdr:cNvPr id="41" name="Imagen 40" descr="UEFA Champions League">
          <a:extLst>
            <a:ext uri="{FF2B5EF4-FFF2-40B4-BE49-F238E27FC236}">
              <a16:creationId xmlns:a16="http://schemas.microsoft.com/office/drawing/2014/main" id="{595A28A0-3128-4FDC-BD85-82ADE6C4A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1143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21</xdr:col>
      <xdr:colOff>161925</xdr:colOff>
      <xdr:row>6</xdr:row>
      <xdr:rowOff>161925</xdr:rowOff>
    </xdr:to>
    <xdr:pic>
      <xdr:nvPicPr>
        <xdr:cNvPr id="42" name="Imagen 41" descr="Premier League">
          <a:extLst>
            <a:ext uri="{FF2B5EF4-FFF2-40B4-BE49-F238E27FC236}">
              <a16:creationId xmlns:a16="http://schemas.microsoft.com/office/drawing/2014/main" id="{4DEEF3D9-E676-4B03-ABB6-8ABC567E0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17969" y="1143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25</xdr:col>
      <xdr:colOff>161925</xdr:colOff>
      <xdr:row>6</xdr:row>
      <xdr:rowOff>161925</xdr:rowOff>
    </xdr:to>
    <xdr:pic>
      <xdr:nvPicPr>
        <xdr:cNvPr id="43" name="Imagen 42" descr="FA Cup">
          <a:extLst>
            <a:ext uri="{FF2B5EF4-FFF2-40B4-BE49-F238E27FC236}">
              <a16:creationId xmlns:a16="http://schemas.microsoft.com/office/drawing/2014/main" id="{889C015F-3295-4216-BB90-D286311B7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5969" y="1143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154781</xdr:colOff>
      <xdr:row>6</xdr:row>
      <xdr:rowOff>17860</xdr:rowOff>
    </xdr:from>
    <xdr:to>
      <xdr:col>25</xdr:col>
      <xdr:colOff>316706</xdr:colOff>
      <xdr:row>6</xdr:row>
      <xdr:rowOff>181386</xdr:rowOff>
    </xdr:to>
    <xdr:pic>
      <xdr:nvPicPr>
        <xdr:cNvPr id="44" name="Imagen 43" descr="EFL Cup">
          <a:extLst>
            <a:ext uri="{FF2B5EF4-FFF2-40B4-BE49-F238E27FC236}">
              <a16:creationId xmlns:a16="http://schemas.microsoft.com/office/drawing/2014/main" id="{071394B2-8D7B-4EDB-8CFB-B0F77D9E8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1160860"/>
          <a:ext cx="161925" cy="163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6</xdr:row>
      <xdr:rowOff>0</xdr:rowOff>
    </xdr:from>
    <xdr:to>
      <xdr:col>29</xdr:col>
      <xdr:colOff>142875</xdr:colOff>
      <xdr:row>6</xdr:row>
      <xdr:rowOff>85725</xdr:rowOff>
    </xdr:to>
    <xdr:pic>
      <xdr:nvPicPr>
        <xdr:cNvPr id="45" name="Imagen 44" descr="Portugal">
          <a:extLst>
            <a:ext uri="{FF2B5EF4-FFF2-40B4-BE49-F238E27FC236}">
              <a16:creationId xmlns:a16="http://schemas.microsoft.com/office/drawing/2014/main" id="{0C946F82-E80F-4B00-8C3C-67481BBE9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3969" y="114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7</xdr:row>
      <xdr:rowOff>0</xdr:rowOff>
    </xdr:from>
    <xdr:to>
      <xdr:col>25</xdr:col>
      <xdr:colOff>161925</xdr:colOff>
      <xdr:row>7</xdr:row>
      <xdr:rowOff>161925</xdr:rowOff>
    </xdr:to>
    <xdr:pic>
      <xdr:nvPicPr>
        <xdr:cNvPr id="47" name="Imagen 46" descr="FA Cup">
          <a:extLst>
            <a:ext uri="{FF2B5EF4-FFF2-40B4-BE49-F238E27FC236}">
              <a16:creationId xmlns:a16="http://schemas.microsoft.com/office/drawing/2014/main" id="{D641283E-A1A5-48AD-9D95-2252ADBEB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5969" y="1333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151210</xdr:colOff>
      <xdr:row>7</xdr:row>
      <xdr:rowOff>21431</xdr:rowOff>
    </xdr:from>
    <xdr:to>
      <xdr:col>25</xdr:col>
      <xdr:colOff>313135</xdr:colOff>
      <xdr:row>7</xdr:row>
      <xdr:rowOff>184957</xdr:rowOff>
    </xdr:to>
    <xdr:pic>
      <xdr:nvPicPr>
        <xdr:cNvPr id="48" name="Imagen 47" descr="EFL Cup">
          <a:extLst>
            <a:ext uri="{FF2B5EF4-FFF2-40B4-BE49-F238E27FC236}">
              <a16:creationId xmlns:a16="http://schemas.microsoft.com/office/drawing/2014/main" id="{FABDE6C7-AB0C-4DCE-90D6-4F3780FC0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1535" y="1354931"/>
          <a:ext cx="161925" cy="163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142875</xdr:colOff>
      <xdr:row>7</xdr:row>
      <xdr:rowOff>142875</xdr:rowOff>
    </xdr:to>
    <xdr:pic>
      <xdr:nvPicPr>
        <xdr:cNvPr id="49" name="Imagen 48" descr="Manchester United">
          <a:extLst>
            <a:ext uri="{FF2B5EF4-FFF2-40B4-BE49-F238E27FC236}">
              <a16:creationId xmlns:a16="http://schemas.microsoft.com/office/drawing/2014/main" id="{6A304B34-F2EE-42FA-8A15-4F5C93DA5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7969" y="1333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161925</xdr:colOff>
      <xdr:row>7</xdr:row>
      <xdr:rowOff>161925</xdr:rowOff>
    </xdr:to>
    <xdr:pic>
      <xdr:nvPicPr>
        <xdr:cNvPr id="50" name="Imagen 49" descr="UEFA Champions League">
          <a:extLst>
            <a:ext uri="{FF2B5EF4-FFF2-40B4-BE49-F238E27FC236}">
              <a16:creationId xmlns:a16="http://schemas.microsoft.com/office/drawing/2014/main" id="{F156AD4B-8E71-46A8-9497-680495F4B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9969" y="1333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161925</xdr:colOff>
      <xdr:row>7</xdr:row>
      <xdr:rowOff>161925</xdr:rowOff>
    </xdr:to>
    <xdr:pic>
      <xdr:nvPicPr>
        <xdr:cNvPr id="51" name="Imagen 50" descr="Premier League">
          <a:extLst>
            <a:ext uri="{FF2B5EF4-FFF2-40B4-BE49-F238E27FC236}">
              <a16:creationId xmlns:a16="http://schemas.microsoft.com/office/drawing/2014/main" id="{232CD15E-FE75-4E28-8A2A-82937997D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17969" y="1333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7</xdr:row>
      <xdr:rowOff>0</xdr:rowOff>
    </xdr:from>
    <xdr:to>
      <xdr:col>29</xdr:col>
      <xdr:colOff>142875</xdr:colOff>
      <xdr:row>7</xdr:row>
      <xdr:rowOff>85725</xdr:rowOff>
    </xdr:to>
    <xdr:pic>
      <xdr:nvPicPr>
        <xdr:cNvPr id="52" name="Imagen 51" descr="Portugal">
          <a:extLst>
            <a:ext uri="{FF2B5EF4-FFF2-40B4-BE49-F238E27FC236}">
              <a16:creationId xmlns:a16="http://schemas.microsoft.com/office/drawing/2014/main" id="{F1CACDED-0208-4E09-892D-9332D8B0E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3969" y="133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728306</xdr:colOff>
      <xdr:row>6</xdr:row>
      <xdr:rowOff>172183</xdr:rowOff>
    </xdr:from>
    <xdr:to>
      <xdr:col>3</xdr:col>
      <xdr:colOff>193685</xdr:colOff>
      <xdr:row>8</xdr:row>
      <xdr:rowOff>17401</xdr:rowOff>
    </xdr:to>
    <xdr:pic>
      <xdr:nvPicPr>
        <xdr:cNvPr id="54" name="Imagen 53" descr="Honour Listings - TheSportsDB.com">
          <a:extLst>
            <a:ext uri="{FF2B5EF4-FFF2-40B4-BE49-F238E27FC236}">
              <a16:creationId xmlns:a16="http://schemas.microsoft.com/office/drawing/2014/main" id="{FB73D2A3-C200-9899-DFFF-B6EEF2932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888" y="1322153"/>
          <a:ext cx="226218" cy="228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223887</xdr:colOff>
      <xdr:row>7</xdr:row>
      <xdr:rowOff>10162</xdr:rowOff>
    </xdr:from>
    <xdr:to>
      <xdr:col>3</xdr:col>
      <xdr:colOff>406576</xdr:colOff>
      <xdr:row>8</xdr:row>
      <xdr:rowOff>698</xdr:rowOff>
    </xdr:to>
    <xdr:pic>
      <xdr:nvPicPr>
        <xdr:cNvPr id="56" name="Imagen 55" descr="Honour Listings - TheSportsDB.com">
          <a:extLst>
            <a:ext uri="{FF2B5EF4-FFF2-40B4-BE49-F238E27FC236}">
              <a16:creationId xmlns:a16="http://schemas.microsoft.com/office/drawing/2014/main" id="{6BA86382-8B18-48EF-9862-B96692A60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3308" y="1351793"/>
          <a:ext cx="182689" cy="182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161925</xdr:colOff>
      <xdr:row>8</xdr:row>
      <xdr:rowOff>161925</xdr:rowOff>
    </xdr:to>
    <xdr:pic>
      <xdr:nvPicPr>
        <xdr:cNvPr id="57" name="Imagen 56" descr="UEFA Champions League">
          <a:extLst>
            <a:ext uri="{FF2B5EF4-FFF2-40B4-BE49-F238E27FC236}">
              <a16:creationId xmlns:a16="http://schemas.microsoft.com/office/drawing/2014/main" id="{608DDAFB-F1CF-421B-9FC9-75696DB75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1524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142875</xdr:colOff>
      <xdr:row>8</xdr:row>
      <xdr:rowOff>142875</xdr:rowOff>
    </xdr:to>
    <xdr:pic>
      <xdr:nvPicPr>
        <xdr:cNvPr id="59" name="Imagen 58" descr="Manchester United">
          <a:extLst>
            <a:ext uri="{FF2B5EF4-FFF2-40B4-BE49-F238E27FC236}">
              <a16:creationId xmlns:a16="http://schemas.microsoft.com/office/drawing/2014/main" id="{7FD21069-474A-41B9-9F97-AAB148172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1524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8</xdr:row>
      <xdr:rowOff>0</xdr:rowOff>
    </xdr:from>
    <xdr:to>
      <xdr:col>21</xdr:col>
      <xdr:colOff>161925</xdr:colOff>
      <xdr:row>8</xdr:row>
      <xdr:rowOff>161925</xdr:rowOff>
    </xdr:to>
    <xdr:pic>
      <xdr:nvPicPr>
        <xdr:cNvPr id="60" name="Imagen 59" descr="Premier League">
          <a:extLst>
            <a:ext uri="{FF2B5EF4-FFF2-40B4-BE49-F238E27FC236}">
              <a16:creationId xmlns:a16="http://schemas.microsoft.com/office/drawing/2014/main" id="{0FF0D4C9-3770-4630-AA2E-F72D128BC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524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8</xdr:row>
      <xdr:rowOff>0</xdr:rowOff>
    </xdr:from>
    <xdr:to>
      <xdr:col>25</xdr:col>
      <xdr:colOff>161925</xdr:colOff>
      <xdr:row>8</xdr:row>
      <xdr:rowOff>161925</xdr:rowOff>
    </xdr:to>
    <xdr:pic>
      <xdr:nvPicPr>
        <xdr:cNvPr id="61" name="Imagen 60" descr="FA Cup">
          <a:extLst>
            <a:ext uri="{FF2B5EF4-FFF2-40B4-BE49-F238E27FC236}">
              <a16:creationId xmlns:a16="http://schemas.microsoft.com/office/drawing/2014/main" id="{C389E6AD-6F5D-4D10-8262-497BB0D82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8350" y="1524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152400</xdr:colOff>
      <xdr:row>8</xdr:row>
      <xdr:rowOff>0</xdr:rowOff>
    </xdr:from>
    <xdr:to>
      <xdr:col>25</xdr:col>
      <xdr:colOff>314325</xdr:colOff>
      <xdr:row>8</xdr:row>
      <xdr:rowOff>161925</xdr:rowOff>
    </xdr:to>
    <xdr:pic>
      <xdr:nvPicPr>
        <xdr:cNvPr id="63" name="Imagen 62" descr="Community Shield">
          <a:extLst>
            <a:ext uri="{FF2B5EF4-FFF2-40B4-BE49-F238E27FC236}">
              <a16:creationId xmlns:a16="http://schemas.microsoft.com/office/drawing/2014/main" id="{F255BC5E-C122-19E7-BF5E-01EA129E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1524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8</xdr:row>
      <xdr:rowOff>0</xdr:rowOff>
    </xdr:from>
    <xdr:to>
      <xdr:col>29</xdr:col>
      <xdr:colOff>142875</xdr:colOff>
      <xdr:row>8</xdr:row>
      <xdr:rowOff>85725</xdr:rowOff>
    </xdr:to>
    <xdr:pic>
      <xdr:nvPicPr>
        <xdr:cNvPr id="64" name="Imagen 63" descr="Portugal">
          <a:extLst>
            <a:ext uri="{FF2B5EF4-FFF2-40B4-BE49-F238E27FC236}">
              <a16:creationId xmlns:a16="http://schemas.microsoft.com/office/drawing/2014/main" id="{0FA60D56-B76D-4E99-8A2C-75AFCA78A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6350" y="152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1027941</xdr:colOff>
      <xdr:row>8</xdr:row>
      <xdr:rowOff>7802</xdr:rowOff>
    </xdr:from>
    <xdr:to>
      <xdr:col>3</xdr:col>
      <xdr:colOff>1210630</xdr:colOff>
      <xdr:row>9</xdr:row>
      <xdr:rowOff>911</xdr:rowOff>
    </xdr:to>
    <xdr:pic>
      <xdr:nvPicPr>
        <xdr:cNvPr id="71" name="Imagen 70" descr="Honour Listings - TheSportsDB.com">
          <a:extLst>
            <a:ext uri="{FF2B5EF4-FFF2-40B4-BE49-F238E27FC236}">
              <a16:creationId xmlns:a16="http://schemas.microsoft.com/office/drawing/2014/main" id="{EEAE2224-3298-43E7-A50E-DE15311E3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7362" y="1541095"/>
          <a:ext cx="182689" cy="184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949044</xdr:colOff>
      <xdr:row>8</xdr:row>
      <xdr:rowOff>7804</xdr:rowOff>
    </xdr:from>
    <xdr:to>
      <xdr:col>3</xdr:col>
      <xdr:colOff>1132284</xdr:colOff>
      <xdr:row>9</xdr:row>
      <xdr:rowOff>913</xdr:rowOff>
    </xdr:to>
    <xdr:pic>
      <xdr:nvPicPr>
        <xdr:cNvPr id="72" name="Imagen 71" descr="Honour Listings - TheSportsDB.com">
          <a:extLst>
            <a:ext uri="{FF2B5EF4-FFF2-40B4-BE49-F238E27FC236}">
              <a16:creationId xmlns:a16="http://schemas.microsoft.com/office/drawing/2014/main" id="{146FA9A9-5BC2-420D-9F6E-D6C00596C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8465" y="1541097"/>
          <a:ext cx="183240" cy="184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558126</xdr:colOff>
      <xdr:row>7</xdr:row>
      <xdr:rowOff>175397</xdr:rowOff>
    </xdr:from>
    <xdr:to>
      <xdr:col>3</xdr:col>
      <xdr:colOff>784344</xdr:colOff>
      <xdr:row>9</xdr:row>
      <xdr:rowOff>20615</xdr:rowOff>
    </xdr:to>
    <xdr:pic>
      <xdr:nvPicPr>
        <xdr:cNvPr id="74" name="Imagen 73" descr="Honour Listings - TheSportsDB.com">
          <a:extLst>
            <a:ext uri="{FF2B5EF4-FFF2-40B4-BE49-F238E27FC236}">
              <a16:creationId xmlns:a16="http://schemas.microsoft.com/office/drawing/2014/main" id="{6476D7F9-4509-4928-B86A-B345CE103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47" y="1517028"/>
          <a:ext cx="226218" cy="228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323724</xdr:colOff>
      <xdr:row>8</xdr:row>
      <xdr:rowOff>16821</xdr:rowOff>
    </xdr:from>
    <xdr:to>
      <xdr:col>3</xdr:col>
      <xdr:colOff>444285</xdr:colOff>
      <xdr:row>9</xdr:row>
      <xdr:rowOff>318</xdr:rowOff>
    </xdr:to>
    <xdr:pic>
      <xdr:nvPicPr>
        <xdr:cNvPr id="75" name="Imagen 74" descr="Réplica bota de oro">
          <a:extLst>
            <a:ext uri="{FF2B5EF4-FFF2-40B4-BE49-F238E27FC236}">
              <a16:creationId xmlns:a16="http://schemas.microsoft.com/office/drawing/2014/main" id="{810C3852-54E1-42AD-AC9F-F81A1ADF7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3145" y="1550114"/>
          <a:ext cx="120561" cy="173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10088</xdr:colOff>
      <xdr:row>8</xdr:row>
      <xdr:rowOff>5356</xdr:rowOff>
    </xdr:from>
    <xdr:to>
      <xdr:col>3</xdr:col>
      <xdr:colOff>180767</xdr:colOff>
      <xdr:row>8</xdr:row>
      <xdr:rowOff>175542</xdr:rowOff>
    </xdr:to>
    <xdr:pic>
      <xdr:nvPicPr>
        <xdr:cNvPr id="78" name="Imagen 77" descr="Mejor Jugador en Europa UEFA">
          <a:extLst>
            <a:ext uri="{FF2B5EF4-FFF2-40B4-BE49-F238E27FC236}">
              <a16:creationId xmlns:a16="http://schemas.microsoft.com/office/drawing/2014/main" id="{78C82F3D-2C69-A8D0-BC48-182EE3E5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509" y="1538649"/>
          <a:ext cx="170679" cy="170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836319</xdr:colOff>
      <xdr:row>8</xdr:row>
      <xdr:rowOff>7206</xdr:rowOff>
    </xdr:from>
    <xdr:to>
      <xdr:col>3</xdr:col>
      <xdr:colOff>1004275</xdr:colOff>
      <xdr:row>8</xdr:row>
      <xdr:rowOff>184018</xdr:rowOff>
    </xdr:to>
    <xdr:pic>
      <xdr:nvPicPr>
        <xdr:cNvPr id="79" name="Imagen 78" descr="Ganador Ballon d'Or">
          <a:extLst>
            <a:ext uri="{FF2B5EF4-FFF2-40B4-BE49-F238E27FC236}">
              <a16:creationId xmlns:a16="http://schemas.microsoft.com/office/drawing/2014/main" id="{3FBE1D28-762F-309E-1333-848AD4DC8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5740" y="1540499"/>
          <a:ext cx="167956" cy="176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450299</xdr:colOff>
      <xdr:row>8</xdr:row>
      <xdr:rowOff>10712</xdr:rowOff>
    </xdr:from>
    <xdr:to>
      <xdr:col>3</xdr:col>
      <xdr:colOff>570860</xdr:colOff>
      <xdr:row>8</xdr:row>
      <xdr:rowOff>184709</xdr:rowOff>
    </xdr:to>
    <xdr:pic>
      <xdr:nvPicPr>
        <xdr:cNvPr id="80" name="Imagen 79" descr="Réplica bota de oro">
          <a:extLst>
            <a:ext uri="{FF2B5EF4-FFF2-40B4-BE49-F238E27FC236}">
              <a16:creationId xmlns:a16="http://schemas.microsoft.com/office/drawing/2014/main" id="{2A4D552F-99EF-4AE2-9A1D-4BE7A0E1C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720" y="1544005"/>
          <a:ext cx="120561" cy="173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7808</xdr:colOff>
      <xdr:row>5</xdr:row>
      <xdr:rowOff>0</xdr:rowOff>
    </xdr:from>
    <xdr:to>
      <xdr:col>3</xdr:col>
      <xdr:colOff>128369</xdr:colOff>
      <xdr:row>5</xdr:row>
      <xdr:rowOff>173997</xdr:rowOff>
    </xdr:to>
    <xdr:pic>
      <xdr:nvPicPr>
        <xdr:cNvPr id="81" name="Imagen 80" descr="Réplica bota de oro">
          <a:extLst>
            <a:ext uri="{FF2B5EF4-FFF2-40B4-BE49-F238E27FC236}">
              <a16:creationId xmlns:a16="http://schemas.microsoft.com/office/drawing/2014/main" id="{6CDB0739-83FE-4CEE-99C1-88B007FF4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6753" y="956404"/>
          <a:ext cx="120561" cy="173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9</xdr:row>
      <xdr:rowOff>0</xdr:rowOff>
    </xdr:from>
    <xdr:to>
      <xdr:col>29</xdr:col>
      <xdr:colOff>112165</xdr:colOff>
      <xdr:row>9</xdr:row>
      <xdr:rowOff>100505</xdr:rowOff>
    </xdr:to>
    <xdr:pic>
      <xdr:nvPicPr>
        <xdr:cNvPr id="82" name="Imagen 81" descr="Portugal">
          <a:extLst>
            <a:ext uri="{FF2B5EF4-FFF2-40B4-BE49-F238E27FC236}">
              <a16:creationId xmlns:a16="http://schemas.microsoft.com/office/drawing/2014/main" id="{7718F2D3-9AAD-4B5B-9EDA-A2F2DFA75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78325" y="1714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9</xdr:row>
      <xdr:rowOff>0</xdr:rowOff>
    </xdr:from>
    <xdr:to>
      <xdr:col>21</xdr:col>
      <xdr:colOff>179497</xdr:colOff>
      <xdr:row>9</xdr:row>
      <xdr:rowOff>147145</xdr:rowOff>
    </xdr:to>
    <xdr:pic>
      <xdr:nvPicPr>
        <xdr:cNvPr id="84" name="Imagen 83" descr="Premier League">
          <a:extLst>
            <a:ext uri="{FF2B5EF4-FFF2-40B4-BE49-F238E27FC236}">
              <a16:creationId xmlns:a16="http://schemas.microsoft.com/office/drawing/2014/main" id="{442AA9EE-08F8-4E3A-971C-53F39B8A9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714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161925</xdr:colOff>
      <xdr:row>9</xdr:row>
      <xdr:rowOff>161925</xdr:rowOff>
    </xdr:to>
    <xdr:pic>
      <xdr:nvPicPr>
        <xdr:cNvPr id="85" name="Imagen 84" descr="UEFA Champions League">
          <a:extLst>
            <a:ext uri="{FF2B5EF4-FFF2-40B4-BE49-F238E27FC236}">
              <a16:creationId xmlns:a16="http://schemas.microsoft.com/office/drawing/2014/main" id="{ACDD63D0-BF0A-44D7-975B-DB30E211B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1714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142875</xdr:colOff>
      <xdr:row>9</xdr:row>
      <xdr:rowOff>142875</xdr:rowOff>
    </xdr:to>
    <xdr:pic>
      <xdr:nvPicPr>
        <xdr:cNvPr id="86" name="Imagen 85" descr="Manchester United">
          <a:extLst>
            <a:ext uri="{FF2B5EF4-FFF2-40B4-BE49-F238E27FC236}">
              <a16:creationId xmlns:a16="http://schemas.microsoft.com/office/drawing/2014/main" id="{C8F0BA7B-B1A1-466D-B1D9-3BDFE209D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2325" y="1714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9</xdr:row>
      <xdr:rowOff>0</xdr:rowOff>
    </xdr:from>
    <xdr:to>
      <xdr:col>25</xdr:col>
      <xdr:colOff>161925</xdr:colOff>
      <xdr:row>9</xdr:row>
      <xdr:rowOff>161925</xdr:rowOff>
    </xdr:to>
    <xdr:pic>
      <xdr:nvPicPr>
        <xdr:cNvPr id="87" name="Imagen 86" descr="Mundial de Clubes">
          <a:extLst>
            <a:ext uri="{FF2B5EF4-FFF2-40B4-BE49-F238E27FC236}">
              <a16:creationId xmlns:a16="http://schemas.microsoft.com/office/drawing/2014/main" id="{F155EAF3-510E-3814-F27B-D66ACA049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0325" y="1714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142875</xdr:colOff>
      <xdr:row>9</xdr:row>
      <xdr:rowOff>0</xdr:rowOff>
    </xdr:from>
    <xdr:to>
      <xdr:col>25</xdr:col>
      <xdr:colOff>304800</xdr:colOff>
      <xdr:row>9</xdr:row>
      <xdr:rowOff>161925</xdr:rowOff>
    </xdr:to>
    <xdr:pic>
      <xdr:nvPicPr>
        <xdr:cNvPr id="88" name="Imagen 87" descr="FA Cup">
          <a:extLst>
            <a:ext uri="{FF2B5EF4-FFF2-40B4-BE49-F238E27FC236}">
              <a16:creationId xmlns:a16="http://schemas.microsoft.com/office/drawing/2014/main" id="{85A20593-3BFC-4310-A3CA-5D8467C9E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73200" y="1714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285750</xdr:colOff>
      <xdr:row>9</xdr:row>
      <xdr:rowOff>9525</xdr:rowOff>
    </xdr:from>
    <xdr:to>
      <xdr:col>25</xdr:col>
      <xdr:colOff>447675</xdr:colOff>
      <xdr:row>9</xdr:row>
      <xdr:rowOff>173051</xdr:rowOff>
    </xdr:to>
    <xdr:pic>
      <xdr:nvPicPr>
        <xdr:cNvPr id="89" name="Imagen 88" descr="EFL Cup">
          <a:extLst>
            <a:ext uri="{FF2B5EF4-FFF2-40B4-BE49-F238E27FC236}">
              <a16:creationId xmlns:a16="http://schemas.microsoft.com/office/drawing/2014/main" id="{2C2DA9C5-6708-4AEF-9009-888A06464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16075" y="1724025"/>
          <a:ext cx="161925" cy="163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235953</xdr:colOff>
      <xdr:row>8</xdr:row>
      <xdr:rowOff>172223</xdr:rowOff>
    </xdr:from>
    <xdr:to>
      <xdr:col>3</xdr:col>
      <xdr:colOff>462171</xdr:colOff>
      <xdr:row>10</xdr:row>
      <xdr:rowOff>17441</xdr:rowOff>
    </xdr:to>
    <xdr:pic>
      <xdr:nvPicPr>
        <xdr:cNvPr id="93" name="Imagen 92" descr="Honour Listings - TheSportsDB.com">
          <a:extLst>
            <a:ext uri="{FF2B5EF4-FFF2-40B4-BE49-F238E27FC236}">
              <a16:creationId xmlns:a16="http://schemas.microsoft.com/office/drawing/2014/main" id="{D6C78FEB-8BD2-4721-A4FE-5340FD945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5374" y="1705516"/>
          <a:ext cx="226218" cy="228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47179</xdr:colOff>
      <xdr:row>9</xdr:row>
      <xdr:rowOff>37767</xdr:rowOff>
    </xdr:from>
    <xdr:to>
      <xdr:col>3</xdr:col>
      <xdr:colOff>254654</xdr:colOff>
      <xdr:row>10</xdr:row>
      <xdr:rowOff>3832</xdr:rowOff>
    </xdr:to>
    <xdr:pic>
      <xdr:nvPicPr>
        <xdr:cNvPr id="94" name="Imagen 93" descr="La FIFA premiará el gol más bonito del año">
          <a:extLst>
            <a:ext uri="{FF2B5EF4-FFF2-40B4-BE49-F238E27FC236}">
              <a16:creationId xmlns:a16="http://schemas.microsoft.com/office/drawing/2014/main" id="{35DEC823-099D-0C4D-7883-8BDBF0456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6600" y="1762721"/>
          <a:ext cx="207475" cy="157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142875</xdr:colOff>
      <xdr:row>10</xdr:row>
      <xdr:rowOff>142875</xdr:rowOff>
    </xdr:to>
    <xdr:pic>
      <xdr:nvPicPr>
        <xdr:cNvPr id="95" name="Imagen 94" descr="Real Madrid CF">
          <a:extLst>
            <a:ext uri="{FF2B5EF4-FFF2-40B4-BE49-F238E27FC236}">
              <a16:creationId xmlns:a16="http://schemas.microsoft.com/office/drawing/2014/main" id="{A475DAF8-6FB5-E43C-102F-B29BB690A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23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161925</xdr:colOff>
      <xdr:row>10</xdr:row>
      <xdr:rowOff>161925</xdr:rowOff>
    </xdr:to>
    <xdr:pic>
      <xdr:nvPicPr>
        <xdr:cNvPr id="96" name="Imagen 95" descr="UEFA Champions League">
          <a:extLst>
            <a:ext uri="{FF2B5EF4-FFF2-40B4-BE49-F238E27FC236}">
              <a16:creationId xmlns:a16="http://schemas.microsoft.com/office/drawing/2014/main" id="{FFC37F5B-B74F-4B26-AAC7-607104B1F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9768" y="1905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21</xdr:col>
      <xdr:colOff>161925</xdr:colOff>
      <xdr:row>10</xdr:row>
      <xdr:rowOff>161925</xdr:rowOff>
    </xdr:to>
    <xdr:pic>
      <xdr:nvPicPr>
        <xdr:cNvPr id="97" name="Imagen 96" descr="LaLiga">
          <a:extLst>
            <a:ext uri="{FF2B5EF4-FFF2-40B4-BE49-F238E27FC236}">
              <a16:creationId xmlns:a16="http://schemas.microsoft.com/office/drawing/2014/main" id="{7477DE62-B270-87FE-438C-36149F956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905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161925</xdr:colOff>
      <xdr:row>10</xdr:row>
      <xdr:rowOff>161925</xdr:rowOff>
    </xdr:to>
    <xdr:pic>
      <xdr:nvPicPr>
        <xdr:cNvPr id="99" name="Imagen 98" descr="Copa del Rey">
          <a:extLst>
            <a:ext uri="{FF2B5EF4-FFF2-40B4-BE49-F238E27FC236}">
              <a16:creationId xmlns:a16="http://schemas.microsoft.com/office/drawing/2014/main" id="{8889C4A5-A920-1C0B-61EC-59B100BAD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0325" y="1905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10</xdr:row>
      <xdr:rowOff>0</xdr:rowOff>
    </xdr:from>
    <xdr:to>
      <xdr:col>29</xdr:col>
      <xdr:colOff>142875</xdr:colOff>
      <xdr:row>10</xdr:row>
      <xdr:rowOff>85725</xdr:rowOff>
    </xdr:to>
    <xdr:pic>
      <xdr:nvPicPr>
        <xdr:cNvPr id="100" name="Imagen 99" descr="Portugal">
          <a:extLst>
            <a:ext uri="{FF2B5EF4-FFF2-40B4-BE49-F238E27FC236}">
              <a16:creationId xmlns:a16="http://schemas.microsoft.com/office/drawing/2014/main" id="{C18E78EA-1698-4323-AF07-5D58D0D4E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83768" y="190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170094</xdr:colOff>
      <xdr:row>10</xdr:row>
      <xdr:rowOff>0</xdr:rowOff>
    </xdr:from>
    <xdr:to>
      <xdr:col>29</xdr:col>
      <xdr:colOff>332019</xdr:colOff>
      <xdr:row>10</xdr:row>
      <xdr:rowOff>161925</xdr:rowOff>
    </xdr:to>
    <xdr:pic>
      <xdr:nvPicPr>
        <xdr:cNvPr id="101" name="Imagen 100" descr="Copa Mundial 2010">
          <a:extLst>
            <a:ext uri="{FF2B5EF4-FFF2-40B4-BE49-F238E27FC236}">
              <a16:creationId xmlns:a16="http://schemas.microsoft.com/office/drawing/2014/main" id="{457FE418-846E-2506-10F2-8474B042A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53862" y="1905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156487</xdr:colOff>
      <xdr:row>8</xdr:row>
      <xdr:rowOff>0</xdr:rowOff>
    </xdr:from>
    <xdr:to>
      <xdr:col>29</xdr:col>
      <xdr:colOff>318412</xdr:colOff>
      <xdr:row>8</xdr:row>
      <xdr:rowOff>161925</xdr:rowOff>
    </xdr:to>
    <xdr:pic>
      <xdr:nvPicPr>
        <xdr:cNvPr id="102" name="Imagen 101" descr="Eurocopa 2008">
          <a:extLst>
            <a:ext uri="{FF2B5EF4-FFF2-40B4-BE49-F238E27FC236}">
              <a16:creationId xmlns:a16="http://schemas.microsoft.com/office/drawing/2014/main" id="{4F7CF237-CABD-1003-F3BD-483B83A70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5" y="1524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183698</xdr:colOff>
      <xdr:row>6</xdr:row>
      <xdr:rowOff>0</xdr:rowOff>
    </xdr:from>
    <xdr:to>
      <xdr:col>29</xdr:col>
      <xdr:colOff>345623</xdr:colOff>
      <xdr:row>6</xdr:row>
      <xdr:rowOff>161925</xdr:rowOff>
    </xdr:to>
    <xdr:pic>
      <xdr:nvPicPr>
        <xdr:cNvPr id="103" name="Imagen 102" descr="Copa Mundial 2006">
          <a:extLst>
            <a:ext uri="{FF2B5EF4-FFF2-40B4-BE49-F238E27FC236}">
              <a16:creationId xmlns:a16="http://schemas.microsoft.com/office/drawing/2014/main" id="{451802F2-1E5C-2670-3325-665305DA5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7466" y="1143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176896</xdr:colOff>
      <xdr:row>4</xdr:row>
      <xdr:rowOff>0</xdr:rowOff>
    </xdr:from>
    <xdr:to>
      <xdr:col>29</xdr:col>
      <xdr:colOff>338821</xdr:colOff>
      <xdr:row>4</xdr:row>
      <xdr:rowOff>161925</xdr:rowOff>
    </xdr:to>
    <xdr:pic>
      <xdr:nvPicPr>
        <xdr:cNvPr id="104" name="Imagen 103" descr="Eurocopa 2004">
          <a:extLst>
            <a:ext uri="{FF2B5EF4-FFF2-40B4-BE49-F238E27FC236}">
              <a16:creationId xmlns:a16="http://schemas.microsoft.com/office/drawing/2014/main" id="{5EAA344C-0860-C692-FF04-C4B834C5F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0664" y="762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142875</xdr:colOff>
      <xdr:row>11</xdr:row>
      <xdr:rowOff>142875</xdr:rowOff>
    </xdr:to>
    <xdr:pic>
      <xdr:nvPicPr>
        <xdr:cNvPr id="109" name="Imagen 108" descr="Real Madrid CF">
          <a:extLst>
            <a:ext uri="{FF2B5EF4-FFF2-40B4-BE49-F238E27FC236}">
              <a16:creationId xmlns:a16="http://schemas.microsoft.com/office/drawing/2014/main" id="{A52D0017-0497-4A98-A889-9ACB0B88D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5809" y="2080092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161925</xdr:colOff>
      <xdr:row>11</xdr:row>
      <xdr:rowOff>161925</xdr:rowOff>
    </xdr:to>
    <xdr:pic>
      <xdr:nvPicPr>
        <xdr:cNvPr id="110" name="Imagen 109" descr="UEFA Champions League">
          <a:extLst>
            <a:ext uri="{FF2B5EF4-FFF2-40B4-BE49-F238E27FC236}">
              <a16:creationId xmlns:a16="http://schemas.microsoft.com/office/drawing/2014/main" id="{47117A23-322C-4BC2-A37C-8EDAB1EDF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9210" y="2080092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161925</xdr:colOff>
      <xdr:row>11</xdr:row>
      <xdr:rowOff>161925</xdr:rowOff>
    </xdr:to>
    <xdr:pic>
      <xdr:nvPicPr>
        <xdr:cNvPr id="112" name="Imagen 111" descr="LaLiga">
          <a:extLst>
            <a:ext uri="{FF2B5EF4-FFF2-40B4-BE49-F238E27FC236}">
              <a16:creationId xmlns:a16="http://schemas.microsoft.com/office/drawing/2014/main" id="{492910FF-6C85-48D6-A6DC-74B5D73E0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2813" y="2080092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763400</xdr:colOff>
      <xdr:row>11</xdr:row>
      <xdr:rowOff>0</xdr:rowOff>
    </xdr:from>
    <xdr:to>
      <xdr:col>29</xdr:col>
      <xdr:colOff>142875</xdr:colOff>
      <xdr:row>11</xdr:row>
      <xdr:rowOff>85725</xdr:rowOff>
    </xdr:to>
    <xdr:pic>
      <xdr:nvPicPr>
        <xdr:cNvPr id="113" name="Imagen 112" descr="Portugal">
          <a:extLst>
            <a:ext uri="{FF2B5EF4-FFF2-40B4-BE49-F238E27FC236}">
              <a16:creationId xmlns:a16="http://schemas.microsoft.com/office/drawing/2014/main" id="{2078ED7E-236F-4075-B452-331308B02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80018" y="2080092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11</xdr:row>
      <xdr:rowOff>0</xdr:rowOff>
    </xdr:from>
    <xdr:to>
      <xdr:col>25</xdr:col>
      <xdr:colOff>161925</xdr:colOff>
      <xdr:row>11</xdr:row>
      <xdr:rowOff>161925</xdr:rowOff>
    </xdr:to>
    <xdr:pic>
      <xdr:nvPicPr>
        <xdr:cNvPr id="114" name="Imagen 113" descr="Copa del Rey">
          <a:extLst>
            <a:ext uri="{FF2B5EF4-FFF2-40B4-BE49-F238E27FC236}">
              <a16:creationId xmlns:a16="http://schemas.microsoft.com/office/drawing/2014/main" id="{780C2B92-B09B-4631-79A8-1BEE5EDAD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06525" y="2095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118940</xdr:colOff>
      <xdr:row>7</xdr:row>
      <xdr:rowOff>173951</xdr:rowOff>
    </xdr:from>
    <xdr:to>
      <xdr:col>3</xdr:col>
      <xdr:colOff>334971</xdr:colOff>
      <xdr:row>9</xdr:row>
      <xdr:rowOff>7992</xdr:rowOff>
    </xdr:to>
    <xdr:pic>
      <xdr:nvPicPr>
        <xdr:cNvPr id="117" name="Imagen 116" descr="Individual awards - Lionel Messi vs Cristiano Ronaldo">
          <a:extLst>
            <a:ext uri="{FF2B5EF4-FFF2-40B4-BE49-F238E27FC236}">
              <a16:creationId xmlns:a16="http://schemas.microsoft.com/office/drawing/2014/main" id="{7EB7B17B-1FDD-49B3-A4A7-3A71FCB79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361" y="1515582"/>
          <a:ext cx="216031" cy="217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49901</xdr:colOff>
      <xdr:row>11</xdr:row>
      <xdr:rowOff>23128</xdr:rowOff>
    </xdr:from>
    <xdr:to>
      <xdr:col>3</xdr:col>
      <xdr:colOff>174239</xdr:colOff>
      <xdr:row>11</xdr:row>
      <xdr:rowOff>177418</xdr:rowOff>
    </xdr:to>
    <xdr:pic>
      <xdr:nvPicPr>
        <xdr:cNvPr id="119" name="Imagen 118" descr="Réplica bota de oro">
          <a:extLst>
            <a:ext uri="{FF2B5EF4-FFF2-40B4-BE49-F238E27FC236}">
              <a16:creationId xmlns:a16="http://schemas.microsoft.com/office/drawing/2014/main" id="{83139F0A-64D3-4D12-A083-FC69681CD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9322" y="2131405"/>
          <a:ext cx="124338" cy="154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192878</xdr:colOff>
      <xdr:row>11</xdr:row>
      <xdr:rowOff>18798</xdr:rowOff>
    </xdr:from>
    <xdr:to>
      <xdr:col>3</xdr:col>
      <xdr:colOff>313439</xdr:colOff>
      <xdr:row>12</xdr:row>
      <xdr:rowOff>1133</xdr:rowOff>
    </xdr:to>
    <xdr:pic>
      <xdr:nvPicPr>
        <xdr:cNvPr id="120" name="Imagen 119" descr="Réplica bota de oro">
          <a:extLst>
            <a:ext uri="{FF2B5EF4-FFF2-40B4-BE49-F238E27FC236}">
              <a16:creationId xmlns:a16="http://schemas.microsoft.com/office/drawing/2014/main" id="{E33F7F82-F066-4DE6-8117-5932CC847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2299" y="2127075"/>
          <a:ext cx="120561" cy="173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161925</xdr:colOff>
      <xdr:row>12</xdr:row>
      <xdr:rowOff>161925</xdr:rowOff>
    </xdr:to>
    <xdr:pic>
      <xdr:nvPicPr>
        <xdr:cNvPr id="122" name="Imagen 121" descr="UEFA Champions League">
          <a:extLst>
            <a:ext uri="{FF2B5EF4-FFF2-40B4-BE49-F238E27FC236}">
              <a16:creationId xmlns:a16="http://schemas.microsoft.com/office/drawing/2014/main" id="{5CE6E8C4-3D03-449F-BC44-32AA7CFC3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2203" y="2286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142875</xdr:colOff>
      <xdr:row>12</xdr:row>
      <xdr:rowOff>142875</xdr:rowOff>
    </xdr:to>
    <xdr:pic>
      <xdr:nvPicPr>
        <xdr:cNvPr id="123" name="Imagen 122" descr="Real Madrid CF">
          <a:extLst>
            <a:ext uri="{FF2B5EF4-FFF2-40B4-BE49-F238E27FC236}">
              <a16:creationId xmlns:a16="http://schemas.microsoft.com/office/drawing/2014/main" id="{6CA030C0-31A1-48AF-9193-4BC31DAC7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0203" y="2286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161925</xdr:colOff>
      <xdr:row>12</xdr:row>
      <xdr:rowOff>161925</xdr:rowOff>
    </xdr:to>
    <xdr:pic>
      <xdr:nvPicPr>
        <xdr:cNvPr id="124" name="Imagen 123" descr="LaLiga">
          <a:extLst>
            <a:ext uri="{FF2B5EF4-FFF2-40B4-BE49-F238E27FC236}">
              <a16:creationId xmlns:a16="http://schemas.microsoft.com/office/drawing/2014/main" id="{49D6BBBF-65B3-47C3-A940-51BA605D2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0203" y="2286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161925</xdr:colOff>
      <xdr:row>12</xdr:row>
      <xdr:rowOff>161925</xdr:rowOff>
    </xdr:to>
    <xdr:pic>
      <xdr:nvPicPr>
        <xdr:cNvPr id="125" name="Imagen 124" descr="Copa del Rey">
          <a:extLst>
            <a:ext uri="{FF2B5EF4-FFF2-40B4-BE49-F238E27FC236}">
              <a16:creationId xmlns:a16="http://schemas.microsoft.com/office/drawing/2014/main" id="{2498DD03-8873-4E34-9890-2516D60E8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8203" y="2286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172637</xdr:colOff>
      <xdr:row>12</xdr:row>
      <xdr:rowOff>0</xdr:rowOff>
    </xdr:from>
    <xdr:to>
      <xdr:col>25</xdr:col>
      <xdr:colOff>334562</xdr:colOff>
      <xdr:row>12</xdr:row>
      <xdr:rowOff>161925</xdr:rowOff>
    </xdr:to>
    <xdr:pic>
      <xdr:nvPicPr>
        <xdr:cNvPr id="126" name="Imagen 125" descr="Supercopa de España">
          <a:extLst>
            <a:ext uri="{FF2B5EF4-FFF2-40B4-BE49-F238E27FC236}">
              <a16:creationId xmlns:a16="http://schemas.microsoft.com/office/drawing/2014/main" id="{0BD1AA5B-B5D5-6579-CB76-0242A250C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840" y="2286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141475</xdr:colOff>
      <xdr:row>12</xdr:row>
      <xdr:rowOff>85725</xdr:rowOff>
    </xdr:to>
    <xdr:pic>
      <xdr:nvPicPr>
        <xdr:cNvPr id="127" name="Imagen 126" descr="Portugal">
          <a:extLst>
            <a:ext uri="{FF2B5EF4-FFF2-40B4-BE49-F238E27FC236}">
              <a16:creationId xmlns:a16="http://schemas.microsoft.com/office/drawing/2014/main" id="{CB4ADECA-3D8F-4D89-99FA-7AC276BDD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6203" y="2286000"/>
          <a:ext cx="1414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38768</xdr:colOff>
      <xdr:row>12</xdr:row>
      <xdr:rowOff>12052</xdr:rowOff>
    </xdr:from>
    <xdr:to>
      <xdr:col>3</xdr:col>
      <xdr:colOff>159329</xdr:colOff>
      <xdr:row>12</xdr:row>
      <xdr:rowOff>187211</xdr:rowOff>
    </xdr:to>
    <xdr:pic>
      <xdr:nvPicPr>
        <xdr:cNvPr id="129" name="Imagen 128" descr="Réplica bota de oro">
          <a:extLst>
            <a:ext uri="{FF2B5EF4-FFF2-40B4-BE49-F238E27FC236}">
              <a16:creationId xmlns:a16="http://schemas.microsoft.com/office/drawing/2014/main" id="{B899678C-C88E-4368-AF2F-20DE9E38A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189" y="2311991"/>
          <a:ext cx="120561" cy="175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13</xdr:row>
      <xdr:rowOff>0</xdr:rowOff>
    </xdr:from>
    <xdr:to>
      <xdr:col>21</xdr:col>
      <xdr:colOff>161925</xdr:colOff>
      <xdr:row>13</xdr:row>
      <xdr:rowOff>161925</xdr:rowOff>
    </xdr:to>
    <xdr:pic>
      <xdr:nvPicPr>
        <xdr:cNvPr id="131" name="Imagen 130" descr="LaLiga">
          <a:extLst>
            <a:ext uri="{FF2B5EF4-FFF2-40B4-BE49-F238E27FC236}">
              <a16:creationId xmlns:a16="http://schemas.microsoft.com/office/drawing/2014/main" id="{5753DC28-4161-4673-9D5C-2AA697098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0203" y="2476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161925</xdr:colOff>
      <xdr:row>13</xdr:row>
      <xdr:rowOff>161925</xdr:rowOff>
    </xdr:to>
    <xdr:pic>
      <xdr:nvPicPr>
        <xdr:cNvPr id="132" name="Imagen 131" descr="UEFA Champions League">
          <a:extLst>
            <a:ext uri="{FF2B5EF4-FFF2-40B4-BE49-F238E27FC236}">
              <a16:creationId xmlns:a16="http://schemas.microsoft.com/office/drawing/2014/main" id="{F920F2ED-3DE7-4316-8C20-B51773B6C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2203" y="2476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142875</xdr:colOff>
      <xdr:row>13</xdr:row>
      <xdr:rowOff>142875</xdr:rowOff>
    </xdr:to>
    <xdr:pic>
      <xdr:nvPicPr>
        <xdr:cNvPr id="135" name="Imagen 134" descr="Real Madrid CF">
          <a:extLst>
            <a:ext uri="{FF2B5EF4-FFF2-40B4-BE49-F238E27FC236}">
              <a16:creationId xmlns:a16="http://schemas.microsoft.com/office/drawing/2014/main" id="{CF058E83-3C84-46E1-950A-ACE6E3E17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0203" y="2476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172185</xdr:colOff>
      <xdr:row>13</xdr:row>
      <xdr:rowOff>64376</xdr:rowOff>
    </xdr:to>
    <xdr:pic>
      <xdr:nvPicPr>
        <xdr:cNvPr id="136" name="Imagen 135" descr="Portugal">
          <a:extLst>
            <a:ext uri="{FF2B5EF4-FFF2-40B4-BE49-F238E27FC236}">
              <a16:creationId xmlns:a16="http://schemas.microsoft.com/office/drawing/2014/main" id="{E00E978A-9894-4675-AB91-43E252FFD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6203" y="2476500"/>
          <a:ext cx="1414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161925</xdr:colOff>
      <xdr:row>13</xdr:row>
      <xdr:rowOff>161925</xdr:rowOff>
    </xdr:to>
    <xdr:pic>
      <xdr:nvPicPr>
        <xdr:cNvPr id="137" name="Imagen 136" descr="Copa del Rey">
          <a:extLst>
            <a:ext uri="{FF2B5EF4-FFF2-40B4-BE49-F238E27FC236}">
              <a16:creationId xmlns:a16="http://schemas.microsoft.com/office/drawing/2014/main" id="{F89EEF55-3A5B-4A5D-94F2-B4881B1A4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8203" y="2476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176213</xdr:colOff>
      <xdr:row>13</xdr:row>
      <xdr:rowOff>3572</xdr:rowOff>
    </xdr:from>
    <xdr:to>
      <xdr:col>25</xdr:col>
      <xdr:colOff>338138</xdr:colOff>
      <xdr:row>13</xdr:row>
      <xdr:rowOff>165497</xdr:rowOff>
    </xdr:to>
    <xdr:pic>
      <xdr:nvPicPr>
        <xdr:cNvPr id="138" name="Imagen 137" descr="Supercopa de España">
          <a:extLst>
            <a:ext uri="{FF2B5EF4-FFF2-40B4-BE49-F238E27FC236}">
              <a16:creationId xmlns:a16="http://schemas.microsoft.com/office/drawing/2014/main" id="{99E3A6BA-D01C-429A-8DFB-088FE1FE2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4416" y="2480072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44722</xdr:colOff>
      <xdr:row>13</xdr:row>
      <xdr:rowOff>6243</xdr:rowOff>
    </xdr:from>
    <xdr:to>
      <xdr:col>3</xdr:col>
      <xdr:colOff>165283</xdr:colOff>
      <xdr:row>13</xdr:row>
      <xdr:rowOff>181401</xdr:rowOff>
    </xdr:to>
    <xdr:pic>
      <xdr:nvPicPr>
        <xdr:cNvPr id="142" name="Imagen 141" descr="Réplica bota de oro">
          <a:extLst>
            <a:ext uri="{FF2B5EF4-FFF2-40B4-BE49-F238E27FC236}">
              <a16:creationId xmlns:a16="http://schemas.microsoft.com/office/drawing/2014/main" id="{E9BC58CF-DB0A-4DC6-B368-7658EC78D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4143" y="2497844"/>
          <a:ext cx="120561" cy="1751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576960</xdr:colOff>
      <xdr:row>12</xdr:row>
      <xdr:rowOff>191507</xdr:rowOff>
    </xdr:from>
    <xdr:to>
      <xdr:col>3</xdr:col>
      <xdr:colOff>669279</xdr:colOff>
      <xdr:row>14</xdr:row>
      <xdr:rowOff>815</xdr:rowOff>
    </xdr:to>
    <xdr:pic>
      <xdr:nvPicPr>
        <xdr:cNvPr id="144" name="Imagen 143">
          <a:extLst>
            <a:ext uri="{FF2B5EF4-FFF2-40B4-BE49-F238E27FC236}">
              <a16:creationId xmlns:a16="http://schemas.microsoft.com/office/drawing/2014/main" id="{CB46828B-DF19-45E7-A99E-638BD7E25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BEBA8EAE-BF5A-486C-A8C5-ECC9F3942E4B}">
              <a14:imgProps xmlns:a14="http://schemas.microsoft.com/office/drawing/2010/main">
                <a14:imgLayer r:embed="rId32">
                  <a14:imgEffect>
                    <a14:backgroundRemoval t="5031" b="91195" l="9211" r="89474">
                      <a14:foregroundMark x1="40789" y1="5660" x2="40789" y2="5660"/>
                      <a14:foregroundMark x1="46053" y1="65409" x2="46053" y2="65409"/>
                      <a14:foregroundMark x1="48684" y1="72327" x2="48684" y2="72327"/>
                      <a14:foregroundMark x1="55263" y1="62893" x2="55263" y2="62893"/>
                      <a14:foregroundMark x1="55263" y1="71069" x2="55263" y2="71069"/>
                      <a14:foregroundMark x1="59211" y1="74214" x2="59211" y2="74214"/>
                      <a14:foregroundMark x1="34211" y1="74843" x2="34211" y2="74843"/>
                      <a14:foregroundMark x1="28947" y1="79245" x2="28947" y2="79245"/>
                      <a14:foregroundMark x1="31579" y1="76730" x2="31579" y2="76730"/>
                      <a14:foregroundMark x1="22368" y1="79245" x2="22368" y2="79245"/>
                      <a14:foregroundMark x1="21053" y1="83648" x2="21053" y2="83648"/>
                      <a14:foregroundMark x1="48684" y1="88679" x2="48684" y2="88679"/>
                      <a14:foregroundMark x1="60526" y1="91195" x2="60526" y2="91195"/>
                      <a14:foregroundMark x1="40789" y1="83019" x2="40789" y2="83019"/>
                      <a14:foregroundMark x1="57895" y1="84906" x2="57895" y2="84906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376381" y="2491446"/>
          <a:ext cx="92319" cy="192631"/>
        </a:xfrm>
        <a:prstGeom prst="rect">
          <a:avLst/>
        </a:prstGeom>
      </xdr:spPr>
    </xdr:pic>
    <xdr:clientData/>
  </xdr:twoCellAnchor>
  <xdr:twoCellAnchor editAs="oneCell">
    <xdr:from>
      <xdr:col>3</xdr:col>
      <xdr:colOff>417349</xdr:colOff>
      <xdr:row>12</xdr:row>
      <xdr:rowOff>188473</xdr:rowOff>
    </xdr:from>
    <xdr:to>
      <xdr:col>3</xdr:col>
      <xdr:colOff>585305</xdr:colOff>
      <xdr:row>13</xdr:row>
      <xdr:rowOff>173624</xdr:rowOff>
    </xdr:to>
    <xdr:pic>
      <xdr:nvPicPr>
        <xdr:cNvPr id="145" name="Imagen 144" descr="Ganador Ballon d'Or">
          <a:extLst>
            <a:ext uri="{FF2B5EF4-FFF2-40B4-BE49-F238E27FC236}">
              <a16:creationId xmlns:a16="http://schemas.microsoft.com/office/drawing/2014/main" id="{2CA81340-9A93-4FDC-B599-E0853758A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6770" y="2488412"/>
          <a:ext cx="167956" cy="176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142875</xdr:colOff>
      <xdr:row>14</xdr:row>
      <xdr:rowOff>142875</xdr:rowOff>
    </xdr:to>
    <xdr:pic>
      <xdr:nvPicPr>
        <xdr:cNvPr id="146" name="Imagen 145" descr="Real Madrid CF">
          <a:extLst>
            <a:ext uri="{FF2B5EF4-FFF2-40B4-BE49-F238E27FC236}">
              <a16:creationId xmlns:a16="http://schemas.microsoft.com/office/drawing/2014/main" id="{A4E9F7A0-A0FE-4BC4-B77E-212C1679C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9591" y="2679463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161925</xdr:colOff>
      <xdr:row>14</xdr:row>
      <xdr:rowOff>161925</xdr:rowOff>
    </xdr:to>
    <xdr:pic>
      <xdr:nvPicPr>
        <xdr:cNvPr id="147" name="Imagen 146" descr="UEFA Champions League">
          <a:extLst>
            <a:ext uri="{FF2B5EF4-FFF2-40B4-BE49-F238E27FC236}">
              <a16:creationId xmlns:a16="http://schemas.microsoft.com/office/drawing/2014/main" id="{163A2B44-0913-4FBD-9400-93D7D41BC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0701" y="2679463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161925</xdr:colOff>
      <xdr:row>14</xdr:row>
      <xdr:rowOff>161925</xdr:rowOff>
    </xdr:to>
    <xdr:pic>
      <xdr:nvPicPr>
        <xdr:cNvPr id="148" name="Imagen 147" descr="LaLiga">
          <a:extLst>
            <a:ext uri="{FF2B5EF4-FFF2-40B4-BE49-F238E27FC236}">
              <a16:creationId xmlns:a16="http://schemas.microsoft.com/office/drawing/2014/main" id="{4A24DF84-89B9-4C44-83F4-9C87B0713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5140" y="2679463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761109</xdr:colOff>
      <xdr:row>14</xdr:row>
      <xdr:rowOff>0</xdr:rowOff>
    </xdr:from>
    <xdr:to>
      <xdr:col>25</xdr:col>
      <xdr:colOff>161925</xdr:colOff>
      <xdr:row>14</xdr:row>
      <xdr:rowOff>161925</xdr:rowOff>
    </xdr:to>
    <xdr:pic>
      <xdr:nvPicPr>
        <xdr:cNvPr id="149" name="Imagen 148" descr="Copa del Rey">
          <a:extLst>
            <a:ext uri="{FF2B5EF4-FFF2-40B4-BE49-F238E27FC236}">
              <a16:creationId xmlns:a16="http://schemas.microsoft.com/office/drawing/2014/main" id="{256309C1-A6F8-4407-B014-638B0C2C8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9579" y="2679463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141475</xdr:colOff>
      <xdr:row>14</xdr:row>
      <xdr:rowOff>85725</xdr:rowOff>
    </xdr:to>
    <xdr:pic>
      <xdr:nvPicPr>
        <xdr:cNvPr id="150" name="Imagen 149" descr="Portugal">
          <a:extLst>
            <a:ext uri="{FF2B5EF4-FFF2-40B4-BE49-F238E27FC236}">
              <a16:creationId xmlns:a16="http://schemas.microsoft.com/office/drawing/2014/main" id="{9CC5992A-54D3-4DF7-A055-BBECF90E3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34019" y="2679463"/>
          <a:ext cx="1414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11563</xdr:colOff>
      <xdr:row>14</xdr:row>
      <xdr:rowOff>24779</xdr:rowOff>
    </xdr:from>
    <xdr:to>
      <xdr:col>3</xdr:col>
      <xdr:colOff>186019</xdr:colOff>
      <xdr:row>14</xdr:row>
      <xdr:rowOff>171974</xdr:rowOff>
    </xdr:to>
    <xdr:pic>
      <xdr:nvPicPr>
        <xdr:cNvPr id="153" name="Imagen 152" descr="Mejor Jugador en Europa UEFA">
          <a:extLst>
            <a:ext uri="{FF2B5EF4-FFF2-40B4-BE49-F238E27FC236}">
              <a16:creationId xmlns:a16="http://schemas.microsoft.com/office/drawing/2014/main" id="{7EF9D140-2EB5-4294-B1A7-C94052A8D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0984" y="2708041"/>
          <a:ext cx="174456" cy="1471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452381</xdr:colOff>
      <xdr:row>13</xdr:row>
      <xdr:rowOff>191280</xdr:rowOff>
    </xdr:from>
    <xdr:to>
      <xdr:col>3</xdr:col>
      <xdr:colOff>620337</xdr:colOff>
      <xdr:row>14</xdr:row>
      <xdr:rowOff>176432</xdr:rowOff>
    </xdr:to>
    <xdr:pic>
      <xdr:nvPicPr>
        <xdr:cNvPr id="157" name="Imagen 156" descr="Ganador Ballon d'Or">
          <a:extLst>
            <a:ext uri="{FF2B5EF4-FFF2-40B4-BE49-F238E27FC236}">
              <a16:creationId xmlns:a16="http://schemas.microsoft.com/office/drawing/2014/main" id="{FD040145-032C-406D-B84F-50BD8118A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1802" y="2682881"/>
          <a:ext cx="167956" cy="176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141475</xdr:colOff>
      <xdr:row>15</xdr:row>
      <xdr:rowOff>85725</xdr:rowOff>
    </xdr:to>
    <xdr:pic>
      <xdr:nvPicPr>
        <xdr:cNvPr id="159" name="Imagen 158" descr="Portugal">
          <a:extLst>
            <a:ext uri="{FF2B5EF4-FFF2-40B4-BE49-F238E27FC236}">
              <a16:creationId xmlns:a16="http://schemas.microsoft.com/office/drawing/2014/main" id="{A2BAEC97-052B-4BD8-BB16-8B43C93A3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9775" y="2857500"/>
          <a:ext cx="1414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142527</xdr:colOff>
      <xdr:row>14</xdr:row>
      <xdr:rowOff>13905</xdr:rowOff>
    </xdr:from>
    <xdr:to>
      <xdr:col>29</xdr:col>
      <xdr:colOff>304452</xdr:colOff>
      <xdr:row>14</xdr:row>
      <xdr:rowOff>175830</xdr:rowOff>
    </xdr:to>
    <xdr:pic>
      <xdr:nvPicPr>
        <xdr:cNvPr id="160" name="Imagen 159" descr="Copa Mundial 2014">
          <a:extLst>
            <a:ext uri="{FF2B5EF4-FFF2-40B4-BE49-F238E27FC236}">
              <a16:creationId xmlns:a16="http://schemas.microsoft.com/office/drawing/2014/main" id="{8C9ED20F-AF1A-8CCC-43EE-C5C90E2C0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7910" y="2690639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163385</xdr:colOff>
      <xdr:row>12</xdr:row>
      <xdr:rowOff>3476</xdr:rowOff>
    </xdr:from>
    <xdr:to>
      <xdr:col>29</xdr:col>
      <xdr:colOff>325310</xdr:colOff>
      <xdr:row>12</xdr:row>
      <xdr:rowOff>165401</xdr:rowOff>
    </xdr:to>
    <xdr:pic>
      <xdr:nvPicPr>
        <xdr:cNvPr id="162" name="Imagen 161" descr="Eurocopa 2012">
          <a:extLst>
            <a:ext uri="{FF2B5EF4-FFF2-40B4-BE49-F238E27FC236}">
              <a16:creationId xmlns:a16="http://schemas.microsoft.com/office/drawing/2014/main" id="{434D0076-3379-7081-60E5-047C19DB4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98768" y="2297819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142875</xdr:colOff>
      <xdr:row>15</xdr:row>
      <xdr:rowOff>142875</xdr:rowOff>
    </xdr:to>
    <xdr:pic>
      <xdr:nvPicPr>
        <xdr:cNvPr id="163" name="Imagen 162" descr="Real Madrid CF">
          <a:extLst>
            <a:ext uri="{FF2B5EF4-FFF2-40B4-BE49-F238E27FC236}">
              <a16:creationId xmlns:a16="http://schemas.microsoft.com/office/drawing/2014/main" id="{7083AA66-13FE-4C28-B0BA-64C71AC97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2188" y="2857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161925</xdr:colOff>
      <xdr:row>15</xdr:row>
      <xdr:rowOff>161925</xdr:rowOff>
    </xdr:to>
    <xdr:pic>
      <xdr:nvPicPr>
        <xdr:cNvPr id="165" name="Imagen 164" descr="UEFA Champions League">
          <a:extLst>
            <a:ext uri="{FF2B5EF4-FFF2-40B4-BE49-F238E27FC236}">
              <a16:creationId xmlns:a16="http://schemas.microsoft.com/office/drawing/2014/main" id="{D32C3F6E-239C-4BC9-93E4-121E9E295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4188" y="2857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161925</xdr:colOff>
      <xdr:row>15</xdr:row>
      <xdr:rowOff>161925</xdr:rowOff>
    </xdr:to>
    <xdr:pic>
      <xdr:nvPicPr>
        <xdr:cNvPr id="167" name="Imagen 166" descr="LaLiga">
          <a:extLst>
            <a:ext uri="{FF2B5EF4-FFF2-40B4-BE49-F238E27FC236}">
              <a16:creationId xmlns:a16="http://schemas.microsoft.com/office/drawing/2014/main" id="{A59B39B6-C92A-4695-B086-AD9A9BE22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2188" y="2857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162816</xdr:colOff>
      <xdr:row>15</xdr:row>
      <xdr:rowOff>161925</xdr:rowOff>
    </xdr:to>
    <xdr:pic>
      <xdr:nvPicPr>
        <xdr:cNvPr id="168" name="Imagen 167" descr="Copa del Rey">
          <a:extLst>
            <a:ext uri="{FF2B5EF4-FFF2-40B4-BE49-F238E27FC236}">
              <a16:creationId xmlns:a16="http://schemas.microsoft.com/office/drawing/2014/main" id="{283000B0-222C-49FC-8E89-1B433031F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0188" y="2857500"/>
          <a:ext cx="162816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174625</xdr:colOff>
      <xdr:row>15</xdr:row>
      <xdr:rowOff>0</xdr:rowOff>
    </xdr:from>
    <xdr:to>
      <xdr:col>25</xdr:col>
      <xdr:colOff>336550</xdr:colOff>
      <xdr:row>15</xdr:row>
      <xdr:rowOff>161925</xdr:rowOff>
    </xdr:to>
    <xdr:pic>
      <xdr:nvPicPr>
        <xdr:cNvPr id="169" name="Imagen 168" descr="Supercopa de España">
          <a:extLst>
            <a:ext uri="{FF2B5EF4-FFF2-40B4-BE49-F238E27FC236}">
              <a16:creationId xmlns:a16="http://schemas.microsoft.com/office/drawing/2014/main" id="{4AF5D34F-E361-42C3-B283-3F93EA2A4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4813" y="2857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336660</xdr:colOff>
      <xdr:row>14</xdr:row>
      <xdr:rowOff>188857</xdr:rowOff>
    </xdr:from>
    <xdr:to>
      <xdr:col>25</xdr:col>
      <xdr:colOff>498585</xdr:colOff>
      <xdr:row>15</xdr:row>
      <xdr:rowOff>161925</xdr:rowOff>
    </xdr:to>
    <xdr:pic>
      <xdr:nvPicPr>
        <xdr:cNvPr id="171" name="Imagen 170" descr="Supercopa de Europa">
          <a:extLst>
            <a:ext uri="{FF2B5EF4-FFF2-40B4-BE49-F238E27FC236}">
              <a16:creationId xmlns:a16="http://schemas.microsoft.com/office/drawing/2014/main" id="{A42DDC09-FC30-6624-6FF5-AD138B3AF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2576" y="2832866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187756</xdr:colOff>
      <xdr:row>15</xdr:row>
      <xdr:rowOff>9412</xdr:rowOff>
    </xdr:from>
    <xdr:to>
      <xdr:col>3</xdr:col>
      <xdr:colOff>308317</xdr:colOff>
      <xdr:row>15</xdr:row>
      <xdr:rowOff>183409</xdr:rowOff>
    </xdr:to>
    <xdr:pic>
      <xdr:nvPicPr>
        <xdr:cNvPr id="175" name="Imagen 174" descr="Réplica bota de oro">
          <a:extLst>
            <a:ext uri="{FF2B5EF4-FFF2-40B4-BE49-F238E27FC236}">
              <a16:creationId xmlns:a16="http://schemas.microsoft.com/office/drawing/2014/main" id="{8D1C1D6A-F216-4042-B026-099A99BA9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177" y="2884336"/>
          <a:ext cx="120561" cy="173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608832</xdr:colOff>
      <xdr:row>15</xdr:row>
      <xdr:rowOff>4732</xdr:rowOff>
    </xdr:from>
    <xdr:to>
      <xdr:col>3</xdr:col>
      <xdr:colOff>681288</xdr:colOff>
      <xdr:row>15</xdr:row>
      <xdr:rowOff>186186</xdr:rowOff>
    </xdr:to>
    <xdr:pic>
      <xdr:nvPicPr>
        <xdr:cNvPr id="178" name="Imagen 177">
          <a:extLst>
            <a:ext uri="{FF2B5EF4-FFF2-40B4-BE49-F238E27FC236}">
              <a16:creationId xmlns:a16="http://schemas.microsoft.com/office/drawing/2014/main" id="{C0EAA1CE-4D9B-4DAE-9C32-89269688B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408253" y="2879656"/>
          <a:ext cx="72456" cy="181454"/>
        </a:xfrm>
        <a:prstGeom prst="rect">
          <a:avLst/>
        </a:prstGeom>
      </xdr:spPr>
    </xdr:pic>
    <xdr:clientData/>
  </xdr:twoCellAnchor>
  <xdr:twoCellAnchor editAs="oneCell">
    <xdr:from>
      <xdr:col>3</xdr:col>
      <xdr:colOff>939086</xdr:colOff>
      <xdr:row>14</xdr:row>
      <xdr:rowOff>5234</xdr:rowOff>
    </xdr:from>
    <xdr:to>
      <xdr:col>3</xdr:col>
      <xdr:colOff>1011542</xdr:colOff>
      <xdr:row>14</xdr:row>
      <xdr:rowOff>186688</xdr:rowOff>
    </xdr:to>
    <xdr:pic>
      <xdr:nvPicPr>
        <xdr:cNvPr id="179" name="Imagen 178">
          <a:extLst>
            <a:ext uri="{FF2B5EF4-FFF2-40B4-BE49-F238E27FC236}">
              <a16:creationId xmlns:a16="http://schemas.microsoft.com/office/drawing/2014/main" id="{4ACD4EA1-6EAC-4746-9554-50277B3EA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738507" y="2688496"/>
          <a:ext cx="72456" cy="18145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142875</xdr:colOff>
      <xdr:row>16</xdr:row>
      <xdr:rowOff>142875</xdr:rowOff>
    </xdr:to>
    <xdr:pic>
      <xdr:nvPicPr>
        <xdr:cNvPr id="180" name="Imagen 179" descr="Real Madrid CF">
          <a:extLst>
            <a:ext uri="{FF2B5EF4-FFF2-40B4-BE49-F238E27FC236}">
              <a16:creationId xmlns:a16="http://schemas.microsoft.com/office/drawing/2014/main" id="{729BB714-C312-451E-97E1-4572D7B21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304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161925</xdr:colOff>
      <xdr:row>16</xdr:row>
      <xdr:rowOff>161925</xdr:rowOff>
    </xdr:to>
    <xdr:pic>
      <xdr:nvPicPr>
        <xdr:cNvPr id="181" name="Imagen 180" descr="UEFA Champions League">
          <a:extLst>
            <a:ext uri="{FF2B5EF4-FFF2-40B4-BE49-F238E27FC236}">
              <a16:creationId xmlns:a16="http://schemas.microsoft.com/office/drawing/2014/main" id="{CD4338CF-8CC9-49E5-B198-1253ACD00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5775" y="3048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16</xdr:row>
      <xdr:rowOff>0</xdr:rowOff>
    </xdr:from>
    <xdr:to>
      <xdr:col>21</xdr:col>
      <xdr:colOff>161925</xdr:colOff>
      <xdr:row>16</xdr:row>
      <xdr:rowOff>161925</xdr:rowOff>
    </xdr:to>
    <xdr:pic>
      <xdr:nvPicPr>
        <xdr:cNvPr id="182" name="Imagen 181" descr="LaLiga">
          <a:extLst>
            <a:ext uri="{FF2B5EF4-FFF2-40B4-BE49-F238E27FC236}">
              <a16:creationId xmlns:a16="http://schemas.microsoft.com/office/drawing/2014/main" id="{527E14FB-FC3C-4F56-9B72-E7C7FFB59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3775" y="3048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16</xdr:row>
      <xdr:rowOff>0</xdr:rowOff>
    </xdr:from>
    <xdr:to>
      <xdr:col>29</xdr:col>
      <xdr:colOff>141475</xdr:colOff>
      <xdr:row>16</xdr:row>
      <xdr:rowOff>85725</xdr:rowOff>
    </xdr:to>
    <xdr:pic>
      <xdr:nvPicPr>
        <xdr:cNvPr id="183" name="Imagen 182" descr="Portugal">
          <a:extLst>
            <a:ext uri="{FF2B5EF4-FFF2-40B4-BE49-F238E27FC236}">
              <a16:creationId xmlns:a16="http://schemas.microsoft.com/office/drawing/2014/main" id="{51B6C7CD-4401-4F99-8C63-11D945AA8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9775" y="3048000"/>
          <a:ext cx="1414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22</xdr:row>
      <xdr:rowOff>0</xdr:rowOff>
    </xdr:from>
    <xdr:to>
      <xdr:col>29</xdr:col>
      <xdr:colOff>141475</xdr:colOff>
      <xdr:row>22</xdr:row>
      <xdr:rowOff>85725</xdr:rowOff>
    </xdr:to>
    <xdr:pic>
      <xdr:nvPicPr>
        <xdr:cNvPr id="184" name="Imagen 183" descr="Portugal">
          <a:extLst>
            <a:ext uri="{FF2B5EF4-FFF2-40B4-BE49-F238E27FC236}">
              <a16:creationId xmlns:a16="http://schemas.microsoft.com/office/drawing/2014/main" id="{F7C82E4F-F3EB-45F7-BC5F-3C6024FAC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9775" y="4191000"/>
          <a:ext cx="1414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22</xdr:row>
      <xdr:rowOff>0</xdr:rowOff>
    </xdr:from>
    <xdr:to>
      <xdr:col>21</xdr:col>
      <xdr:colOff>161925</xdr:colOff>
      <xdr:row>22</xdr:row>
      <xdr:rowOff>161925</xdr:rowOff>
    </xdr:to>
    <xdr:pic>
      <xdr:nvPicPr>
        <xdr:cNvPr id="185" name="Imagen 184" descr="Premier League">
          <a:extLst>
            <a:ext uri="{FF2B5EF4-FFF2-40B4-BE49-F238E27FC236}">
              <a16:creationId xmlns:a16="http://schemas.microsoft.com/office/drawing/2014/main" id="{C025447D-9341-404B-BB58-BF68E39B0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2188" y="4191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161925</xdr:colOff>
      <xdr:row>22</xdr:row>
      <xdr:rowOff>161925</xdr:rowOff>
    </xdr:to>
    <xdr:pic>
      <xdr:nvPicPr>
        <xdr:cNvPr id="188" name="Imagen 187" descr="UEFA Champions League">
          <a:extLst>
            <a:ext uri="{FF2B5EF4-FFF2-40B4-BE49-F238E27FC236}">
              <a16:creationId xmlns:a16="http://schemas.microsoft.com/office/drawing/2014/main" id="{4B4101AA-CA82-406A-BFF4-7777A1BD9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5775" y="4191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13</xdr:col>
      <xdr:colOff>142875</xdr:colOff>
      <xdr:row>22</xdr:row>
      <xdr:rowOff>142875</xdr:rowOff>
    </xdr:to>
    <xdr:pic>
      <xdr:nvPicPr>
        <xdr:cNvPr id="190" name="Imagen 189" descr="Manchester United">
          <a:extLst>
            <a:ext uri="{FF2B5EF4-FFF2-40B4-BE49-F238E27FC236}">
              <a16:creationId xmlns:a16="http://schemas.microsoft.com/office/drawing/2014/main" id="{E318F069-B157-4D45-AD33-926982955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136" y="4154871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22</xdr:row>
      <xdr:rowOff>188857</xdr:rowOff>
    </xdr:from>
    <xdr:to>
      <xdr:col>13</xdr:col>
      <xdr:colOff>142875</xdr:colOff>
      <xdr:row>23</xdr:row>
      <xdr:rowOff>142875</xdr:rowOff>
    </xdr:to>
    <xdr:pic>
      <xdr:nvPicPr>
        <xdr:cNvPr id="191" name="Imagen 190" descr="Manchester United">
          <a:extLst>
            <a:ext uri="{FF2B5EF4-FFF2-40B4-BE49-F238E27FC236}">
              <a16:creationId xmlns:a16="http://schemas.microsoft.com/office/drawing/2014/main" id="{8439EB7F-8BA8-4C74-8EDF-ECE92AF35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136" y="4343728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22</xdr:row>
      <xdr:rowOff>188857</xdr:rowOff>
    </xdr:from>
    <xdr:to>
      <xdr:col>21</xdr:col>
      <xdr:colOff>161925</xdr:colOff>
      <xdr:row>23</xdr:row>
      <xdr:rowOff>161925</xdr:rowOff>
    </xdr:to>
    <xdr:pic>
      <xdr:nvPicPr>
        <xdr:cNvPr id="192" name="Imagen 191" descr="Premier League">
          <a:extLst>
            <a:ext uri="{FF2B5EF4-FFF2-40B4-BE49-F238E27FC236}">
              <a16:creationId xmlns:a16="http://schemas.microsoft.com/office/drawing/2014/main" id="{8A2FD550-9B44-4DF6-9DB2-B17A43E62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1347" y="4343728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22</xdr:row>
      <xdr:rowOff>188857</xdr:rowOff>
    </xdr:from>
    <xdr:to>
      <xdr:col>29</xdr:col>
      <xdr:colOff>141475</xdr:colOff>
      <xdr:row>23</xdr:row>
      <xdr:rowOff>85725</xdr:rowOff>
    </xdr:to>
    <xdr:pic>
      <xdr:nvPicPr>
        <xdr:cNvPr id="193" name="Imagen 192" descr="Portugal">
          <a:extLst>
            <a:ext uri="{FF2B5EF4-FFF2-40B4-BE49-F238E27FC236}">
              <a16:creationId xmlns:a16="http://schemas.microsoft.com/office/drawing/2014/main" id="{8C8A73E3-30FE-4A2A-9402-B809833ED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80485" y="4343728"/>
          <a:ext cx="1414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142875</xdr:colOff>
      <xdr:row>17</xdr:row>
      <xdr:rowOff>142875</xdr:rowOff>
    </xdr:to>
    <xdr:pic>
      <xdr:nvPicPr>
        <xdr:cNvPr id="194" name="Imagen 193" descr="Real Madrid CF">
          <a:extLst>
            <a:ext uri="{FF2B5EF4-FFF2-40B4-BE49-F238E27FC236}">
              <a16:creationId xmlns:a16="http://schemas.microsoft.com/office/drawing/2014/main" id="{6E10DB58-A69A-4AAA-B976-873BF2F29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136" y="3210582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142875</xdr:colOff>
      <xdr:row>18</xdr:row>
      <xdr:rowOff>142875</xdr:rowOff>
    </xdr:to>
    <xdr:pic>
      <xdr:nvPicPr>
        <xdr:cNvPr id="195" name="Imagen 194" descr="Real Madrid CF">
          <a:extLst>
            <a:ext uri="{FF2B5EF4-FFF2-40B4-BE49-F238E27FC236}">
              <a16:creationId xmlns:a16="http://schemas.microsoft.com/office/drawing/2014/main" id="{26290CE2-620D-41D1-90CC-14695C1EC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136" y="339944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161925</xdr:colOff>
      <xdr:row>17</xdr:row>
      <xdr:rowOff>161925</xdr:rowOff>
    </xdr:to>
    <xdr:pic>
      <xdr:nvPicPr>
        <xdr:cNvPr id="197" name="Imagen 196" descr="UEFA Champions League">
          <a:extLst>
            <a:ext uri="{FF2B5EF4-FFF2-40B4-BE49-F238E27FC236}">
              <a16:creationId xmlns:a16="http://schemas.microsoft.com/office/drawing/2014/main" id="{FF359470-86F2-4732-A938-7F4A34095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6778" y="3210582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161925</xdr:colOff>
      <xdr:row>18</xdr:row>
      <xdr:rowOff>161925</xdr:rowOff>
    </xdr:to>
    <xdr:pic>
      <xdr:nvPicPr>
        <xdr:cNvPr id="198" name="Imagen 197" descr="UEFA Champions League">
          <a:extLst>
            <a:ext uri="{FF2B5EF4-FFF2-40B4-BE49-F238E27FC236}">
              <a16:creationId xmlns:a16="http://schemas.microsoft.com/office/drawing/2014/main" id="{8D450451-E15B-4B0A-850D-F63E3AD93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6778" y="339944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18</xdr:row>
      <xdr:rowOff>188857</xdr:rowOff>
    </xdr:from>
    <xdr:to>
      <xdr:col>17</xdr:col>
      <xdr:colOff>161925</xdr:colOff>
      <xdr:row>19</xdr:row>
      <xdr:rowOff>161925</xdr:rowOff>
    </xdr:to>
    <xdr:pic>
      <xdr:nvPicPr>
        <xdr:cNvPr id="199" name="Imagen 198" descr="UEFA Champions League">
          <a:extLst>
            <a:ext uri="{FF2B5EF4-FFF2-40B4-BE49-F238E27FC236}">
              <a16:creationId xmlns:a16="http://schemas.microsoft.com/office/drawing/2014/main" id="{604D4B8B-1127-46E8-8508-CECB61B49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6778" y="3588297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161925</xdr:colOff>
      <xdr:row>20</xdr:row>
      <xdr:rowOff>161925</xdr:rowOff>
    </xdr:to>
    <xdr:pic>
      <xdr:nvPicPr>
        <xdr:cNvPr id="200" name="Imagen 199" descr="UEFA Champions League">
          <a:extLst>
            <a:ext uri="{FF2B5EF4-FFF2-40B4-BE49-F238E27FC236}">
              <a16:creationId xmlns:a16="http://schemas.microsoft.com/office/drawing/2014/main" id="{17620F60-E1F1-4F1F-A5A4-B6B7D5700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6778" y="377715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161925</xdr:colOff>
      <xdr:row>21</xdr:row>
      <xdr:rowOff>161925</xdr:rowOff>
    </xdr:to>
    <xdr:pic>
      <xdr:nvPicPr>
        <xdr:cNvPr id="201" name="Imagen 200" descr="UEFA Champions League">
          <a:extLst>
            <a:ext uri="{FF2B5EF4-FFF2-40B4-BE49-F238E27FC236}">
              <a16:creationId xmlns:a16="http://schemas.microsoft.com/office/drawing/2014/main" id="{5BA7D2C9-31F0-4335-84BC-5865BE006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6778" y="3966013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164718</xdr:colOff>
      <xdr:row>23</xdr:row>
      <xdr:rowOff>493</xdr:rowOff>
    </xdr:from>
    <xdr:to>
      <xdr:col>13</xdr:col>
      <xdr:colOff>307593</xdr:colOff>
      <xdr:row>23</xdr:row>
      <xdr:rowOff>143368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id="{B5D36F8E-6D23-BCC6-C308-8B7B6E918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17854" y="434422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21</xdr:col>
      <xdr:colOff>156506</xdr:colOff>
      <xdr:row>23</xdr:row>
      <xdr:rowOff>16915</xdr:rowOff>
    </xdr:from>
    <xdr:to>
      <xdr:col>21</xdr:col>
      <xdr:colOff>318431</xdr:colOff>
      <xdr:row>23</xdr:row>
      <xdr:rowOff>178840</xdr:rowOff>
    </xdr:to>
    <xdr:pic>
      <xdr:nvPicPr>
        <xdr:cNvPr id="203" name="Imagen 202">
          <a:extLst>
            <a:ext uri="{FF2B5EF4-FFF2-40B4-BE49-F238E27FC236}">
              <a16:creationId xmlns:a16="http://schemas.microsoft.com/office/drawing/2014/main" id="{238CC5F0-8768-F4BD-ECE0-8975A3AB1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1327853" y="4360643"/>
          <a:ext cx="161925" cy="16192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17</xdr:row>
      <xdr:rowOff>0</xdr:rowOff>
    </xdr:from>
    <xdr:to>
      <xdr:col>29</xdr:col>
      <xdr:colOff>141475</xdr:colOff>
      <xdr:row>17</xdr:row>
      <xdr:rowOff>85725</xdr:rowOff>
    </xdr:to>
    <xdr:pic>
      <xdr:nvPicPr>
        <xdr:cNvPr id="204" name="Imagen 203" descr="Portugal">
          <a:extLst>
            <a:ext uri="{FF2B5EF4-FFF2-40B4-BE49-F238E27FC236}">
              <a16:creationId xmlns:a16="http://schemas.microsoft.com/office/drawing/2014/main" id="{9D23759B-1197-497A-9142-04CFC757E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9775" y="3238500"/>
          <a:ext cx="1414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18</xdr:row>
      <xdr:rowOff>0</xdr:rowOff>
    </xdr:from>
    <xdr:to>
      <xdr:col>29</xdr:col>
      <xdr:colOff>141475</xdr:colOff>
      <xdr:row>18</xdr:row>
      <xdr:rowOff>85725</xdr:rowOff>
    </xdr:to>
    <xdr:pic>
      <xdr:nvPicPr>
        <xdr:cNvPr id="205" name="Imagen 204" descr="Portugal">
          <a:extLst>
            <a:ext uri="{FF2B5EF4-FFF2-40B4-BE49-F238E27FC236}">
              <a16:creationId xmlns:a16="http://schemas.microsoft.com/office/drawing/2014/main" id="{FF6B49AD-F895-459E-82FE-F33924CE7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9775" y="3429000"/>
          <a:ext cx="1414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19</xdr:row>
      <xdr:rowOff>0</xdr:rowOff>
    </xdr:from>
    <xdr:to>
      <xdr:col>29</xdr:col>
      <xdr:colOff>141475</xdr:colOff>
      <xdr:row>19</xdr:row>
      <xdr:rowOff>85725</xdr:rowOff>
    </xdr:to>
    <xdr:pic>
      <xdr:nvPicPr>
        <xdr:cNvPr id="206" name="Imagen 205" descr="Portugal">
          <a:extLst>
            <a:ext uri="{FF2B5EF4-FFF2-40B4-BE49-F238E27FC236}">
              <a16:creationId xmlns:a16="http://schemas.microsoft.com/office/drawing/2014/main" id="{9E886123-1BA1-43C3-991D-A39F27D00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9775" y="3619500"/>
          <a:ext cx="1414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20</xdr:row>
      <xdr:rowOff>0</xdr:rowOff>
    </xdr:from>
    <xdr:to>
      <xdr:col>29</xdr:col>
      <xdr:colOff>141475</xdr:colOff>
      <xdr:row>20</xdr:row>
      <xdr:rowOff>85725</xdr:rowOff>
    </xdr:to>
    <xdr:pic>
      <xdr:nvPicPr>
        <xdr:cNvPr id="207" name="Imagen 206" descr="Portugal">
          <a:extLst>
            <a:ext uri="{FF2B5EF4-FFF2-40B4-BE49-F238E27FC236}">
              <a16:creationId xmlns:a16="http://schemas.microsoft.com/office/drawing/2014/main" id="{84AE9CE4-53BB-4181-A186-3011C62F0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9775" y="3810000"/>
          <a:ext cx="1414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21</xdr:row>
      <xdr:rowOff>0</xdr:rowOff>
    </xdr:from>
    <xdr:to>
      <xdr:col>29</xdr:col>
      <xdr:colOff>141475</xdr:colOff>
      <xdr:row>21</xdr:row>
      <xdr:rowOff>85725</xdr:rowOff>
    </xdr:to>
    <xdr:pic>
      <xdr:nvPicPr>
        <xdr:cNvPr id="208" name="Imagen 207" descr="Portugal">
          <a:extLst>
            <a:ext uri="{FF2B5EF4-FFF2-40B4-BE49-F238E27FC236}">
              <a16:creationId xmlns:a16="http://schemas.microsoft.com/office/drawing/2014/main" id="{7A98AE5C-BC06-41E7-B323-DC6B45307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9775" y="4000500"/>
          <a:ext cx="1414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763454</xdr:colOff>
      <xdr:row>18</xdr:row>
      <xdr:rowOff>189046</xdr:rowOff>
    </xdr:from>
    <xdr:to>
      <xdr:col>13</xdr:col>
      <xdr:colOff>142874</xdr:colOff>
      <xdr:row>19</xdr:row>
      <xdr:rowOff>142875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E3812264-BD97-683F-4605-A960205B0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350973" y="3591870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12</xdr:col>
      <xdr:colOff>763454</xdr:colOff>
      <xdr:row>20</xdr:row>
      <xdr:rowOff>0</xdr:rowOff>
    </xdr:from>
    <xdr:to>
      <xdr:col>13</xdr:col>
      <xdr:colOff>142874</xdr:colOff>
      <xdr:row>20</xdr:row>
      <xdr:rowOff>142875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id="{37C5BB9E-4CEA-5193-6701-5BA085648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350973" y="3780916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12</xdr:col>
      <xdr:colOff>763454</xdr:colOff>
      <xdr:row>21</xdr:row>
      <xdr:rowOff>0</xdr:rowOff>
    </xdr:from>
    <xdr:to>
      <xdr:col>13</xdr:col>
      <xdr:colOff>142874</xdr:colOff>
      <xdr:row>21</xdr:row>
      <xdr:rowOff>142875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id="{FDFC72B2-B1CC-A350-3B05-0FFCE370F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350973" y="3969962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20</xdr:col>
      <xdr:colOff>763454</xdr:colOff>
      <xdr:row>17</xdr:row>
      <xdr:rowOff>0</xdr:rowOff>
    </xdr:from>
    <xdr:to>
      <xdr:col>21</xdr:col>
      <xdr:colOff>161925</xdr:colOff>
      <xdr:row>17</xdr:row>
      <xdr:rowOff>161925</xdr:rowOff>
    </xdr:to>
    <xdr:pic>
      <xdr:nvPicPr>
        <xdr:cNvPr id="212" name="Imagen 211" descr="LaLiga">
          <a:extLst>
            <a:ext uri="{FF2B5EF4-FFF2-40B4-BE49-F238E27FC236}">
              <a16:creationId xmlns:a16="http://schemas.microsoft.com/office/drawing/2014/main" id="{113DEAED-B90C-420A-93EE-3A0DE6AEF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8244" y="3213779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763454</xdr:colOff>
      <xdr:row>17</xdr:row>
      <xdr:rowOff>189044</xdr:rowOff>
    </xdr:from>
    <xdr:to>
      <xdr:col>21</xdr:col>
      <xdr:colOff>161925</xdr:colOff>
      <xdr:row>18</xdr:row>
      <xdr:rowOff>161924</xdr:rowOff>
    </xdr:to>
    <xdr:pic>
      <xdr:nvPicPr>
        <xdr:cNvPr id="213" name="Imagen 212" descr="LaLiga">
          <a:extLst>
            <a:ext uri="{FF2B5EF4-FFF2-40B4-BE49-F238E27FC236}">
              <a16:creationId xmlns:a16="http://schemas.microsoft.com/office/drawing/2014/main" id="{8F3912BB-6FB8-4F3B-A860-B675BF22B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8244" y="3402823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763454</xdr:colOff>
      <xdr:row>18</xdr:row>
      <xdr:rowOff>189046</xdr:rowOff>
    </xdr:from>
    <xdr:to>
      <xdr:col>21</xdr:col>
      <xdr:colOff>161925</xdr:colOff>
      <xdr:row>19</xdr:row>
      <xdr:rowOff>161925</xdr:rowOff>
    </xdr:to>
    <xdr:pic>
      <xdr:nvPicPr>
        <xdr:cNvPr id="214" name="Imagen 213">
          <a:extLst>
            <a:ext uri="{FF2B5EF4-FFF2-40B4-BE49-F238E27FC236}">
              <a16:creationId xmlns:a16="http://schemas.microsoft.com/office/drawing/2014/main" id="{66900795-6DB2-2512-563B-7517B3635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1168244" y="3591870"/>
          <a:ext cx="161925" cy="161925"/>
        </a:xfrm>
        <a:prstGeom prst="rect">
          <a:avLst/>
        </a:prstGeom>
      </xdr:spPr>
    </xdr:pic>
    <xdr:clientData/>
  </xdr:twoCellAnchor>
  <xdr:twoCellAnchor editAs="oneCell">
    <xdr:from>
      <xdr:col>20</xdr:col>
      <xdr:colOff>763454</xdr:colOff>
      <xdr:row>20</xdr:row>
      <xdr:rowOff>0</xdr:rowOff>
    </xdr:from>
    <xdr:to>
      <xdr:col>21</xdr:col>
      <xdr:colOff>161925</xdr:colOff>
      <xdr:row>20</xdr:row>
      <xdr:rowOff>161925</xdr:rowOff>
    </xdr:to>
    <xdr:pic>
      <xdr:nvPicPr>
        <xdr:cNvPr id="215" name="Imagen 214">
          <a:extLst>
            <a:ext uri="{FF2B5EF4-FFF2-40B4-BE49-F238E27FC236}">
              <a16:creationId xmlns:a16="http://schemas.microsoft.com/office/drawing/2014/main" id="{64E22210-5A7C-B6A5-4B7C-A8F713E9C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1168244" y="3780916"/>
          <a:ext cx="161925" cy="161925"/>
        </a:xfrm>
        <a:prstGeom prst="rect">
          <a:avLst/>
        </a:prstGeom>
      </xdr:spPr>
    </xdr:pic>
    <xdr:clientData/>
  </xdr:twoCellAnchor>
  <xdr:twoCellAnchor editAs="oneCell">
    <xdr:from>
      <xdr:col>20</xdr:col>
      <xdr:colOff>763454</xdr:colOff>
      <xdr:row>21</xdr:row>
      <xdr:rowOff>0</xdr:rowOff>
    </xdr:from>
    <xdr:to>
      <xdr:col>21</xdr:col>
      <xdr:colOff>161925</xdr:colOff>
      <xdr:row>21</xdr:row>
      <xdr:rowOff>161925</xdr:rowOff>
    </xdr:to>
    <xdr:pic>
      <xdr:nvPicPr>
        <xdr:cNvPr id="216" name="Imagen 215">
          <a:extLst>
            <a:ext uri="{FF2B5EF4-FFF2-40B4-BE49-F238E27FC236}">
              <a16:creationId xmlns:a16="http://schemas.microsoft.com/office/drawing/2014/main" id="{9064B0BD-12FB-1307-0F77-416E1A2CF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1168244" y="3969962"/>
          <a:ext cx="161925" cy="16192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23</xdr:row>
      <xdr:rowOff>0</xdr:rowOff>
    </xdr:from>
    <xdr:to>
      <xdr:col>25</xdr:col>
      <xdr:colOff>161925</xdr:colOff>
      <xdr:row>23</xdr:row>
      <xdr:rowOff>161925</xdr:rowOff>
    </xdr:to>
    <xdr:pic>
      <xdr:nvPicPr>
        <xdr:cNvPr id="2" name="Imagen 1" descr="UEFA Europa League">
          <a:extLst>
            <a:ext uri="{FF2B5EF4-FFF2-40B4-BE49-F238E27FC236}">
              <a16:creationId xmlns:a16="http://schemas.microsoft.com/office/drawing/2014/main" id="{8B7D2D8B-4EF2-C41F-CAF2-BC0B065FD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1775" y="4381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142876</xdr:colOff>
      <xdr:row>22</xdr:row>
      <xdr:rowOff>182562</xdr:rowOff>
    </xdr:from>
    <xdr:to>
      <xdr:col>25</xdr:col>
      <xdr:colOff>304801</xdr:colOff>
      <xdr:row>23</xdr:row>
      <xdr:rowOff>153987</xdr:rowOff>
    </xdr:to>
    <xdr:pic>
      <xdr:nvPicPr>
        <xdr:cNvPr id="3" name="Imagen 2" descr="Saudi Super Cup">
          <a:extLst>
            <a:ext uri="{FF2B5EF4-FFF2-40B4-BE49-F238E27FC236}">
              <a16:creationId xmlns:a16="http://schemas.microsoft.com/office/drawing/2014/main" id="{F29E3CE6-E190-D994-2259-E8B3D1B73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43064" y="4373562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158750</xdr:colOff>
      <xdr:row>22</xdr:row>
      <xdr:rowOff>182562</xdr:rowOff>
    </xdr:from>
    <xdr:to>
      <xdr:col>29</xdr:col>
      <xdr:colOff>320675</xdr:colOff>
      <xdr:row>23</xdr:row>
      <xdr:rowOff>153987</xdr:rowOff>
    </xdr:to>
    <xdr:pic>
      <xdr:nvPicPr>
        <xdr:cNvPr id="5" name="Imagen 4" descr="Copa Mundial 2022">
          <a:extLst>
            <a:ext uri="{FF2B5EF4-FFF2-40B4-BE49-F238E27FC236}">
              <a16:creationId xmlns:a16="http://schemas.microsoft.com/office/drawing/2014/main" id="{5AAB711C-ECD4-8E6A-3509-321F4EDDF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06938" y="4373562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22</xdr:row>
      <xdr:rowOff>0</xdr:rowOff>
    </xdr:from>
    <xdr:to>
      <xdr:col>25</xdr:col>
      <xdr:colOff>161925</xdr:colOff>
      <xdr:row>22</xdr:row>
      <xdr:rowOff>161925</xdr:rowOff>
    </xdr:to>
    <xdr:pic>
      <xdr:nvPicPr>
        <xdr:cNvPr id="13" name="Imagen 12" descr="FA Cup">
          <a:extLst>
            <a:ext uri="{FF2B5EF4-FFF2-40B4-BE49-F238E27FC236}">
              <a16:creationId xmlns:a16="http://schemas.microsoft.com/office/drawing/2014/main" id="{0F22B303-708F-A2E1-C58A-FFD4ED627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1775" y="4191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166685</xdr:colOff>
      <xdr:row>22</xdr:row>
      <xdr:rowOff>0</xdr:rowOff>
    </xdr:from>
    <xdr:to>
      <xdr:col>29</xdr:col>
      <xdr:colOff>328610</xdr:colOff>
      <xdr:row>22</xdr:row>
      <xdr:rowOff>161925</xdr:rowOff>
    </xdr:to>
    <xdr:pic>
      <xdr:nvPicPr>
        <xdr:cNvPr id="17" name="Imagen 16" descr="UEFA Nations League A">
          <a:extLst>
            <a:ext uri="{FF2B5EF4-FFF2-40B4-BE49-F238E27FC236}">
              <a16:creationId xmlns:a16="http://schemas.microsoft.com/office/drawing/2014/main" id="{0EF1728A-A79B-9B5C-1344-8C8BD6394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4873" y="4191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166692</xdr:colOff>
      <xdr:row>21</xdr:row>
      <xdr:rowOff>0</xdr:rowOff>
    </xdr:from>
    <xdr:to>
      <xdr:col>29</xdr:col>
      <xdr:colOff>328617</xdr:colOff>
      <xdr:row>21</xdr:row>
      <xdr:rowOff>161925</xdr:rowOff>
    </xdr:to>
    <xdr:pic>
      <xdr:nvPicPr>
        <xdr:cNvPr id="19" name="Imagen 18" descr="Eurocopa 2020">
          <a:extLst>
            <a:ext uri="{FF2B5EF4-FFF2-40B4-BE49-F238E27FC236}">
              <a16:creationId xmlns:a16="http://schemas.microsoft.com/office/drawing/2014/main" id="{81C321AB-0ABF-9F18-2974-4B4893171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4880" y="4000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21</xdr:row>
      <xdr:rowOff>7938</xdr:rowOff>
    </xdr:from>
    <xdr:to>
      <xdr:col>25</xdr:col>
      <xdr:colOff>161925</xdr:colOff>
      <xdr:row>21</xdr:row>
      <xdr:rowOff>169863</xdr:rowOff>
    </xdr:to>
    <xdr:pic>
      <xdr:nvPicPr>
        <xdr:cNvPr id="20" name="Imagen 19" descr="Copa Italia">
          <a:extLst>
            <a:ext uri="{FF2B5EF4-FFF2-40B4-BE49-F238E27FC236}">
              <a16:creationId xmlns:a16="http://schemas.microsoft.com/office/drawing/2014/main" id="{61655AE3-20FA-BFF4-F1F0-032D28C20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0188" y="4008438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127004</xdr:colOff>
      <xdr:row>21</xdr:row>
      <xdr:rowOff>7938</xdr:rowOff>
    </xdr:from>
    <xdr:to>
      <xdr:col>25</xdr:col>
      <xdr:colOff>288929</xdr:colOff>
      <xdr:row>21</xdr:row>
      <xdr:rowOff>169863</xdr:rowOff>
    </xdr:to>
    <xdr:pic>
      <xdr:nvPicPr>
        <xdr:cNvPr id="26" name="Imagen 25" descr="Supercopa de Italia">
          <a:extLst>
            <a:ext uri="{FF2B5EF4-FFF2-40B4-BE49-F238E27FC236}">
              <a16:creationId xmlns:a16="http://schemas.microsoft.com/office/drawing/2014/main" id="{E3F94013-312E-1824-E78B-BB6DF0804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27192" y="4008438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20</xdr:row>
      <xdr:rowOff>0</xdr:rowOff>
    </xdr:from>
    <xdr:to>
      <xdr:col>25</xdr:col>
      <xdr:colOff>161925</xdr:colOff>
      <xdr:row>20</xdr:row>
      <xdr:rowOff>161925</xdr:rowOff>
    </xdr:to>
    <xdr:pic>
      <xdr:nvPicPr>
        <xdr:cNvPr id="36" name="Imagen 35" descr="Copa Italia">
          <a:extLst>
            <a:ext uri="{FF2B5EF4-FFF2-40B4-BE49-F238E27FC236}">
              <a16:creationId xmlns:a16="http://schemas.microsoft.com/office/drawing/2014/main" id="{3665B6C5-2E28-9BBA-24F4-C11541016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1775" y="3810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134937</xdr:colOff>
      <xdr:row>20</xdr:row>
      <xdr:rowOff>1</xdr:rowOff>
    </xdr:from>
    <xdr:to>
      <xdr:col>25</xdr:col>
      <xdr:colOff>296862</xdr:colOff>
      <xdr:row>20</xdr:row>
      <xdr:rowOff>161926</xdr:rowOff>
    </xdr:to>
    <xdr:pic>
      <xdr:nvPicPr>
        <xdr:cNvPr id="37" name="Imagen 36" descr="Supercopa de Italia">
          <a:extLst>
            <a:ext uri="{FF2B5EF4-FFF2-40B4-BE49-F238E27FC236}">
              <a16:creationId xmlns:a16="http://schemas.microsoft.com/office/drawing/2014/main" id="{78C66D37-0D36-E49F-BF35-69719AC92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35125" y="3810001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19</xdr:row>
      <xdr:rowOff>0</xdr:rowOff>
    </xdr:from>
    <xdr:to>
      <xdr:col>25</xdr:col>
      <xdr:colOff>161925</xdr:colOff>
      <xdr:row>19</xdr:row>
      <xdr:rowOff>161925</xdr:rowOff>
    </xdr:to>
    <xdr:pic>
      <xdr:nvPicPr>
        <xdr:cNvPr id="38" name="Imagen 37" descr="Copa Italia">
          <a:extLst>
            <a:ext uri="{FF2B5EF4-FFF2-40B4-BE49-F238E27FC236}">
              <a16:creationId xmlns:a16="http://schemas.microsoft.com/office/drawing/2014/main" id="{EC4A3EBB-230B-8B14-DD26-AEE72BB90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1775" y="3619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134938</xdr:colOff>
      <xdr:row>19</xdr:row>
      <xdr:rowOff>0</xdr:rowOff>
    </xdr:from>
    <xdr:to>
      <xdr:col>25</xdr:col>
      <xdr:colOff>296863</xdr:colOff>
      <xdr:row>19</xdr:row>
      <xdr:rowOff>161925</xdr:rowOff>
    </xdr:to>
    <xdr:pic>
      <xdr:nvPicPr>
        <xdr:cNvPr id="39" name="Imagen 38" descr="Supercopa de Italia">
          <a:extLst>
            <a:ext uri="{FF2B5EF4-FFF2-40B4-BE49-F238E27FC236}">
              <a16:creationId xmlns:a16="http://schemas.microsoft.com/office/drawing/2014/main" id="{D3092302-20FD-791A-7C0B-C0B3FBD4A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35126" y="3619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142880</xdr:colOff>
      <xdr:row>19</xdr:row>
      <xdr:rowOff>0</xdr:rowOff>
    </xdr:from>
    <xdr:to>
      <xdr:col>29</xdr:col>
      <xdr:colOff>304805</xdr:colOff>
      <xdr:row>19</xdr:row>
      <xdr:rowOff>161925</xdr:rowOff>
    </xdr:to>
    <xdr:pic>
      <xdr:nvPicPr>
        <xdr:cNvPr id="58" name="Imagen 57" descr="UEFA Nations League Finals">
          <a:extLst>
            <a:ext uri="{FF2B5EF4-FFF2-40B4-BE49-F238E27FC236}">
              <a16:creationId xmlns:a16="http://schemas.microsoft.com/office/drawing/2014/main" id="{C12D6413-1400-B64B-934E-BC1208ABC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91068" y="3619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142875</xdr:colOff>
      <xdr:row>18</xdr:row>
      <xdr:rowOff>0</xdr:rowOff>
    </xdr:from>
    <xdr:to>
      <xdr:col>29</xdr:col>
      <xdr:colOff>304800</xdr:colOff>
      <xdr:row>18</xdr:row>
      <xdr:rowOff>161925</xdr:rowOff>
    </xdr:to>
    <xdr:pic>
      <xdr:nvPicPr>
        <xdr:cNvPr id="62" name="Imagen 61" descr="Copa Mundial 2018">
          <a:extLst>
            <a:ext uri="{FF2B5EF4-FFF2-40B4-BE49-F238E27FC236}">
              <a16:creationId xmlns:a16="http://schemas.microsoft.com/office/drawing/2014/main" id="{E6BA179D-4A36-719D-6018-243F8B34A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91063" y="3429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25</xdr:col>
      <xdr:colOff>161925</xdr:colOff>
      <xdr:row>18</xdr:row>
      <xdr:rowOff>161925</xdr:rowOff>
    </xdr:to>
    <xdr:pic>
      <xdr:nvPicPr>
        <xdr:cNvPr id="65" name="Imagen 64" descr="Mundial de Clubes">
          <a:extLst>
            <a:ext uri="{FF2B5EF4-FFF2-40B4-BE49-F238E27FC236}">
              <a16:creationId xmlns:a16="http://schemas.microsoft.com/office/drawing/2014/main" id="{35A7E00F-4B48-E2B9-8450-30A18AD75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1775" y="3429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127003</xdr:colOff>
      <xdr:row>18</xdr:row>
      <xdr:rowOff>0</xdr:rowOff>
    </xdr:from>
    <xdr:to>
      <xdr:col>25</xdr:col>
      <xdr:colOff>288928</xdr:colOff>
      <xdr:row>18</xdr:row>
      <xdr:rowOff>161925</xdr:rowOff>
    </xdr:to>
    <xdr:pic>
      <xdr:nvPicPr>
        <xdr:cNvPr id="66" name="Imagen 65" descr="Supercopa de Europa">
          <a:extLst>
            <a:ext uri="{FF2B5EF4-FFF2-40B4-BE49-F238E27FC236}">
              <a16:creationId xmlns:a16="http://schemas.microsoft.com/office/drawing/2014/main" id="{FCBF1294-2CD7-AF9D-6725-92320AD72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27191" y="3429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269882</xdr:colOff>
      <xdr:row>18</xdr:row>
      <xdr:rowOff>7938</xdr:rowOff>
    </xdr:from>
    <xdr:to>
      <xdr:col>25</xdr:col>
      <xdr:colOff>431807</xdr:colOff>
      <xdr:row>18</xdr:row>
      <xdr:rowOff>169863</xdr:rowOff>
    </xdr:to>
    <xdr:pic>
      <xdr:nvPicPr>
        <xdr:cNvPr id="67" name="Imagen 66" descr="Supercopa de España">
          <a:extLst>
            <a:ext uri="{FF2B5EF4-FFF2-40B4-BE49-F238E27FC236}">
              <a16:creationId xmlns:a16="http://schemas.microsoft.com/office/drawing/2014/main" id="{BAB0FBF5-032A-F64D-064D-FAC066694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0070" y="3436938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17</xdr:row>
      <xdr:rowOff>0</xdr:rowOff>
    </xdr:from>
    <xdr:to>
      <xdr:col>25</xdr:col>
      <xdr:colOff>159961</xdr:colOff>
      <xdr:row>17</xdr:row>
      <xdr:rowOff>165502</xdr:rowOff>
    </xdr:to>
    <xdr:pic>
      <xdr:nvPicPr>
        <xdr:cNvPr id="68" name="Imagen 67" descr="Mundial de Clubes">
          <a:extLst>
            <a:ext uri="{FF2B5EF4-FFF2-40B4-BE49-F238E27FC236}">
              <a16:creationId xmlns:a16="http://schemas.microsoft.com/office/drawing/2014/main" id="{C4FCCB45-EF0B-D072-DC82-A91E56F57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1775" y="3238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150813</xdr:colOff>
      <xdr:row>17</xdr:row>
      <xdr:rowOff>0</xdr:rowOff>
    </xdr:from>
    <xdr:to>
      <xdr:col>25</xdr:col>
      <xdr:colOff>310774</xdr:colOff>
      <xdr:row>17</xdr:row>
      <xdr:rowOff>165502</xdr:rowOff>
    </xdr:to>
    <xdr:pic>
      <xdr:nvPicPr>
        <xdr:cNvPr id="76" name="Imagen 75" descr="Copa del Rey">
          <a:extLst>
            <a:ext uri="{FF2B5EF4-FFF2-40B4-BE49-F238E27FC236}">
              <a16:creationId xmlns:a16="http://schemas.microsoft.com/office/drawing/2014/main" id="{FFEA44C4-4CA0-1723-3E34-96811F936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51001" y="3238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134937</xdr:colOff>
      <xdr:row>17</xdr:row>
      <xdr:rowOff>7938</xdr:rowOff>
    </xdr:from>
    <xdr:to>
      <xdr:col>29</xdr:col>
      <xdr:colOff>296862</xdr:colOff>
      <xdr:row>17</xdr:row>
      <xdr:rowOff>169863</xdr:rowOff>
    </xdr:to>
    <xdr:pic>
      <xdr:nvPicPr>
        <xdr:cNvPr id="83" name="Imagen 82" descr="Copa Confederaciones 2017">
          <a:extLst>
            <a:ext uri="{FF2B5EF4-FFF2-40B4-BE49-F238E27FC236}">
              <a16:creationId xmlns:a16="http://schemas.microsoft.com/office/drawing/2014/main" id="{4D8429FB-0B4F-95D6-90CF-D807B49F0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83125" y="3246438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150813</xdr:colOff>
      <xdr:row>16</xdr:row>
      <xdr:rowOff>0</xdr:rowOff>
    </xdr:from>
    <xdr:to>
      <xdr:col>29</xdr:col>
      <xdr:colOff>312738</xdr:colOff>
      <xdr:row>16</xdr:row>
      <xdr:rowOff>161925</xdr:rowOff>
    </xdr:to>
    <xdr:pic>
      <xdr:nvPicPr>
        <xdr:cNvPr id="91" name="Imagen 90" descr="Eurocopa 2016">
          <a:extLst>
            <a:ext uri="{FF2B5EF4-FFF2-40B4-BE49-F238E27FC236}">
              <a16:creationId xmlns:a16="http://schemas.microsoft.com/office/drawing/2014/main" id="{9DE9BA3A-0F41-0788-3998-A707766A3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99001" y="3048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460375</xdr:colOff>
      <xdr:row>15</xdr:row>
      <xdr:rowOff>7937</xdr:rowOff>
    </xdr:from>
    <xdr:to>
      <xdr:col>25</xdr:col>
      <xdr:colOff>622300</xdr:colOff>
      <xdr:row>15</xdr:row>
      <xdr:rowOff>169862</xdr:rowOff>
    </xdr:to>
    <xdr:pic>
      <xdr:nvPicPr>
        <xdr:cNvPr id="108" name="Imagen 107" descr="Mundial de Clubes">
          <a:extLst>
            <a:ext uri="{FF2B5EF4-FFF2-40B4-BE49-F238E27FC236}">
              <a16:creationId xmlns:a16="http://schemas.microsoft.com/office/drawing/2014/main" id="{4067C0F1-A643-434B-9E08-AF3CD21DB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0563" y="2865437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301626</xdr:colOff>
      <xdr:row>23</xdr:row>
      <xdr:rowOff>0</xdr:rowOff>
    </xdr:from>
    <xdr:to>
      <xdr:col>25</xdr:col>
      <xdr:colOff>463551</xdr:colOff>
      <xdr:row>23</xdr:row>
      <xdr:rowOff>163526</xdr:rowOff>
    </xdr:to>
    <xdr:pic>
      <xdr:nvPicPr>
        <xdr:cNvPr id="111" name="Imagen 110" descr="EFL Cup">
          <a:extLst>
            <a:ext uri="{FF2B5EF4-FFF2-40B4-BE49-F238E27FC236}">
              <a16:creationId xmlns:a16="http://schemas.microsoft.com/office/drawing/2014/main" id="{D6866794-2614-4C70-A445-909B2835C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01814" y="4381500"/>
          <a:ext cx="161925" cy="163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46911</xdr:colOff>
      <xdr:row>15</xdr:row>
      <xdr:rowOff>9589</xdr:rowOff>
    </xdr:from>
    <xdr:to>
      <xdr:col>3</xdr:col>
      <xdr:colOff>167472</xdr:colOff>
      <xdr:row>15</xdr:row>
      <xdr:rowOff>183586</xdr:rowOff>
    </xdr:to>
    <xdr:pic>
      <xdr:nvPicPr>
        <xdr:cNvPr id="139" name="Imagen 138" descr="Réplica bota de oro">
          <a:extLst>
            <a:ext uri="{FF2B5EF4-FFF2-40B4-BE49-F238E27FC236}">
              <a16:creationId xmlns:a16="http://schemas.microsoft.com/office/drawing/2014/main" id="{C82E2B92-AF09-426D-92B0-149292E48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6332" y="2884513"/>
          <a:ext cx="120561" cy="173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64568</xdr:colOff>
      <xdr:row>16</xdr:row>
      <xdr:rowOff>4356</xdr:rowOff>
    </xdr:from>
    <xdr:to>
      <xdr:col>3</xdr:col>
      <xdr:colOff>146362</xdr:colOff>
      <xdr:row>16</xdr:row>
      <xdr:rowOff>185216</xdr:rowOff>
    </xdr:to>
    <xdr:pic>
      <xdr:nvPicPr>
        <xdr:cNvPr id="156" name="Imagen 155" descr="No hay descripción disponible.">
          <a:extLst>
            <a:ext uri="{FF2B5EF4-FFF2-40B4-BE49-F238E27FC236}">
              <a16:creationId xmlns:a16="http://schemas.microsoft.com/office/drawing/2014/main" id="{AAA2BCA3-842C-366F-35D5-A6E19AD9BA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88" t="7721" r="50169" b="8354"/>
        <a:stretch/>
      </xdr:blipFill>
      <xdr:spPr bwMode="auto">
        <a:xfrm>
          <a:off x="2863989" y="3070941"/>
          <a:ext cx="81794" cy="180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154723</xdr:colOff>
      <xdr:row>16</xdr:row>
      <xdr:rowOff>7435</xdr:rowOff>
    </xdr:from>
    <xdr:to>
      <xdr:col>3</xdr:col>
      <xdr:colOff>329179</xdr:colOff>
      <xdr:row>16</xdr:row>
      <xdr:rowOff>154630</xdr:rowOff>
    </xdr:to>
    <xdr:pic>
      <xdr:nvPicPr>
        <xdr:cNvPr id="161" name="Imagen 160" descr="Mejor Jugador en Europa UEFA">
          <a:extLst>
            <a:ext uri="{FF2B5EF4-FFF2-40B4-BE49-F238E27FC236}">
              <a16:creationId xmlns:a16="http://schemas.microsoft.com/office/drawing/2014/main" id="{F3518D8E-D6E5-4E9C-9F61-CA4484C03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4144" y="3074020"/>
          <a:ext cx="174456" cy="1471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493158</xdr:colOff>
      <xdr:row>16</xdr:row>
      <xdr:rowOff>9499</xdr:rowOff>
    </xdr:from>
    <xdr:to>
      <xdr:col>3</xdr:col>
      <xdr:colOff>613719</xdr:colOff>
      <xdr:row>16</xdr:row>
      <xdr:rowOff>183496</xdr:rowOff>
    </xdr:to>
    <xdr:pic>
      <xdr:nvPicPr>
        <xdr:cNvPr id="164" name="Imagen 163" descr="Réplica bota de oro">
          <a:extLst>
            <a:ext uri="{FF2B5EF4-FFF2-40B4-BE49-F238E27FC236}">
              <a16:creationId xmlns:a16="http://schemas.microsoft.com/office/drawing/2014/main" id="{AEDA2134-12EA-4D22-9C72-B376DC74B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2579" y="3076084"/>
          <a:ext cx="120561" cy="173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180046</xdr:rowOff>
    </xdr:from>
    <xdr:to>
      <xdr:col>3</xdr:col>
      <xdr:colOff>226218</xdr:colOff>
      <xdr:row>11</xdr:row>
      <xdr:rowOff>24102</xdr:rowOff>
    </xdr:to>
    <xdr:pic>
      <xdr:nvPicPr>
        <xdr:cNvPr id="233" name="Imagen 232" descr="Honour Listings - TheSportsDB.com">
          <a:extLst>
            <a:ext uri="{FF2B5EF4-FFF2-40B4-BE49-F238E27FC236}">
              <a16:creationId xmlns:a16="http://schemas.microsoft.com/office/drawing/2014/main" id="{286014C4-2C37-4E2F-BB2C-5A929E1BB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9421" y="1905000"/>
          <a:ext cx="226218" cy="227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130264</xdr:colOff>
      <xdr:row>11</xdr:row>
      <xdr:rowOff>175399</xdr:rowOff>
    </xdr:from>
    <xdr:to>
      <xdr:col>3</xdr:col>
      <xdr:colOff>356482</xdr:colOff>
      <xdr:row>13</xdr:row>
      <xdr:rowOff>20617</xdr:rowOff>
    </xdr:to>
    <xdr:pic>
      <xdr:nvPicPr>
        <xdr:cNvPr id="234" name="Imagen 233" descr="Honour Listings - TheSportsDB.com">
          <a:extLst>
            <a:ext uri="{FF2B5EF4-FFF2-40B4-BE49-F238E27FC236}">
              <a16:creationId xmlns:a16="http://schemas.microsoft.com/office/drawing/2014/main" id="{75A7FAF2-6EE4-4428-9677-FB138DCAB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9685" y="2283676"/>
          <a:ext cx="226218" cy="228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140923</xdr:colOff>
      <xdr:row>12</xdr:row>
      <xdr:rowOff>171591</xdr:rowOff>
    </xdr:from>
    <xdr:to>
      <xdr:col>3</xdr:col>
      <xdr:colOff>367141</xdr:colOff>
      <xdr:row>14</xdr:row>
      <xdr:rowOff>16809</xdr:rowOff>
    </xdr:to>
    <xdr:pic>
      <xdr:nvPicPr>
        <xdr:cNvPr id="235" name="Imagen 234" descr="Honour Listings - TheSportsDB.com">
          <a:extLst>
            <a:ext uri="{FF2B5EF4-FFF2-40B4-BE49-F238E27FC236}">
              <a16:creationId xmlns:a16="http://schemas.microsoft.com/office/drawing/2014/main" id="{9C565809-688A-46E3-A1AD-9E40E8906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0344" y="2471530"/>
          <a:ext cx="226218" cy="228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138032</xdr:colOff>
      <xdr:row>13</xdr:row>
      <xdr:rowOff>171089</xdr:rowOff>
    </xdr:from>
    <xdr:to>
      <xdr:col>3</xdr:col>
      <xdr:colOff>364250</xdr:colOff>
      <xdr:row>15</xdr:row>
      <xdr:rowOff>16307</xdr:rowOff>
    </xdr:to>
    <xdr:pic>
      <xdr:nvPicPr>
        <xdr:cNvPr id="236" name="Imagen 235" descr="Honour Listings - TheSportsDB.com">
          <a:extLst>
            <a:ext uri="{FF2B5EF4-FFF2-40B4-BE49-F238E27FC236}">
              <a16:creationId xmlns:a16="http://schemas.microsoft.com/office/drawing/2014/main" id="{D0A2A34D-16DE-40D8-A4E6-1153B4B79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7453" y="2662690"/>
          <a:ext cx="226218" cy="228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283509</xdr:colOff>
      <xdr:row>15</xdr:row>
      <xdr:rowOff>158971</xdr:rowOff>
    </xdr:from>
    <xdr:to>
      <xdr:col>3</xdr:col>
      <xdr:colOff>509727</xdr:colOff>
      <xdr:row>17</xdr:row>
      <xdr:rowOff>4189</xdr:rowOff>
    </xdr:to>
    <xdr:pic>
      <xdr:nvPicPr>
        <xdr:cNvPr id="237" name="Imagen 236" descr="Honour Listings - TheSportsDB.com">
          <a:extLst>
            <a:ext uri="{FF2B5EF4-FFF2-40B4-BE49-F238E27FC236}">
              <a16:creationId xmlns:a16="http://schemas.microsoft.com/office/drawing/2014/main" id="{55AA1A78-908F-472F-B88C-FDB9B1CCE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2930" y="3033895"/>
          <a:ext cx="226218" cy="228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282416</xdr:colOff>
      <xdr:row>16</xdr:row>
      <xdr:rowOff>168152</xdr:rowOff>
    </xdr:from>
    <xdr:to>
      <xdr:col>3</xdr:col>
      <xdr:colOff>508634</xdr:colOff>
      <xdr:row>18</xdr:row>
      <xdr:rowOff>12800</xdr:rowOff>
    </xdr:to>
    <xdr:pic>
      <xdr:nvPicPr>
        <xdr:cNvPr id="238" name="Imagen 237" descr="Honour Listings - TheSportsDB.com">
          <a:extLst>
            <a:ext uri="{FF2B5EF4-FFF2-40B4-BE49-F238E27FC236}">
              <a16:creationId xmlns:a16="http://schemas.microsoft.com/office/drawing/2014/main" id="{A018A991-F420-4224-B3A6-267A1D2BD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1837" y="3234737"/>
          <a:ext cx="226218" cy="227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443543</xdr:colOff>
      <xdr:row>17</xdr:row>
      <xdr:rowOff>171738</xdr:rowOff>
    </xdr:from>
    <xdr:to>
      <xdr:col>3</xdr:col>
      <xdr:colOff>669191</xdr:colOff>
      <xdr:row>19</xdr:row>
      <xdr:rowOff>16956</xdr:rowOff>
    </xdr:to>
    <xdr:pic>
      <xdr:nvPicPr>
        <xdr:cNvPr id="239" name="Imagen 238" descr="Honour Listings - TheSportsDB.com">
          <a:extLst>
            <a:ext uri="{FF2B5EF4-FFF2-40B4-BE49-F238E27FC236}">
              <a16:creationId xmlns:a16="http://schemas.microsoft.com/office/drawing/2014/main" id="{36675BDA-3026-4C41-BBF9-04999D8F3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2964" y="3429985"/>
          <a:ext cx="225648" cy="228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162638</xdr:colOff>
      <xdr:row>18</xdr:row>
      <xdr:rowOff>174643</xdr:rowOff>
    </xdr:from>
    <xdr:to>
      <xdr:col>3</xdr:col>
      <xdr:colOff>388856</xdr:colOff>
      <xdr:row>20</xdr:row>
      <xdr:rowOff>19861</xdr:rowOff>
    </xdr:to>
    <xdr:pic>
      <xdr:nvPicPr>
        <xdr:cNvPr id="240" name="Imagen 239" descr="Honour Listings - TheSportsDB.com">
          <a:extLst>
            <a:ext uri="{FF2B5EF4-FFF2-40B4-BE49-F238E27FC236}">
              <a16:creationId xmlns:a16="http://schemas.microsoft.com/office/drawing/2014/main" id="{B9F1B7D0-BD97-4DAC-83AB-85E3E7827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059" y="3624552"/>
          <a:ext cx="226218" cy="228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283178</xdr:colOff>
      <xdr:row>10</xdr:row>
      <xdr:rowOff>171998</xdr:rowOff>
    </xdr:from>
    <xdr:to>
      <xdr:col>3</xdr:col>
      <xdr:colOff>509396</xdr:colOff>
      <xdr:row>12</xdr:row>
      <xdr:rowOff>17216</xdr:rowOff>
    </xdr:to>
    <xdr:pic>
      <xdr:nvPicPr>
        <xdr:cNvPr id="241" name="Imagen 240" descr="Honour Listings - TheSportsDB.com">
          <a:extLst>
            <a:ext uri="{FF2B5EF4-FFF2-40B4-BE49-F238E27FC236}">
              <a16:creationId xmlns:a16="http://schemas.microsoft.com/office/drawing/2014/main" id="{231A4ED1-224F-433F-9DF1-4212F4821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2599" y="2088614"/>
          <a:ext cx="226218" cy="228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277335</xdr:colOff>
      <xdr:row>14</xdr:row>
      <xdr:rowOff>177299</xdr:rowOff>
    </xdr:from>
    <xdr:to>
      <xdr:col>3</xdr:col>
      <xdr:colOff>503553</xdr:colOff>
      <xdr:row>16</xdr:row>
      <xdr:rowOff>22517</xdr:rowOff>
    </xdr:to>
    <xdr:pic>
      <xdr:nvPicPr>
        <xdr:cNvPr id="242" name="Imagen 241" descr="Honour Listings - TheSportsDB.com">
          <a:extLst>
            <a:ext uri="{FF2B5EF4-FFF2-40B4-BE49-F238E27FC236}">
              <a16:creationId xmlns:a16="http://schemas.microsoft.com/office/drawing/2014/main" id="{986581F7-4C78-4E59-87E5-BF8CDC15A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756" y="2860561"/>
          <a:ext cx="226218" cy="228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181428</xdr:colOff>
      <xdr:row>7</xdr:row>
      <xdr:rowOff>1247</xdr:rowOff>
    </xdr:from>
    <xdr:to>
      <xdr:col>3</xdr:col>
      <xdr:colOff>244414</xdr:colOff>
      <xdr:row>7</xdr:row>
      <xdr:rowOff>183463</xdr:rowOff>
    </xdr:to>
    <xdr:pic>
      <xdr:nvPicPr>
        <xdr:cNvPr id="243" name="Imagen 242" descr="Player of the Season Football Trophy - Online Trophies">
          <a:extLst>
            <a:ext uri="{FF2B5EF4-FFF2-40B4-BE49-F238E27FC236}">
              <a16:creationId xmlns:a16="http://schemas.microsoft.com/office/drawing/2014/main" id="{960BB1B6-D3CF-4133-1835-E94DD9E5F3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773" r="33442" b="1679"/>
        <a:stretch/>
      </xdr:blipFill>
      <xdr:spPr bwMode="auto">
        <a:xfrm>
          <a:off x="2980849" y="1342878"/>
          <a:ext cx="62986" cy="182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307535</xdr:colOff>
      <xdr:row>7</xdr:row>
      <xdr:rowOff>7807</xdr:rowOff>
    </xdr:from>
    <xdr:to>
      <xdr:col>3</xdr:col>
      <xdr:colOff>490224</xdr:colOff>
      <xdr:row>8</xdr:row>
      <xdr:rowOff>502</xdr:rowOff>
    </xdr:to>
    <xdr:pic>
      <xdr:nvPicPr>
        <xdr:cNvPr id="244" name="Imagen 243" descr="Honour Listings - TheSportsDB.com">
          <a:extLst>
            <a:ext uri="{FF2B5EF4-FFF2-40B4-BE49-F238E27FC236}">
              <a16:creationId xmlns:a16="http://schemas.microsoft.com/office/drawing/2014/main" id="{7B4D91E0-CA1E-410B-9BF9-66319D891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6956" y="1349438"/>
          <a:ext cx="182689" cy="184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770787</xdr:colOff>
      <xdr:row>8</xdr:row>
      <xdr:rowOff>3000</xdr:rowOff>
    </xdr:from>
    <xdr:to>
      <xdr:col>3</xdr:col>
      <xdr:colOff>833773</xdr:colOff>
      <xdr:row>8</xdr:row>
      <xdr:rowOff>185596</xdr:rowOff>
    </xdr:to>
    <xdr:pic>
      <xdr:nvPicPr>
        <xdr:cNvPr id="245" name="Imagen 244" descr="Player of the Season Football Trophy - Online Trophies">
          <a:extLst>
            <a:ext uri="{FF2B5EF4-FFF2-40B4-BE49-F238E27FC236}">
              <a16:creationId xmlns:a16="http://schemas.microsoft.com/office/drawing/2014/main" id="{71ABF8CC-C636-4DC5-ADD6-C7EEC95221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773" r="33442" b="1679"/>
        <a:stretch/>
      </xdr:blipFill>
      <xdr:spPr bwMode="auto">
        <a:xfrm>
          <a:off x="3570208" y="1536293"/>
          <a:ext cx="62986" cy="1825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471204</xdr:colOff>
      <xdr:row>9</xdr:row>
      <xdr:rowOff>999</xdr:rowOff>
    </xdr:from>
    <xdr:to>
      <xdr:col>3</xdr:col>
      <xdr:colOff>534190</xdr:colOff>
      <xdr:row>9</xdr:row>
      <xdr:rowOff>183215</xdr:rowOff>
    </xdr:to>
    <xdr:pic>
      <xdr:nvPicPr>
        <xdr:cNvPr id="246" name="Imagen 245" descr="Player of the Season Football Trophy - Online Trophies">
          <a:extLst>
            <a:ext uri="{FF2B5EF4-FFF2-40B4-BE49-F238E27FC236}">
              <a16:creationId xmlns:a16="http://schemas.microsoft.com/office/drawing/2014/main" id="{93233B98-23D5-4CAA-AB89-3FA51DCA9E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773" r="33442" b="1679"/>
        <a:stretch/>
      </xdr:blipFill>
      <xdr:spPr bwMode="auto">
        <a:xfrm>
          <a:off x="3270625" y="1725953"/>
          <a:ext cx="62986" cy="182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355092</xdr:colOff>
      <xdr:row>12</xdr:row>
      <xdr:rowOff>188759</xdr:rowOff>
    </xdr:from>
    <xdr:to>
      <xdr:col>3</xdr:col>
      <xdr:colOff>418078</xdr:colOff>
      <xdr:row>13</xdr:row>
      <xdr:rowOff>179313</xdr:rowOff>
    </xdr:to>
    <xdr:pic>
      <xdr:nvPicPr>
        <xdr:cNvPr id="247" name="Imagen 246" descr="Player of the Season Football Trophy - Online Trophies">
          <a:extLst>
            <a:ext uri="{FF2B5EF4-FFF2-40B4-BE49-F238E27FC236}">
              <a16:creationId xmlns:a16="http://schemas.microsoft.com/office/drawing/2014/main" id="{DD3A09D9-BCCD-4E75-9EA9-4773A1A793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773" r="33442" b="1679"/>
        <a:stretch/>
      </xdr:blipFill>
      <xdr:spPr bwMode="auto">
        <a:xfrm>
          <a:off x="3154513" y="2488698"/>
          <a:ext cx="62986" cy="182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362853</xdr:colOff>
      <xdr:row>14</xdr:row>
      <xdr:rowOff>3904</xdr:rowOff>
    </xdr:from>
    <xdr:to>
      <xdr:col>3</xdr:col>
      <xdr:colOff>425839</xdr:colOff>
      <xdr:row>14</xdr:row>
      <xdr:rowOff>186120</xdr:rowOff>
    </xdr:to>
    <xdr:pic>
      <xdr:nvPicPr>
        <xdr:cNvPr id="248" name="Imagen 247" descr="Player of the Season Football Trophy - Online Trophies">
          <a:extLst>
            <a:ext uri="{FF2B5EF4-FFF2-40B4-BE49-F238E27FC236}">
              <a16:creationId xmlns:a16="http://schemas.microsoft.com/office/drawing/2014/main" id="{9373C849-1BA8-44FA-9326-785293FC4D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773" r="33442" b="1679"/>
        <a:stretch/>
      </xdr:blipFill>
      <xdr:spPr bwMode="auto">
        <a:xfrm>
          <a:off x="3162274" y="2687166"/>
          <a:ext cx="62986" cy="182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381320</xdr:colOff>
      <xdr:row>19</xdr:row>
      <xdr:rowOff>3852</xdr:rowOff>
    </xdr:from>
    <xdr:to>
      <xdr:col>3</xdr:col>
      <xdr:colOff>444306</xdr:colOff>
      <xdr:row>19</xdr:row>
      <xdr:rowOff>186068</xdr:rowOff>
    </xdr:to>
    <xdr:pic>
      <xdr:nvPicPr>
        <xdr:cNvPr id="249" name="Imagen 248" descr="Player of the Season Football Trophy - Online Trophies">
          <a:extLst>
            <a:ext uri="{FF2B5EF4-FFF2-40B4-BE49-F238E27FC236}">
              <a16:creationId xmlns:a16="http://schemas.microsoft.com/office/drawing/2014/main" id="{E77F2F44-0B36-40F7-ADA7-036E098DE3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773" r="33442" b="1679"/>
        <a:stretch/>
      </xdr:blipFill>
      <xdr:spPr bwMode="auto">
        <a:xfrm>
          <a:off x="3180741" y="3645422"/>
          <a:ext cx="62986" cy="182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630399</xdr:colOff>
      <xdr:row>15</xdr:row>
      <xdr:rowOff>185853</xdr:rowOff>
    </xdr:from>
    <xdr:to>
      <xdr:col>3</xdr:col>
      <xdr:colOff>798355</xdr:colOff>
      <xdr:row>16</xdr:row>
      <xdr:rowOff>173048</xdr:rowOff>
    </xdr:to>
    <xdr:pic>
      <xdr:nvPicPr>
        <xdr:cNvPr id="250" name="Imagen 249" descr="Ganador Ballon d'Or">
          <a:extLst>
            <a:ext uri="{FF2B5EF4-FFF2-40B4-BE49-F238E27FC236}">
              <a16:creationId xmlns:a16="http://schemas.microsoft.com/office/drawing/2014/main" id="{84C9D356-F5A1-46D3-98B0-2B1BFEDA2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820" y="3060777"/>
          <a:ext cx="167956" cy="178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481854</xdr:colOff>
      <xdr:row>15</xdr:row>
      <xdr:rowOff>1566</xdr:rowOff>
    </xdr:from>
    <xdr:to>
      <xdr:col>3</xdr:col>
      <xdr:colOff>574173</xdr:colOff>
      <xdr:row>16</xdr:row>
      <xdr:rowOff>3127</xdr:rowOff>
    </xdr:to>
    <xdr:pic>
      <xdr:nvPicPr>
        <xdr:cNvPr id="251" name="Imagen 250">
          <a:extLst>
            <a:ext uri="{FF2B5EF4-FFF2-40B4-BE49-F238E27FC236}">
              <a16:creationId xmlns:a16="http://schemas.microsoft.com/office/drawing/2014/main" id="{9FABED27-B991-4C75-8931-4EA8EAB1D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BEBA8EAE-BF5A-486C-A8C5-ECC9F3942E4B}">
              <a14:imgProps xmlns:a14="http://schemas.microsoft.com/office/drawing/2010/main">
                <a14:imgLayer r:embed="rId32">
                  <a14:imgEffect>
                    <a14:backgroundRemoval t="5031" b="91195" l="9211" r="89474">
                      <a14:foregroundMark x1="40789" y1="5660" x2="40789" y2="5660"/>
                      <a14:foregroundMark x1="46053" y1="65409" x2="46053" y2="65409"/>
                      <a14:foregroundMark x1="48684" y1="72327" x2="48684" y2="72327"/>
                      <a14:foregroundMark x1="55263" y1="62893" x2="55263" y2="62893"/>
                      <a14:foregroundMark x1="55263" y1="71069" x2="55263" y2="71069"/>
                      <a14:foregroundMark x1="59211" y1="74214" x2="59211" y2="74214"/>
                      <a14:foregroundMark x1="34211" y1="74843" x2="34211" y2="74843"/>
                      <a14:foregroundMark x1="28947" y1="79245" x2="28947" y2="79245"/>
                      <a14:foregroundMark x1="31579" y1="76730" x2="31579" y2="76730"/>
                      <a14:foregroundMark x1="22368" y1="79245" x2="22368" y2="79245"/>
                      <a14:foregroundMark x1="21053" y1="83648" x2="21053" y2="83648"/>
                      <a14:foregroundMark x1="48684" y1="88679" x2="48684" y2="88679"/>
                      <a14:foregroundMark x1="60526" y1="91195" x2="60526" y2="91195"/>
                      <a14:foregroundMark x1="40789" y1="83019" x2="40789" y2="83019"/>
                      <a14:foregroundMark x1="57895" y1="84906" x2="57895" y2="84906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81275" y="2876490"/>
          <a:ext cx="92319" cy="193222"/>
        </a:xfrm>
        <a:prstGeom prst="rect">
          <a:avLst/>
        </a:prstGeom>
      </xdr:spPr>
    </xdr:pic>
    <xdr:clientData/>
  </xdr:twoCellAnchor>
  <xdr:twoCellAnchor editAs="oneCell">
    <xdr:from>
      <xdr:col>3</xdr:col>
      <xdr:colOff>637349</xdr:colOff>
      <xdr:row>13</xdr:row>
      <xdr:rowOff>186853</xdr:rowOff>
    </xdr:from>
    <xdr:to>
      <xdr:col>3</xdr:col>
      <xdr:colOff>729668</xdr:colOff>
      <xdr:row>14</xdr:row>
      <xdr:rowOff>187823</xdr:rowOff>
    </xdr:to>
    <xdr:pic>
      <xdr:nvPicPr>
        <xdr:cNvPr id="252" name="Imagen 251">
          <a:extLst>
            <a:ext uri="{FF2B5EF4-FFF2-40B4-BE49-F238E27FC236}">
              <a16:creationId xmlns:a16="http://schemas.microsoft.com/office/drawing/2014/main" id="{1E0C6DC8-8E94-467E-AE1D-0843D4B6E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BEBA8EAE-BF5A-486C-A8C5-ECC9F3942E4B}">
              <a14:imgProps xmlns:a14="http://schemas.microsoft.com/office/drawing/2010/main">
                <a14:imgLayer r:embed="rId32">
                  <a14:imgEffect>
                    <a14:backgroundRemoval t="5031" b="91195" l="9211" r="89474">
                      <a14:foregroundMark x1="40789" y1="5660" x2="40789" y2="5660"/>
                      <a14:foregroundMark x1="46053" y1="65409" x2="46053" y2="65409"/>
                      <a14:foregroundMark x1="48684" y1="72327" x2="48684" y2="72327"/>
                      <a14:foregroundMark x1="55263" y1="62893" x2="55263" y2="62893"/>
                      <a14:foregroundMark x1="55263" y1="71069" x2="55263" y2="71069"/>
                      <a14:foregroundMark x1="59211" y1="74214" x2="59211" y2="74214"/>
                      <a14:foregroundMark x1="34211" y1="74843" x2="34211" y2="74843"/>
                      <a14:foregroundMark x1="28947" y1="79245" x2="28947" y2="79245"/>
                      <a14:foregroundMark x1="31579" y1="76730" x2="31579" y2="76730"/>
                      <a14:foregroundMark x1="22368" y1="79245" x2="22368" y2="79245"/>
                      <a14:foregroundMark x1="21053" y1="83648" x2="21053" y2="83648"/>
                      <a14:foregroundMark x1="48684" y1="88679" x2="48684" y2="88679"/>
                      <a14:foregroundMark x1="60526" y1="91195" x2="60526" y2="91195"/>
                      <a14:foregroundMark x1="40789" y1="83019" x2="40789" y2="83019"/>
                      <a14:foregroundMark x1="57895" y1="84906" x2="57895" y2="84906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436770" y="2678454"/>
          <a:ext cx="92319" cy="192631"/>
        </a:xfrm>
        <a:prstGeom prst="rect">
          <a:avLst/>
        </a:prstGeom>
      </xdr:spPr>
    </xdr:pic>
    <xdr:clientData/>
  </xdr:twoCellAnchor>
  <xdr:twoCellAnchor editAs="oneCell">
    <xdr:from>
      <xdr:col>3</xdr:col>
      <xdr:colOff>732036</xdr:colOff>
      <xdr:row>13</xdr:row>
      <xdr:rowOff>189756</xdr:rowOff>
    </xdr:from>
    <xdr:to>
      <xdr:col>3</xdr:col>
      <xdr:colOff>824355</xdr:colOff>
      <xdr:row>15</xdr:row>
      <xdr:rowOff>226</xdr:rowOff>
    </xdr:to>
    <xdr:pic>
      <xdr:nvPicPr>
        <xdr:cNvPr id="254" name="Imagen 253">
          <a:extLst>
            <a:ext uri="{FF2B5EF4-FFF2-40B4-BE49-F238E27FC236}">
              <a16:creationId xmlns:a16="http://schemas.microsoft.com/office/drawing/2014/main" id="{7C82868A-713B-44E5-8442-01DD8EDB6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BEBA8EAE-BF5A-486C-A8C5-ECC9F3942E4B}">
              <a14:imgProps xmlns:a14="http://schemas.microsoft.com/office/drawing/2010/main">
                <a14:imgLayer r:embed="rId32">
                  <a14:imgEffect>
                    <a14:backgroundRemoval t="5031" b="91195" l="9211" r="89474">
                      <a14:foregroundMark x1="40789" y1="5660" x2="40789" y2="5660"/>
                      <a14:foregroundMark x1="46053" y1="65409" x2="46053" y2="65409"/>
                      <a14:foregroundMark x1="48684" y1="72327" x2="48684" y2="72327"/>
                      <a14:foregroundMark x1="55263" y1="62893" x2="55263" y2="62893"/>
                      <a14:foregroundMark x1="55263" y1="71069" x2="55263" y2="71069"/>
                      <a14:foregroundMark x1="59211" y1="74214" x2="59211" y2="74214"/>
                      <a14:foregroundMark x1="34211" y1="74843" x2="34211" y2="74843"/>
                      <a14:foregroundMark x1="28947" y1="79245" x2="28947" y2="79245"/>
                      <a14:foregroundMark x1="31579" y1="76730" x2="31579" y2="76730"/>
                      <a14:foregroundMark x1="22368" y1="79245" x2="22368" y2="79245"/>
                      <a14:foregroundMark x1="21053" y1="83648" x2="21053" y2="83648"/>
                      <a14:foregroundMark x1="48684" y1="88679" x2="48684" y2="88679"/>
                      <a14:foregroundMark x1="60526" y1="91195" x2="60526" y2="91195"/>
                      <a14:foregroundMark x1="40789" y1="83019" x2="40789" y2="83019"/>
                      <a14:foregroundMark x1="57895" y1="84906" x2="57895" y2="84906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531457" y="2681357"/>
          <a:ext cx="92319" cy="192631"/>
        </a:xfrm>
        <a:prstGeom prst="rect">
          <a:avLst/>
        </a:prstGeom>
      </xdr:spPr>
    </xdr:pic>
    <xdr:clientData/>
  </xdr:twoCellAnchor>
  <xdr:twoCellAnchor editAs="oneCell">
    <xdr:from>
      <xdr:col>3</xdr:col>
      <xdr:colOff>826725</xdr:colOff>
      <xdr:row>13</xdr:row>
      <xdr:rowOff>189756</xdr:rowOff>
    </xdr:from>
    <xdr:to>
      <xdr:col>3</xdr:col>
      <xdr:colOff>919044</xdr:colOff>
      <xdr:row>15</xdr:row>
      <xdr:rowOff>226</xdr:rowOff>
    </xdr:to>
    <xdr:pic>
      <xdr:nvPicPr>
        <xdr:cNvPr id="255" name="Imagen 254">
          <a:extLst>
            <a:ext uri="{FF2B5EF4-FFF2-40B4-BE49-F238E27FC236}">
              <a16:creationId xmlns:a16="http://schemas.microsoft.com/office/drawing/2014/main" id="{7FD43666-C817-4503-A277-5BDFF9744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BEBA8EAE-BF5A-486C-A8C5-ECC9F3942E4B}">
              <a14:imgProps xmlns:a14="http://schemas.microsoft.com/office/drawing/2010/main">
                <a14:imgLayer r:embed="rId32">
                  <a14:imgEffect>
                    <a14:backgroundRemoval t="5031" b="91195" l="9211" r="89474">
                      <a14:foregroundMark x1="40789" y1="5660" x2="40789" y2="5660"/>
                      <a14:foregroundMark x1="46053" y1="65409" x2="46053" y2="65409"/>
                      <a14:foregroundMark x1="48684" y1="72327" x2="48684" y2="72327"/>
                      <a14:foregroundMark x1="55263" y1="62893" x2="55263" y2="62893"/>
                      <a14:foregroundMark x1="55263" y1="71069" x2="55263" y2="71069"/>
                      <a14:foregroundMark x1="59211" y1="74214" x2="59211" y2="74214"/>
                      <a14:foregroundMark x1="34211" y1="74843" x2="34211" y2="74843"/>
                      <a14:foregroundMark x1="28947" y1="79245" x2="28947" y2="79245"/>
                      <a14:foregroundMark x1="31579" y1="76730" x2="31579" y2="76730"/>
                      <a14:foregroundMark x1="22368" y1="79245" x2="22368" y2="79245"/>
                      <a14:foregroundMark x1="21053" y1="83648" x2="21053" y2="83648"/>
                      <a14:foregroundMark x1="48684" y1="88679" x2="48684" y2="88679"/>
                      <a14:foregroundMark x1="60526" y1="91195" x2="60526" y2="91195"/>
                      <a14:foregroundMark x1="40789" y1="83019" x2="40789" y2="83019"/>
                      <a14:foregroundMark x1="57895" y1="84906" x2="57895" y2="84906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626146" y="2681357"/>
          <a:ext cx="92319" cy="192631"/>
        </a:xfrm>
        <a:prstGeom prst="rect">
          <a:avLst/>
        </a:prstGeom>
      </xdr:spPr>
    </xdr:pic>
    <xdr:clientData/>
  </xdr:twoCellAnchor>
  <xdr:twoCellAnchor editAs="oneCell">
    <xdr:from>
      <xdr:col>3</xdr:col>
      <xdr:colOff>675939</xdr:colOff>
      <xdr:row>17</xdr:row>
      <xdr:rowOff>4903</xdr:rowOff>
    </xdr:from>
    <xdr:to>
      <xdr:col>3</xdr:col>
      <xdr:colOff>748395</xdr:colOff>
      <xdr:row>17</xdr:row>
      <xdr:rowOff>186357</xdr:rowOff>
    </xdr:to>
    <xdr:pic>
      <xdr:nvPicPr>
        <xdr:cNvPr id="256" name="Imagen 255">
          <a:extLst>
            <a:ext uri="{FF2B5EF4-FFF2-40B4-BE49-F238E27FC236}">
              <a16:creationId xmlns:a16="http://schemas.microsoft.com/office/drawing/2014/main" id="{5FA71955-4881-46A5-93B2-C38640B56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475360" y="3263150"/>
          <a:ext cx="72456" cy="181454"/>
        </a:xfrm>
        <a:prstGeom prst="rect">
          <a:avLst/>
        </a:prstGeom>
      </xdr:spPr>
    </xdr:pic>
    <xdr:clientData/>
  </xdr:twoCellAnchor>
  <xdr:twoCellAnchor editAs="oneCell">
    <xdr:from>
      <xdr:col>3</xdr:col>
      <xdr:colOff>60237</xdr:colOff>
      <xdr:row>17</xdr:row>
      <xdr:rowOff>11564</xdr:rowOff>
    </xdr:from>
    <xdr:to>
      <xdr:col>3</xdr:col>
      <xdr:colOff>142031</xdr:colOff>
      <xdr:row>18</xdr:row>
      <xdr:rowOff>762</xdr:rowOff>
    </xdr:to>
    <xdr:pic>
      <xdr:nvPicPr>
        <xdr:cNvPr id="257" name="Imagen 256" descr="No hay descripción disponible.">
          <a:extLst>
            <a:ext uri="{FF2B5EF4-FFF2-40B4-BE49-F238E27FC236}">
              <a16:creationId xmlns:a16="http://schemas.microsoft.com/office/drawing/2014/main" id="{6C64E1BF-2B87-45BD-93A9-205B97CAD0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88" t="7721" r="50169" b="8354"/>
        <a:stretch/>
      </xdr:blipFill>
      <xdr:spPr bwMode="auto">
        <a:xfrm>
          <a:off x="2859658" y="3269811"/>
          <a:ext cx="81794" cy="180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485677</xdr:colOff>
      <xdr:row>17</xdr:row>
      <xdr:rowOff>2747</xdr:rowOff>
    </xdr:from>
    <xdr:to>
      <xdr:col>3</xdr:col>
      <xdr:colOff>653633</xdr:colOff>
      <xdr:row>17</xdr:row>
      <xdr:rowOff>181603</xdr:rowOff>
    </xdr:to>
    <xdr:pic>
      <xdr:nvPicPr>
        <xdr:cNvPr id="258" name="Imagen 257" descr="Ganador Ballon d'Or">
          <a:extLst>
            <a:ext uri="{FF2B5EF4-FFF2-40B4-BE49-F238E27FC236}">
              <a16:creationId xmlns:a16="http://schemas.microsoft.com/office/drawing/2014/main" id="{0892E9B9-E0C8-44C7-99AB-492A6E3EC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5098" y="3260994"/>
          <a:ext cx="167956" cy="178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154709</xdr:colOff>
      <xdr:row>17</xdr:row>
      <xdr:rowOff>19963</xdr:rowOff>
    </xdr:from>
    <xdr:to>
      <xdr:col>3</xdr:col>
      <xdr:colOff>329165</xdr:colOff>
      <xdr:row>17</xdr:row>
      <xdr:rowOff>167158</xdr:rowOff>
    </xdr:to>
    <xdr:pic>
      <xdr:nvPicPr>
        <xdr:cNvPr id="259" name="Imagen 258" descr="Mejor Jugador en Europa UEFA">
          <a:extLst>
            <a:ext uri="{FF2B5EF4-FFF2-40B4-BE49-F238E27FC236}">
              <a16:creationId xmlns:a16="http://schemas.microsoft.com/office/drawing/2014/main" id="{D9396D06-5F6B-4753-BBB8-94C535C6F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4130" y="3278210"/>
          <a:ext cx="174456" cy="1471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26118</xdr:colOff>
      <xdr:row>18</xdr:row>
      <xdr:rowOff>25667</xdr:rowOff>
    </xdr:from>
    <xdr:to>
      <xdr:col>3</xdr:col>
      <xdr:colOff>200574</xdr:colOff>
      <xdr:row>18</xdr:row>
      <xdr:rowOff>172862</xdr:rowOff>
    </xdr:to>
    <xdr:pic>
      <xdr:nvPicPr>
        <xdr:cNvPr id="264" name="Imagen 263" descr="Mejor Jugador en Europa UEFA">
          <a:extLst>
            <a:ext uri="{FF2B5EF4-FFF2-40B4-BE49-F238E27FC236}">
              <a16:creationId xmlns:a16="http://schemas.microsoft.com/office/drawing/2014/main" id="{C332FAC6-A4BE-4889-90EA-5A5013B28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539" y="3475576"/>
          <a:ext cx="174456" cy="1471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452846</xdr:colOff>
      <xdr:row>18</xdr:row>
      <xdr:rowOff>191453</xdr:rowOff>
    </xdr:from>
    <xdr:to>
      <xdr:col>3</xdr:col>
      <xdr:colOff>640502</xdr:colOff>
      <xdr:row>19</xdr:row>
      <xdr:rowOff>188602</xdr:rowOff>
    </xdr:to>
    <xdr:pic>
      <xdr:nvPicPr>
        <xdr:cNvPr id="269" name="Imagen 268" descr="Fußballer des Jahres (Transfermarkt.de Userwahl)">
          <a:extLst>
            <a:ext uri="{FF2B5EF4-FFF2-40B4-BE49-F238E27FC236}">
              <a16:creationId xmlns:a16="http://schemas.microsoft.com/office/drawing/2014/main" id="{088503F5-0540-AF3D-9A19-782E9EE50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2267" y="3641362"/>
          <a:ext cx="187656" cy="188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6990</xdr:colOff>
      <xdr:row>20</xdr:row>
      <xdr:rowOff>11459</xdr:rowOff>
    </xdr:from>
    <xdr:to>
      <xdr:col>3</xdr:col>
      <xdr:colOff>186006</xdr:colOff>
      <xdr:row>21</xdr:row>
      <xdr:rowOff>622</xdr:rowOff>
    </xdr:to>
    <xdr:pic>
      <xdr:nvPicPr>
        <xdr:cNvPr id="273" name="Imagen 272" descr="Serie A Player Award | Football trophies, Player award, Best player">
          <a:extLst>
            <a:ext uri="{FF2B5EF4-FFF2-40B4-BE49-F238E27FC236}">
              <a16:creationId xmlns:a16="http://schemas.microsoft.com/office/drawing/2014/main" id="{658C1B10-5743-4A68-AED2-97A157A0D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6411" y="3844691"/>
          <a:ext cx="179016" cy="1796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233672</xdr:colOff>
      <xdr:row>21</xdr:row>
      <xdr:rowOff>2800</xdr:rowOff>
    </xdr:from>
    <xdr:to>
      <xdr:col>3</xdr:col>
      <xdr:colOff>412688</xdr:colOff>
      <xdr:row>21</xdr:row>
      <xdr:rowOff>182463</xdr:rowOff>
    </xdr:to>
    <xdr:pic>
      <xdr:nvPicPr>
        <xdr:cNvPr id="274" name="Imagen 273" descr="Serie A Player Award | Football trophies, Player award, Best player">
          <a:extLst>
            <a:ext uri="{FF2B5EF4-FFF2-40B4-BE49-F238E27FC236}">
              <a16:creationId xmlns:a16="http://schemas.microsoft.com/office/drawing/2014/main" id="{523477DD-559E-4159-BBE8-A83279204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093" y="4027693"/>
          <a:ext cx="179016" cy="1796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795929</xdr:colOff>
      <xdr:row>17</xdr:row>
      <xdr:rowOff>14311</xdr:rowOff>
    </xdr:from>
    <xdr:to>
      <xdr:col>3</xdr:col>
      <xdr:colOff>916490</xdr:colOff>
      <xdr:row>17</xdr:row>
      <xdr:rowOff>188308</xdr:rowOff>
    </xdr:to>
    <xdr:pic>
      <xdr:nvPicPr>
        <xdr:cNvPr id="275" name="Imagen 274" descr="Réplica bota de oro">
          <a:extLst>
            <a:ext uri="{FF2B5EF4-FFF2-40B4-BE49-F238E27FC236}">
              <a16:creationId xmlns:a16="http://schemas.microsoft.com/office/drawing/2014/main" id="{B8F01BAF-F987-42BE-A35D-1E82E3665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5350" y="3272558"/>
          <a:ext cx="120561" cy="173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938936</xdr:colOff>
      <xdr:row>17</xdr:row>
      <xdr:rowOff>14259</xdr:rowOff>
    </xdr:from>
    <xdr:to>
      <xdr:col>3</xdr:col>
      <xdr:colOff>1059497</xdr:colOff>
      <xdr:row>17</xdr:row>
      <xdr:rowOff>188256</xdr:rowOff>
    </xdr:to>
    <xdr:pic>
      <xdr:nvPicPr>
        <xdr:cNvPr id="276" name="Imagen 275" descr="Réplica bota de oro">
          <a:extLst>
            <a:ext uri="{FF2B5EF4-FFF2-40B4-BE49-F238E27FC236}">
              <a16:creationId xmlns:a16="http://schemas.microsoft.com/office/drawing/2014/main" id="{51D3D857-42F8-4713-9874-2C0FBF433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8357" y="3272506"/>
          <a:ext cx="120561" cy="173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194582</xdr:colOff>
      <xdr:row>18</xdr:row>
      <xdr:rowOff>14259</xdr:rowOff>
    </xdr:from>
    <xdr:to>
      <xdr:col>3</xdr:col>
      <xdr:colOff>315143</xdr:colOff>
      <xdr:row>18</xdr:row>
      <xdr:rowOff>188256</xdr:rowOff>
    </xdr:to>
    <xdr:pic>
      <xdr:nvPicPr>
        <xdr:cNvPr id="278" name="Imagen 277" descr="Réplica bota de oro">
          <a:extLst>
            <a:ext uri="{FF2B5EF4-FFF2-40B4-BE49-F238E27FC236}">
              <a16:creationId xmlns:a16="http://schemas.microsoft.com/office/drawing/2014/main" id="{4EA34905-86EC-4226-9569-B2AE7236B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003" y="3464168"/>
          <a:ext cx="120561" cy="173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340493</xdr:colOff>
      <xdr:row>18</xdr:row>
      <xdr:rowOff>13927</xdr:rowOff>
    </xdr:from>
    <xdr:to>
      <xdr:col>3</xdr:col>
      <xdr:colOff>461054</xdr:colOff>
      <xdr:row>18</xdr:row>
      <xdr:rowOff>188516</xdr:rowOff>
    </xdr:to>
    <xdr:pic>
      <xdr:nvPicPr>
        <xdr:cNvPr id="280" name="Imagen 279" descr="Réplica bota de oro">
          <a:extLst>
            <a:ext uri="{FF2B5EF4-FFF2-40B4-BE49-F238E27FC236}">
              <a16:creationId xmlns:a16="http://schemas.microsoft.com/office/drawing/2014/main" id="{899A7C99-DFBA-4364-ADDF-BD0E25FB9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914" y="3463836"/>
          <a:ext cx="120561" cy="174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62410</xdr:colOff>
      <xdr:row>19</xdr:row>
      <xdr:rowOff>11407</xdr:rowOff>
    </xdr:from>
    <xdr:to>
      <xdr:col>3</xdr:col>
      <xdr:colOff>182971</xdr:colOff>
      <xdr:row>19</xdr:row>
      <xdr:rowOff>185404</xdr:rowOff>
    </xdr:to>
    <xdr:pic>
      <xdr:nvPicPr>
        <xdr:cNvPr id="281" name="Imagen 280" descr="Réplica bota de oro">
          <a:extLst>
            <a:ext uri="{FF2B5EF4-FFF2-40B4-BE49-F238E27FC236}">
              <a16:creationId xmlns:a16="http://schemas.microsoft.com/office/drawing/2014/main" id="{F84462DE-4A83-4D23-9DA5-39363CD70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1831" y="3652977"/>
          <a:ext cx="120561" cy="173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159631</xdr:colOff>
      <xdr:row>21</xdr:row>
      <xdr:rowOff>8608</xdr:rowOff>
    </xdr:from>
    <xdr:to>
      <xdr:col>3</xdr:col>
      <xdr:colOff>280192</xdr:colOff>
      <xdr:row>21</xdr:row>
      <xdr:rowOff>182605</xdr:rowOff>
    </xdr:to>
    <xdr:pic>
      <xdr:nvPicPr>
        <xdr:cNvPr id="289" name="Imagen 288" descr="Réplica bota de oro">
          <a:extLst>
            <a:ext uri="{FF2B5EF4-FFF2-40B4-BE49-F238E27FC236}">
              <a16:creationId xmlns:a16="http://schemas.microsoft.com/office/drawing/2014/main" id="{0BC2480B-C777-4453-BE63-174A266B6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9052" y="4033501"/>
          <a:ext cx="120561" cy="173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21895</xdr:colOff>
      <xdr:row>22</xdr:row>
      <xdr:rowOff>2493</xdr:rowOff>
    </xdr:from>
    <xdr:to>
      <xdr:col>3</xdr:col>
      <xdr:colOff>100576</xdr:colOff>
      <xdr:row>22</xdr:row>
      <xdr:rowOff>187285</xdr:rowOff>
    </xdr:to>
    <xdr:pic>
      <xdr:nvPicPr>
        <xdr:cNvPr id="292" name="Imagen 291" descr="No hay descripción disponible.">
          <a:extLst>
            <a:ext uri="{FF2B5EF4-FFF2-40B4-BE49-F238E27FC236}">
              <a16:creationId xmlns:a16="http://schemas.microsoft.com/office/drawing/2014/main" id="{7F1D52D9-F4B7-9B44-AE1A-C39665C4B6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538" t="7833" r="14914" b="7813"/>
        <a:stretch/>
      </xdr:blipFill>
      <xdr:spPr bwMode="auto">
        <a:xfrm>
          <a:off x="2824539" y="4171551"/>
          <a:ext cx="78681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236878</xdr:colOff>
      <xdr:row>22</xdr:row>
      <xdr:rowOff>4986</xdr:rowOff>
    </xdr:from>
    <xdr:to>
      <xdr:col>3</xdr:col>
      <xdr:colOff>424534</xdr:colOff>
      <xdr:row>23</xdr:row>
      <xdr:rowOff>2134</xdr:rowOff>
    </xdr:to>
    <xdr:pic>
      <xdr:nvPicPr>
        <xdr:cNvPr id="293" name="Imagen 292" descr="Fußballer des Jahres (Transfermarkt.de Userwahl)">
          <a:extLst>
            <a:ext uri="{FF2B5EF4-FFF2-40B4-BE49-F238E27FC236}">
              <a16:creationId xmlns:a16="http://schemas.microsoft.com/office/drawing/2014/main" id="{4C8845FE-E760-4CBA-A16F-447833BDD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9522" y="4174044"/>
          <a:ext cx="187656" cy="18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57349</xdr:colOff>
      <xdr:row>22</xdr:row>
      <xdr:rowOff>2493</xdr:rowOff>
    </xdr:from>
    <xdr:to>
      <xdr:col>3</xdr:col>
      <xdr:colOff>240038</xdr:colOff>
      <xdr:row>22</xdr:row>
      <xdr:rowOff>184691</xdr:rowOff>
    </xdr:to>
    <xdr:pic>
      <xdr:nvPicPr>
        <xdr:cNvPr id="294" name="Imagen 293" descr="Honour Listings - TheSportsDB.com">
          <a:extLst>
            <a:ext uri="{FF2B5EF4-FFF2-40B4-BE49-F238E27FC236}">
              <a16:creationId xmlns:a16="http://schemas.microsoft.com/office/drawing/2014/main" id="{54EF84CC-DF3C-4AD6-B6B3-8E5FD9A80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9993" y="4171551"/>
          <a:ext cx="182689" cy="182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132153</xdr:colOff>
      <xdr:row>22</xdr:row>
      <xdr:rowOff>0</xdr:rowOff>
    </xdr:from>
    <xdr:to>
      <xdr:col>3</xdr:col>
      <xdr:colOff>314842</xdr:colOff>
      <xdr:row>22</xdr:row>
      <xdr:rowOff>182198</xdr:rowOff>
    </xdr:to>
    <xdr:pic>
      <xdr:nvPicPr>
        <xdr:cNvPr id="295" name="Imagen 294" descr="Honour Listings - TheSportsDB.com">
          <a:extLst>
            <a:ext uri="{FF2B5EF4-FFF2-40B4-BE49-F238E27FC236}">
              <a16:creationId xmlns:a16="http://schemas.microsoft.com/office/drawing/2014/main" id="{A0392058-2FBB-419F-A9D3-C0A5C1918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4797" y="4169058"/>
          <a:ext cx="182689" cy="182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6933</xdr:colOff>
      <xdr:row>22</xdr:row>
      <xdr:rowOff>188241</xdr:rowOff>
    </xdr:from>
    <xdr:to>
      <xdr:col>3</xdr:col>
      <xdr:colOff>218877</xdr:colOff>
      <xdr:row>24</xdr:row>
      <xdr:rowOff>20070</xdr:rowOff>
    </xdr:to>
    <xdr:pic>
      <xdr:nvPicPr>
        <xdr:cNvPr id="296" name="Imagen 295" descr="Mejor futbolista de la temporada">
          <a:extLst>
            <a:ext uri="{FF2B5EF4-FFF2-40B4-BE49-F238E27FC236}">
              <a16:creationId xmlns:a16="http://schemas.microsoft.com/office/drawing/2014/main" id="{4A808D07-46B4-D799-EA4C-A3AD6204F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6354" y="4404796"/>
          <a:ext cx="211944" cy="215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1553620</xdr:colOff>
      <xdr:row>3</xdr:row>
      <xdr:rowOff>0</xdr:rowOff>
    </xdr:from>
    <xdr:to>
      <xdr:col>4</xdr:col>
      <xdr:colOff>171262</xdr:colOff>
      <xdr:row>3</xdr:row>
      <xdr:rowOff>160681</xdr:rowOff>
    </xdr:to>
    <xdr:pic>
      <xdr:nvPicPr>
        <xdr:cNvPr id="6" name="Imagen 5" descr="Portugiesischer Superpokalsieger">
          <a:extLst>
            <a:ext uri="{FF2B5EF4-FFF2-40B4-BE49-F238E27FC236}">
              <a16:creationId xmlns:a16="http://schemas.microsoft.com/office/drawing/2014/main" id="{E977E306-05E7-4DF3-B5FE-4C1FE8AD1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3041" y="574985"/>
          <a:ext cx="168461" cy="160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1553620</xdr:colOff>
      <xdr:row>3</xdr:row>
      <xdr:rowOff>191661</xdr:rowOff>
    </xdr:from>
    <xdr:to>
      <xdr:col>4</xdr:col>
      <xdr:colOff>183095</xdr:colOff>
      <xdr:row>4</xdr:row>
      <xdr:rowOff>180294</xdr:rowOff>
    </xdr:to>
    <xdr:pic>
      <xdr:nvPicPr>
        <xdr:cNvPr id="8" name="Imagen 7" descr="Englischer Superpokalsieger">
          <a:extLst>
            <a:ext uri="{FF2B5EF4-FFF2-40B4-BE49-F238E27FC236}">
              <a16:creationId xmlns:a16="http://schemas.microsoft.com/office/drawing/2014/main" id="{51C321E7-B2DF-48A7-882D-A2E7D32DA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3041" y="766646"/>
          <a:ext cx="180294" cy="180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168430</xdr:colOff>
      <xdr:row>3</xdr:row>
      <xdr:rowOff>188757</xdr:rowOff>
    </xdr:from>
    <xdr:to>
      <xdr:col>4</xdr:col>
      <xdr:colOff>350918</xdr:colOff>
      <xdr:row>4</xdr:row>
      <xdr:rowOff>180879</xdr:rowOff>
    </xdr:to>
    <xdr:pic>
      <xdr:nvPicPr>
        <xdr:cNvPr id="11" name="Imagen 10" descr="Englischer Pokalsieger">
          <a:extLst>
            <a:ext uri="{FF2B5EF4-FFF2-40B4-BE49-F238E27FC236}">
              <a16:creationId xmlns:a16="http://schemas.microsoft.com/office/drawing/2014/main" id="{2C038D34-7583-49D6-BB56-978E8B166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1471" y="763742"/>
          <a:ext cx="182488" cy="1837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1553620</xdr:colOff>
      <xdr:row>6</xdr:row>
      <xdr:rowOff>0</xdr:rowOff>
    </xdr:from>
    <xdr:to>
      <xdr:col>4</xdr:col>
      <xdr:colOff>181395</xdr:colOff>
      <xdr:row>6</xdr:row>
      <xdr:rowOff>178594</xdr:rowOff>
    </xdr:to>
    <xdr:pic>
      <xdr:nvPicPr>
        <xdr:cNvPr id="15" name="Imagen 14" descr="Englischer Ligapokalsieger">
          <a:extLst>
            <a:ext uri="{FF2B5EF4-FFF2-40B4-BE49-F238E27FC236}">
              <a16:creationId xmlns:a16="http://schemas.microsoft.com/office/drawing/2014/main" id="{188D1384-9D26-4459-8563-8B6D59E52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3041" y="1149970"/>
          <a:ext cx="178594" cy="178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1542004</xdr:colOff>
      <xdr:row>7</xdr:row>
      <xdr:rowOff>0</xdr:rowOff>
    </xdr:from>
    <xdr:to>
      <xdr:col>4</xdr:col>
      <xdr:colOff>185257</xdr:colOff>
      <xdr:row>7</xdr:row>
      <xdr:rowOff>184547</xdr:rowOff>
    </xdr:to>
    <xdr:pic>
      <xdr:nvPicPr>
        <xdr:cNvPr id="55" name="Imagen 54" descr="Campeón de Inglaterra">
          <a:extLst>
            <a:ext uri="{FF2B5EF4-FFF2-40B4-BE49-F238E27FC236}">
              <a16:creationId xmlns:a16="http://schemas.microsoft.com/office/drawing/2014/main" id="{003B4C70-CA92-4765-BE0C-E8EA10978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1425" y="1341631"/>
          <a:ext cx="184547" cy="184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1542004</xdr:colOff>
      <xdr:row>8</xdr:row>
      <xdr:rowOff>0</xdr:rowOff>
    </xdr:from>
    <xdr:to>
      <xdr:col>4</xdr:col>
      <xdr:colOff>202129</xdr:colOff>
      <xdr:row>8</xdr:row>
      <xdr:rowOff>182760</xdr:rowOff>
    </xdr:to>
    <xdr:pic>
      <xdr:nvPicPr>
        <xdr:cNvPr id="77" name="Imagen 76" descr="Campeón de Europa de clubes">
          <a:extLst>
            <a:ext uri="{FF2B5EF4-FFF2-40B4-BE49-F238E27FC236}">
              <a16:creationId xmlns:a16="http://schemas.microsoft.com/office/drawing/2014/main" id="{5DA4A9AC-4F75-4546-8BA4-0E76F759F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1425" y="1533293"/>
          <a:ext cx="201419" cy="18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116158</xdr:colOff>
      <xdr:row>8</xdr:row>
      <xdr:rowOff>5808</xdr:rowOff>
    </xdr:from>
    <xdr:to>
      <xdr:col>4</xdr:col>
      <xdr:colOff>300705</xdr:colOff>
      <xdr:row>8</xdr:row>
      <xdr:rowOff>189967</xdr:rowOff>
    </xdr:to>
    <xdr:pic>
      <xdr:nvPicPr>
        <xdr:cNvPr id="98" name="Imagen 97" descr="Campeón de Inglaterra">
          <a:extLst>
            <a:ext uri="{FF2B5EF4-FFF2-40B4-BE49-F238E27FC236}">
              <a16:creationId xmlns:a16="http://schemas.microsoft.com/office/drawing/2014/main" id="{3F21945B-07F5-4531-96CE-8E84E4AF7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9199" y="1539101"/>
          <a:ext cx="184547" cy="184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275876</xdr:colOff>
      <xdr:row>8</xdr:row>
      <xdr:rowOff>8712</xdr:rowOff>
    </xdr:from>
    <xdr:to>
      <xdr:col>4</xdr:col>
      <xdr:colOff>456170</xdr:colOff>
      <xdr:row>9</xdr:row>
      <xdr:rowOff>998</xdr:rowOff>
    </xdr:to>
    <xdr:pic>
      <xdr:nvPicPr>
        <xdr:cNvPr id="105" name="Imagen 104" descr="Englischer Superpokalsieger">
          <a:extLst>
            <a:ext uri="{FF2B5EF4-FFF2-40B4-BE49-F238E27FC236}">
              <a16:creationId xmlns:a16="http://schemas.microsoft.com/office/drawing/2014/main" id="{74CC959C-E2F0-49E7-8A59-C9D49BDFA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8917" y="1542005"/>
          <a:ext cx="180294" cy="182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1533292</xdr:colOff>
      <xdr:row>8</xdr:row>
      <xdr:rowOff>185854</xdr:rowOff>
    </xdr:from>
    <xdr:to>
      <xdr:col>4</xdr:col>
      <xdr:colOff>190862</xdr:colOff>
      <xdr:row>9</xdr:row>
      <xdr:rowOff>185854</xdr:rowOff>
    </xdr:to>
    <xdr:pic>
      <xdr:nvPicPr>
        <xdr:cNvPr id="106" name="Imagen 105" descr="Campeón del Mundial de Clubes">
          <a:extLst>
            <a:ext uri="{FF2B5EF4-FFF2-40B4-BE49-F238E27FC236}">
              <a16:creationId xmlns:a16="http://schemas.microsoft.com/office/drawing/2014/main" id="{04429A6C-CA87-4ADD-9F83-EDC7B0627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2713" y="1719147"/>
          <a:ext cx="189339" cy="191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110350</xdr:colOff>
      <xdr:row>9</xdr:row>
      <xdr:rowOff>8712</xdr:rowOff>
    </xdr:from>
    <xdr:to>
      <xdr:col>4</xdr:col>
      <xdr:colOff>294897</xdr:colOff>
      <xdr:row>9</xdr:row>
      <xdr:rowOff>190095</xdr:rowOff>
    </xdr:to>
    <xdr:pic>
      <xdr:nvPicPr>
        <xdr:cNvPr id="107" name="Imagen 106" descr="Campeón de Inglaterra">
          <a:extLst>
            <a:ext uri="{FF2B5EF4-FFF2-40B4-BE49-F238E27FC236}">
              <a16:creationId xmlns:a16="http://schemas.microsoft.com/office/drawing/2014/main" id="{18844231-5D03-4FA9-B8FA-2CB691B8F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3391" y="1733666"/>
          <a:ext cx="184547" cy="181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278781</xdr:colOff>
      <xdr:row>9</xdr:row>
      <xdr:rowOff>11616</xdr:rowOff>
    </xdr:from>
    <xdr:to>
      <xdr:col>4</xdr:col>
      <xdr:colOff>457375</xdr:colOff>
      <xdr:row>9</xdr:row>
      <xdr:rowOff>190210</xdr:rowOff>
    </xdr:to>
    <xdr:pic>
      <xdr:nvPicPr>
        <xdr:cNvPr id="116" name="Imagen 115" descr="Englischer Ligapokalsieger">
          <a:extLst>
            <a:ext uri="{FF2B5EF4-FFF2-40B4-BE49-F238E27FC236}">
              <a16:creationId xmlns:a16="http://schemas.microsoft.com/office/drawing/2014/main" id="{98A2385B-C0BC-422D-AB25-C52A7E3AD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1822" y="1736570"/>
          <a:ext cx="178594" cy="178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1542004</xdr:colOff>
      <xdr:row>10</xdr:row>
      <xdr:rowOff>188757</xdr:rowOff>
    </xdr:from>
    <xdr:to>
      <xdr:col>4</xdr:col>
      <xdr:colOff>178221</xdr:colOff>
      <xdr:row>11</xdr:row>
      <xdr:rowOff>175769</xdr:rowOff>
    </xdr:to>
    <xdr:pic>
      <xdr:nvPicPr>
        <xdr:cNvPr id="121" name="Imagen 120" descr="Campeón de la Copa del Rey">
          <a:extLst>
            <a:ext uri="{FF2B5EF4-FFF2-40B4-BE49-F238E27FC236}">
              <a16:creationId xmlns:a16="http://schemas.microsoft.com/office/drawing/2014/main" id="{A552484D-991D-4454-B16F-D77E7459D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1425" y="2105373"/>
          <a:ext cx="177511" cy="1786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1539100</xdr:colOff>
      <xdr:row>12</xdr:row>
      <xdr:rowOff>2904</xdr:rowOff>
    </xdr:from>
    <xdr:to>
      <xdr:col>4</xdr:col>
      <xdr:colOff>188306</xdr:colOff>
      <xdr:row>13</xdr:row>
      <xdr:rowOff>3794</xdr:rowOff>
    </xdr:to>
    <xdr:pic>
      <xdr:nvPicPr>
        <xdr:cNvPr id="130" name="Imagen 129" descr="Campéon de España">
          <a:extLst>
            <a:ext uri="{FF2B5EF4-FFF2-40B4-BE49-F238E27FC236}">
              <a16:creationId xmlns:a16="http://schemas.microsoft.com/office/drawing/2014/main" id="{26CF763A-B58F-4A27-A50B-BB249E320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8521" y="2302843"/>
          <a:ext cx="190500" cy="19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1533293</xdr:colOff>
      <xdr:row>13</xdr:row>
      <xdr:rowOff>0</xdr:rowOff>
    </xdr:from>
    <xdr:to>
      <xdr:col>4</xdr:col>
      <xdr:colOff>192024</xdr:colOff>
      <xdr:row>14</xdr:row>
      <xdr:rowOff>1161</xdr:rowOff>
    </xdr:to>
    <xdr:pic>
      <xdr:nvPicPr>
        <xdr:cNvPr id="133" name="Imagen 132" descr="Campeón de la Supercopa de España">
          <a:extLst>
            <a:ext uri="{FF2B5EF4-FFF2-40B4-BE49-F238E27FC236}">
              <a16:creationId xmlns:a16="http://schemas.microsoft.com/office/drawing/2014/main" id="{ACD2D060-9195-42AE-8844-159B9AFB2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2714" y="2491601"/>
          <a:ext cx="190500" cy="191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1539100</xdr:colOff>
      <xdr:row>13</xdr:row>
      <xdr:rowOff>188757</xdr:rowOff>
    </xdr:from>
    <xdr:to>
      <xdr:col>4</xdr:col>
      <xdr:colOff>199225</xdr:colOff>
      <xdr:row>14</xdr:row>
      <xdr:rowOff>179584</xdr:rowOff>
    </xdr:to>
    <xdr:pic>
      <xdr:nvPicPr>
        <xdr:cNvPr id="134" name="Imagen 133" descr="Campeón de Europa de clubes">
          <a:extLst>
            <a:ext uri="{FF2B5EF4-FFF2-40B4-BE49-F238E27FC236}">
              <a16:creationId xmlns:a16="http://schemas.microsoft.com/office/drawing/2014/main" id="{ED61AB35-1A9E-42B5-A7D0-13338F48D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8521" y="2680358"/>
          <a:ext cx="201419" cy="1824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130678</xdr:colOff>
      <xdr:row>14</xdr:row>
      <xdr:rowOff>8712</xdr:rowOff>
    </xdr:from>
    <xdr:to>
      <xdr:col>4</xdr:col>
      <xdr:colOff>308189</xdr:colOff>
      <xdr:row>14</xdr:row>
      <xdr:rowOff>187113</xdr:rowOff>
    </xdr:to>
    <xdr:pic>
      <xdr:nvPicPr>
        <xdr:cNvPr id="143" name="Imagen 142" descr="Campeón de la Copa del Rey">
          <a:extLst>
            <a:ext uri="{FF2B5EF4-FFF2-40B4-BE49-F238E27FC236}">
              <a16:creationId xmlns:a16="http://schemas.microsoft.com/office/drawing/2014/main" id="{F6C03971-6554-407C-B1D8-C42FC3EB1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3719" y="2691974"/>
          <a:ext cx="177511" cy="1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1527484</xdr:colOff>
      <xdr:row>14</xdr:row>
      <xdr:rowOff>180046</xdr:rowOff>
    </xdr:from>
    <xdr:to>
      <xdr:col>4</xdr:col>
      <xdr:colOff>197382</xdr:colOff>
      <xdr:row>15</xdr:row>
      <xdr:rowOff>184128</xdr:rowOff>
    </xdr:to>
    <xdr:pic>
      <xdr:nvPicPr>
        <xdr:cNvPr id="154" name="Imagen 153" descr="Campeón del Mundial de Clubes">
          <a:extLst>
            <a:ext uri="{FF2B5EF4-FFF2-40B4-BE49-F238E27FC236}">
              <a16:creationId xmlns:a16="http://schemas.microsoft.com/office/drawing/2014/main" id="{5CF771F8-BA9C-4FB3-8DCB-B9786525C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6905" y="2863308"/>
          <a:ext cx="192142" cy="1957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104543</xdr:colOff>
      <xdr:row>15</xdr:row>
      <xdr:rowOff>5807</xdr:rowOff>
    </xdr:from>
    <xdr:to>
      <xdr:col>4</xdr:col>
      <xdr:colOff>285190</xdr:colOff>
      <xdr:row>15</xdr:row>
      <xdr:rowOff>184897</xdr:rowOff>
    </xdr:to>
    <xdr:pic>
      <xdr:nvPicPr>
        <xdr:cNvPr id="174" name="Imagen 173" descr="Campeón de la Supercopa de Europa">
          <a:extLst>
            <a:ext uri="{FF2B5EF4-FFF2-40B4-BE49-F238E27FC236}">
              <a16:creationId xmlns:a16="http://schemas.microsoft.com/office/drawing/2014/main" id="{24F1A049-EFF5-4C1B-850E-C32C9AA6D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584" y="2880731"/>
          <a:ext cx="180647" cy="179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31943</xdr:colOff>
      <xdr:row>16</xdr:row>
      <xdr:rowOff>2904</xdr:rowOff>
    </xdr:from>
    <xdr:to>
      <xdr:col>4</xdr:col>
      <xdr:colOff>115047</xdr:colOff>
      <xdr:row>17</xdr:row>
      <xdr:rowOff>421</xdr:rowOff>
    </xdr:to>
    <xdr:pic>
      <xdr:nvPicPr>
        <xdr:cNvPr id="176" name="Imagen 175">
          <a:extLst>
            <a:ext uri="{FF2B5EF4-FFF2-40B4-BE49-F238E27FC236}">
              <a16:creationId xmlns:a16="http://schemas.microsoft.com/office/drawing/2014/main" id="{B9298412-6A7E-4421-80B3-704B70DCC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4384984" y="3069489"/>
          <a:ext cx="83104" cy="189179"/>
        </a:xfrm>
        <a:prstGeom prst="rect">
          <a:avLst/>
        </a:prstGeom>
      </xdr:spPr>
    </xdr:pic>
    <xdr:clientData/>
  </xdr:twoCellAnchor>
  <xdr:twoCellAnchor editAs="oneCell">
    <xdr:from>
      <xdr:col>4</xdr:col>
      <xdr:colOff>104543</xdr:colOff>
      <xdr:row>15</xdr:row>
      <xdr:rowOff>182949</xdr:rowOff>
    </xdr:from>
    <xdr:to>
      <xdr:col>4</xdr:col>
      <xdr:colOff>303782</xdr:colOff>
      <xdr:row>17</xdr:row>
      <xdr:rowOff>9357</xdr:rowOff>
    </xdr:to>
    <xdr:pic>
      <xdr:nvPicPr>
        <xdr:cNvPr id="177" name="Imagen 176" descr="Campeón de Europa de clubes">
          <a:extLst>
            <a:ext uri="{FF2B5EF4-FFF2-40B4-BE49-F238E27FC236}">
              <a16:creationId xmlns:a16="http://schemas.microsoft.com/office/drawing/2014/main" id="{0DF32D64-BDE4-4F1F-8F26-B37026EB4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584" y="3057873"/>
          <a:ext cx="199239" cy="209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232316</xdr:colOff>
      <xdr:row>16</xdr:row>
      <xdr:rowOff>2904</xdr:rowOff>
    </xdr:from>
    <xdr:to>
      <xdr:col>4</xdr:col>
      <xdr:colOff>424458</xdr:colOff>
      <xdr:row>17</xdr:row>
      <xdr:rowOff>5824</xdr:rowOff>
    </xdr:to>
    <xdr:pic>
      <xdr:nvPicPr>
        <xdr:cNvPr id="186" name="Imagen 185" descr="Campeón del Mundial de Clubes">
          <a:extLst>
            <a:ext uri="{FF2B5EF4-FFF2-40B4-BE49-F238E27FC236}">
              <a16:creationId xmlns:a16="http://schemas.microsoft.com/office/drawing/2014/main" id="{DFAE23AA-F450-4729-B15A-FCD89915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5357" y="3069489"/>
          <a:ext cx="192142" cy="194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1530388</xdr:colOff>
      <xdr:row>17</xdr:row>
      <xdr:rowOff>2904</xdr:rowOff>
    </xdr:from>
    <xdr:to>
      <xdr:col>4</xdr:col>
      <xdr:colOff>200038</xdr:colOff>
      <xdr:row>17</xdr:row>
      <xdr:rowOff>185392</xdr:rowOff>
    </xdr:to>
    <xdr:pic>
      <xdr:nvPicPr>
        <xdr:cNvPr id="187" name="Imagen 186" descr="Campeón de Europa de clubes">
          <a:extLst>
            <a:ext uri="{FF2B5EF4-FFF2-40B4-BE49-F238E27FC236}">
              <a16:creationId xmlns:a16="http://schemas.microsoft.com/office/drawing/2014/main" id="{64C2A669-CF2C-42F0-8BEB-A435D8A77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9809" y="3261151"/>
          <a:ext cx="201419" cy="1824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98736</xdr:colOff>
      <xdr:row>17</xdr:row>
      <xdr:rowOff>0</xdr:rowOff>
    </xdr:from>
    <xdr:to>
      <xdr:col>4</xdr:col>
      <xdr:colOff>290878</xdr:colOff>
      <xdr:row>18</xdr:row>
      <xdr:rowOff>4084</xdr:rowOff>
    </xdr:to>
    <xdr:pic>
      <xdr:nvPicPr>
        <xdr:cNvPr id="189" name="Imagen 188" descr="Campeón del Mundial de Clubes">
          <a:extLst>
            <a:ext uri="{FF2B5EF4-FFF2-40B4-BE49-F238E27FC236}">
              <a16:creationId xmlns:a16="http://schemas.microsoft.com/office/drawing/2014/main" id="{34F29A12-3FEA-4D9D-8627-3C3FA083E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1777" y="3258247"/>
          <a:ext cx="192142" cy="195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223605</xdr:colOff>
      <xdr:row>17</xdr:row>
      <xdr:rowOff>2904</xdr:rowOff>
    </xdr:from>
    <xdr:to>
      <xdr:col>4</xdr:col>
      <xdr:colOff>414105</xdr:colOff>
      <xdr:row>18</xdr:row>
      <xdr:rowOff>3795</xdr:rowOff>
    </xdr:to>
    <xdr:pic>
      <xdr:nvPicPr>
        <xdr:cNvPr id="196" name="Imagen 195" descr="Campéon de España">
          <a:extLst>
            <a:ext uri="{FF2B5EF4-FFF2-40B4-BE49-F238E27FC236}">
              <a16:creationId xmlns:a16="http://schemas.microsoft.com/office/drawing/2014/main" id="{C40D8FB3-4C14-48C9-8645-8A8501E06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6646" y="3261151"/>
          <a:ext cx="190500" cy="192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348475</xdr:colOff>
      <xdr:row>17</xdr:row>
      <xdr:rowOff>20328</xdr:rowOff>
    </xdr:from>
    <xdr:to>
      <xdr:col>4</xdr:col>
      <xdr:colOff>529122</xdr:colOff>
      <xdr:row>18</xdr:row>
      <xdr:rowOff>7756</xdr:rowOff>
    </xdr:to>
    <xdr:pic>
      <xdr:nvPicPr>
        <xdr:cNvPr id="217" name="Imagen 216" descr="Campeón de la Supercopa de Europa">
          <a:extLst>
            <a:ext uri="{FF2B5EF4-FFF2-40B4-BE49-F238E27FC236}">
              <a16:creationId xmlns:a16="http://schemas.microsoft.com/office/drawing/2014/main" id="{78708F84-26DC-4711-B7D7-796039602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1516" y="3278575"/>
          <a:ext cx="180647" cy="179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1536196</xdr:colOff>
      <xdr:row>18</xdr:row>
      <xdr:rowOff>5808</xdr:rowOff>
    </xdr:from>
    <xdr:to>
      <xdr:col>4</xdr:col>
      <xdr:colOff>205846</xdr:colOff>
      <xdr:row>18</xdr:row>
      <xdr:rowOff>188296</xdr:rowOff>
    </xdr:to>
    <xdr:pic>
      <xdr:nvPicPr>
        <xdr:cNvPr id="218" name="Imagen 217" descr="Campeón de Europa de clubes">
          <a:extLst>
            <a:ext uri="{FF2B5EF4-FFF2-40B4-BE49-F238E27FC236}">
              <a16:creationId xmlns:a16="http://schemas.microsoft.com/office/drawing/2014/main" id="{A0A86D03-0AEE-4303-8640-0BE72B0F2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5617" y="3455717"/>
          <a:ext cx="201419" cy="1824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101639</xdr:colOff>
      <xdr:row>18</xdr:row>
      <xdr:rowOff>11615</xdr:rowOff>
    </xdr:from>
    <xdr:to>
      <xdr:col>4</xdr:col>
      <xdr:colOff>292139</xdr:colOff>
      <xdr:row>19</xdr:row>
      <xdr:rowOff>11614</xdr:rowOff>
    </xdr:to>
    <xdr:pic>
      <xdr:nvPicPr>
        <xdr:cNvPr id="219" name="Imagen 218" descr="Campeón de la Supercopa de España">
          <a:extLst>
            <a:ext uri="{FF2B5EF4-FFF2-40B4-BE49-F238E27FC236}">
              <a16:creationId xmlns:a16="http://schemas.microsoft.com/office/drawing/2014/main" id="{D06B3BE7-AD6E-4E39-81F5-9B4529367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4680" y="3461524"/>
          <a:ext cx="190500" cy="191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235220</xdr:colOff>
      <xdr:row>18</xdr:row>
      <xdr:rowOff>8712</xdr:rowOff>
    </xdr:from>
    <xdr:to>
      <xdr:col>4</xdr:col>
      <xdr:colOff>415867</xdr:colOff>
      <xdr:row>18</xdr:row>
      <xdr:rowOff>189960</xdr:rowOff>
    </xdr:to>
    <xdr:pic>
      <xdr:nvPicPr>
        <xdr:cNvPr id="220" name="Imagen 219" descr="Campeón de la Supercopa de Europa">
          <a:extLst>
            <a:ext uri="{FF2B5EF4-FFF2-40B4-BE49-F238E27FC236}">
              <a16:creationId xmlns:a16="http://schemas.microsoft.com/office/drawing/2014/main" id="{4BE869AB-E018-4D47-B86A-F5914B8E4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8261" y="3458621"/>
          <a:ext cx="180647" cy="181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1539100</xdr:colOff>
      <xdr:row>19</xdr:row>
      <xdr:rowOff>0</xdr:rowOff>
    </xdr:from>
    <xdr:to>
      <xdr:col>4</xdr:col>
      <xdr:colOff>188320</xdr:colOff>
      <xdr:row>20</xdr:row>
      <xdr:rowOff>1197</xdr:rowOff>
    </xdr:to>
    <xdr:pic>
      <xdr:nvPicPr>
        <xdr:cNvPr id="221" name="Imagen 220" descr="Campeón de la UEFA Nations League">
          <a:extLst>
            <a:ext uri="{FF2B5EF4-FFF2-40B4-BE49-F238E27FC236}">
              <a16:creationId xmlns:a16="http://schemas.microsoft.com/office/drawing/2014/main" id="{34CE87C8-8143-4687-BB11-EB54CCAF6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8521" y="3641570"/>
          <a:ext cx="190514" cy="192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121967</xdr:colOff>
      <xdr:row>19</xdr:row>
      <xdr:rowOff>34847</xdr:rowOff>
    </xdr:from>
    <xdr:to>
      <xdr:col>4</xdr:col>
      <xdr:colOff>269817</xdr:colOff>
      <xdr:row>19</xdr:row>
      <xdr:rowOff>183140</xdr:rowOff>
    </xdr:to>
    <xdr:pic>
      <xdr:nvPicPr>
        <xdr:cNvPr id="223" name="Imagen 222" descr="Italienischer Meister">
          <a:extLst>
            <a:ext uri="{FF2B5EF4-FFF2-40B4-BE49-F238E27FC236}">
              <a16:creationId xmlns:a16="http://schemas.microsoft.com/office/drawing/2014/main" id="{2A367933-FA58-4C99-BB2C-ACB555D1F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5008" y="3676417"/>
          <a:ext cx="147850" cy="148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235221</xdr:colOff>
      <xdr:row>19</xdr:row>
      <xdr:rowOff>37752</xdr:rowOff>
    </xdr:from>
    <xdr:to>
      <xdr:col>4</xdr:col>
      <xdr:colOff>408509</xdr:colOff>
      <xdr:row>19</xdr:row>
      <xdr:rowOff>178017</xdr:rowOff>
    </xdr:to>
    <xdr:pic>
      <xdr:nvPicPr>
        <xdr:cNvPr id="224" name="Imagen 223" descr="Italienischer Superpokalsieger">
          <a:extLst>
            <a:ext uri="{FF2B5EF4-FFF2-40B4-BE49-F238E27FC236}">
              <a16:creationId xmlns:a16="http://schemas.microsoft.com/office/drawing/2014/main" id="{316D3189-ED9D-43FA-BC95-A9697F712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8262" y="3679322"/>
          <a:ext cx="173288" cy="140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17423</xdr:colOff>
      <xdr:row>20</xdr:row>
      <xdr:rowOff>20327</xdr:rowOff>
    </xdr:from>
    <xdr:to>
      <xdr:col>4</xdr:col>
      <xdr:colOff>165273</xdr:colOff>
      <xdr:row>20</xdr:row>
      <xdr:rowOff>168620</xdr:rowOff>
    </xdr:to>
    <xdr:pic>
      <xdr:nvPicPr>
        <xdr:cNvPr id="225" name="Imagen 224" descr="Italienischer Meister">
          <a:extLst>
            <a:ext uri="{FF2B5EF4-FFF2-40B4-BE49-F238E27FC236}">
              <a16:creationId xmlns:a16="http://schemas.microsoft.com/office/drawing/2014/main" id="{EA12FE86-D0FA-4F1A-B0F1-2D8A9EF3F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0464" y="3853559"/>
          <a:ext cx="147850" cy="148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1542005</xdr:colOff>
      <xdr:row>21</xdr:row>
      <xdr:rowOff>5808</xdr:rowOff>
    </xdr:from>
    <xdr:to>
      <xdr:col>4</xdr:col>
      <xdr:colOff>171228</xdr:colOff>
      <xdr:row>21</xdr:row>
      <xdr:rowOff>177428</xdr:rowOff>
    </xdr:to>
    <xdr:pic>
      <xdr:nvPicPr>
        <xdr:cNvPr id="226" name="Imagen 225" descr="Italienischer Superpokalsieger">
          <a:extLst>
            <a:ext uri="{FF2B5EF4-FFF2-40B4-BE49-F238E27FC236}">
              <a16:creationId xmlns:a16="http://schemas.microsoft.com/office/drawing/2014/main" id="{36C6EB33-F480-4C4C-86BC-CDE037F1D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1426" y="4030701"/>
          <a:ext cx="170517" cy="171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81311</xdr:colOff>
      <xdr:row>21</xdr:row>
      <xdr:rowOff>5808</xdr:rowOff>
    </xdr:from>
    <xdr:to>
      <xdr:col>4</xdr:col>
      <xdr:colOff>263825</xdr:colOff>
      <xdr:row>21</xdr:row>
      <xdr:rowOff>189459</xdr:rowOff>
    </xdr:to>
    <xdr:pic>
      <xdr:nvPicPr>
        <xdr:cNvPr id="227" name="Imagen 226" descr="Italienischer Pokalsieger">
          <a:extLst>
            <a:ext uri="{FF2B5EF4-FFF2-40B4-BE49-F238E27FC236}">
              <a16:creationId xmlns:a16="http://schemas.microsoft.com/office/drawing/2014/main" id="{9B5CDA83-1FE9-4CF3-965C-4E99793CA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4352" y="4030701"/>
          <a:ext cx="182514" cy="183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1553620</xdr:colOff>
      <xdr:row>22</xdr:row>
      <xdr:rowOff>191661</xdr:rowOff>
    </xdr:from>
    <xdr:to>
      <xdr:col>4</xdr:col>
      <xdr:colOff>179876</xdr:colOff>
      <xdr:row>23</xdr:row>
      <xdr:rowOff>183704</xdr:rowOff>
    </xdr:to>
    <xdr:pic>
      <xdr:nvPicPr>
        <xdr:cNvPr id="228" name="Imagen 227" descr="Englischer Ligapokalsieger">
          <a:extLst>
            <a:ext uri="{FF2B5EF4-FFF2-40B4-BE49-F238E27FC236}">
              <a16:creationId xmlns:a16="http://schemas.microsoft.com/office/drawing/2014/main" id="{FEA95985-8CF9-473A-88DA-DCD351DC6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3041" y="4408216"/>
          <a:ext cx="177075" cy="18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34847</xdr:colOff>
      <xdr:row>21</xdr:row>
      <xdr:rowOff>5808</xdr:rowOff>
    </xdr:from>
    <xdr:to>
      <xdr:col>3</xdr:col>
      <xdr:colOff>155408</xdr:colOff>
      <xdr:row>21</xdr:row>
      <xdr:rowOff>179805</xdr:rowOff>
    </xdr:to>
    <xdr:pic>
      <xdr:nvPicPr>
        <xdr:cNvPr id="229" name="Imagen 228" descr="Réplica bota de oro">
          <a:extLst>
            <a:ext uri="{FF2B5EF4-FFF2-40B4-BE49-F238E27FC236}">
              <a16:creationId xmlns:a16="http://schemas.microsoft.com/office/drawing/2014/main" id="{6DED2002-B898-450E-9F07-1FE5111F0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4268" y="4030701"/>
          <a:ext cx="120561" cy="173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3</xdr:row>
      <xdr:rowOff>0</xdr:rowOff>
    </xdr:from>
    <xdr:to>
      <xdr:col>33</xdr:col>
      <xdr:colOff>142875</xdr:colOff>
      <xdr:row>3</xdr:row>
      <xdr:rowOff>85725</xdr:rowOff>
    </xdr:to>
    <xdr:pic>
      <xdr:nvPicPr>
        <xdr:cNvPr id="230" name="Imagen 229" descr="Portugal">
          <a:extLst>
            <a:ext uri="{FF2B5EF4-FFF2-40B4-BE49-F238E27FC236}">
              <a16:creationId xmlns:a16="http://schemas.microsoft.com/office/drawing/2014/main" id="{005CB849-E452-4ACD-8C88-3579EA0A1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19773" y="57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4</xdr:row>
      <xdr:rowOff>0</xdr:rowOff>
    </xdr:from>
    <xdr:to>
      <xdr:col>33</xdr:col>
      <xdr:colOff>142875</xdr:colOff>
      <xdr:row>4</xdr:row>
      <xdr:rowOff>85725</xdr:rowOff>
    </xdr:to>
    <xdr:pic>
      <xdr:nvPicPr>
        <xdr:cNvPr id="231" name="Imagen 230" descr="Portugal">
          <a:extLst>
            <a:ext uri="{FF2B5EF4-FFF2-40B4-BE49-F238E27FC236}">
              <a16:creationId xmlns:a16="http://schemas.microsoft.com/office/drawing/2014/main" id="{9954A1A3-B9F0-491E-B60F-D0F52632E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19773" y="76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5</xdr:row>
      <xdr:rowOff>0</xdr:rowOff>
    </xdr:from>
    <xdr:to>
      <xdr:col>33</xdr:col>
      <xdr:colOff>142875</xdr:colOff>
      <xdr:row>5</xdr:row>
      <xdr:rowOff>85725</xdr:rowOff>
    </xdr:to>
    <xdr:pic>
      <xdr:nvPicPr>
        <xdr:cNvPr id="232" name="Imagen 231" descr="Portugal">
          <a:extLst>
            <a:ext uri="{FF2B5EF4-FFF2-40B4-BE49-F238E27FC236}">
              <a16:creationId xmlns:a16="http://schemas.microsoft.com/office/drawing/2014/main" id="{FF9970CF-0505-47AF-B7ED-207EDD226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19773" y="95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6</xdr:row>
      <xdr:rowOff>0</xdr:rowOff>
    </xdr:from>
    <xdr:to>
      <xdr:col>33</xdr:col>
      <xdr:colOff>142875</xdr:colOff>
      <xdr:row>6</xdr:row>
      <xdr:rowOff>85725</xdr:rowOff>
    </xdr:to>
    <xdr:pic>
      <xdr:nvPicPr>
        <xdr:cNvPr id="253" name="Imagen 252" descr="Portugal">
          <a:extLst>
            <a:ext uri="{FF2B5EF4-FFF2-40B4-BE49-F238E27FC236}">
              <a16:creationId xmlns:a16="http://schemas.microsoft.com/office/drawing/2014/main" id="{A65C3F9C-9D3A-427E-A235-94CCDB8EC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19773" y="114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7</xdr:row>
      <xdr:rowOff>0</xdr:rowOff>
    </xdr:from>
    <xdr:to>
      <xdr:col>33</xdr:col>
      <xdr:colOff>142875</xdr:colOff>
      <xdr:row>7</xdr:row>
      <xdr:rowOff>85725</xdr:rowOff>
    </xdr:to>
    <xdr:pic>
      <xdr:nvPicPr>
        <xdr:cNvPr id="268" name="Imagen 267" descr="Portugal">
          <a:extLst>
            <a:ext uri="{FF2B5EF4-FFF2-40B4-BE49-F238E27FC236}">
              <a16:creationId xmlns:a16="http://schemas.microsoft.com/office/drawing/2014/main" id="{AE8D16B9-C682-41B1-979E-03707CC1B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19773" y="133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8</xdr:row>
      <xdr:rowOff>0</xdr:rowOff>
    </xdr:from>
    <xdr:to>
      <xdr:col>33</xdr:col>
      <xdr:colOff>142875</xdr:colOff>
      <xdr:row>8</xdr:row>
      <xdr:rowOff>85725</xdr:rowOff>
    </xdr:to>
    <xdr:pic>
      <xdr:nvPicPr>
        <xdr:cNvPr id="277" name="Imagen 276" descr="Portugal">
          <a:extLst>
            <a:ext uri="{FF2B5EF4-FFF2-40B4-BE49-F238E27FC236}">
              <a16:creationId xmlns:a16="http://schemas.microsoft.com/office/drawing/2014/main" id="{F85AF51E-2C82-4411-9035-0FBD18B1E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19773" y="152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0</xdr:rowOff>
    </xdr:from>
    <xdr:to>
      <xdr:col>33</xdr:col>
      <xdr:colOff>142875</xdr:colOff>
      <xdr:row>9</xdr:row>
      <xdr:rowOff>85725</xdr:rowOff>
    </xdr:to>
    <xdr:pic>
      <xdr:nvPicPr>
        <xdr:cNvPr id="279" name="Imagen 278" descr="Portugal">
          <a:extLst>
            <a:ext uri="{FF2B5EF4-FFF2-40B4-BE49-F238E27FC236}">
              <a16:creationId xmlns:a16="http://schemas.microsoft.com/office/drawing/2014/main" id="{6551BF26-8A06-4142-AC3B-83F8F5BC1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19773" y="1714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10</xdr:row>
      <xdr:rowOff>0</xdr:rowOff>
    </xdr:from>
    <xdr:to>
      <xdr:col>33</xdr:col>
      <xdr:colOff>142875</xdr:colOff>
      <xdr:row>10</xdr:row>
      <xdr:rowOff>85725</xdr:rowOff>
    </xdr:to>
    <xdr:pic>
      <xdr:nvPicPr>
        <xdr:cNvPr id="282" name="Imagen 281" descr="Portugal">
          <a:extLst>
            <a:ext uri="{FF2B5EF4-FFF2-40B4-BE49-F238E27FC236}">
              <a16:creationId xmlns:a16="http://schemas.microsoft.com/office/drawing/2014/main" id="{4CAFC5C3-EEFC-4224-9AB6-E646082A1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19773" y="190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11</xdr:row>
      <xdr:rowOff>0</xdr:rowOff>
    </xdr:from>
    <xdr:to>
      <xdr:col>33</xdr:col>
      <xdr:colOff>142875</xdr:colOff>
      <xdr:row>11</xdr:row>
      <xdr:rowOff>85725</xdr:rowOff>
    </xdr:to>
    <xdr:pic>
      <xdr:nvPicPr>
        <xdr:cNvPr id="283" name="Imagen 282" descr="Portugal">
          <a:extLst>
            <a:ext uri="{FF2B5EF4-FFF2-40B4-BE49-F238E27FC236}">
              <a16:creationId xmlns:a16="http://schemas.microsoft.com/office/drawing/2014/main" id="{C103A9F2-69BC-43DF-B483-9931E89E2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19773" y="209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12</xdr:row>
      <xdr:rowOff>0</xdr:rowOff>
    </xdr:from>
    <xdr:to>
      <xdr:col>33</xdr:col>
      <xdr:colOff>142875</xdr:colOff>
      <xdr:row>12</xdr:row>
      <xdr:rowOff>85725</xdr:rowOff>
    </xdr:to>
    <xdr:pic>
      <xdr:nvPicPr>
        <xdr:cNvPr id="285" name="Imagen 284" descr="Portugal">
          <a:extLst>
            <a:ext uri="{FF2B5EF4-FFF2-40B4-BE49-F238E27FC236}">
              <a16:creationId xmlns:a16="http://schemas.microsoft.com/office/drawing/2014/main" id="{EA74F68B-1C91-485D-B7F5-4B6C31434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19773" y="228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13</xdr:row>
      <xdr:rowOff>0</xdr:rowOff>
    </xdr:from>
    <xdr:to>
      <xdr:col>33</xdr:col>
      <xdr:colOff>142875</xdr:colOff>
      <xdr:row>13</xdr:row>
      <xdr:rowOff>85725</xdr:rowOff>
    </xdr:to>
    <xdr:pic>
      <xdr:nvPicPr>
        <xdr:cNvPr id="286" name="Imagen 285" descr="Portugal">
          <a:extLst>
            <a:ext uri="{FF2B5EF4-FFF2-40B4-BE49-F238E27FC236}">
              <a16:creationId xmlns:a16="http://schemas.microsoft.com/office/drawing/2014/main" id="{1A0E0D3F-7CBB-4CC0-9BF0-BFCAD28E3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19773" y="247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14</xdr:row>
      <xdr:rowOff>0</xdr:rowOff>
    </xdr:from>
    <xdr:to>
      <xdr:col>33</xdr:col>
      <xdr:colOff>142875</xdr:colOff>
      <xdr:row>14</xdr:row>
      <xdr:rowOff>85725</xdr:rowOff>
    </xdr:to>
    <xdr:pic>
      <xdr:nvPicPr>
        <xdr:cNvPr id="287" name="Imagen 286" descr="Portugal">
          <a:extLst>
            <a:ext uri="{FF2B5EF4-FFF2-40B4-BE49-F238E27FC236}">
              <a16:creationId xmlns:a16="http://schemas.microsoft.com/office/drawing/2014/main" id="{B64B06D8-6A51-45F2-ABF1-6DC8A1F6A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19773" y="266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15</xdr:row>
      <xdr:rowOff>0</xdr:rowOff>
    </xdr:from>
    <xdr:to>
      <xdr:col>33</xdr:col>
      <xdr:colOff>142875</xdr:colOff>
      <xdr:row>15</xdr:row>
      <xdr:rowOff>85725</xdr:rowOff>
    </xdr:to>
    <xdr:pic>
      <xdr:nvPicPr>
        <xdr:cNvPr id="297" name="Imagen 296" descr="Portugal">
          <a:extLst>
            <a:ext uri="{FF2B5EF4-FFF2-40B4-BE49-F238E27FC236}">
              <a16:creationId xmlns:a16="http://schemas.microsoft.com/office/drawing/2014/main" id="{E8CE39CA-515F-4193-93C9-A0942CEAF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19773" y="285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16</xdr:row>
      <xdr:rowOff>0</xdr:rowOff>
    </xdr:from>
    <xdr:to>
      <xdr:col>33</xdr:col>
      <xdr:colOff>142875</xdr:colOff>
      <xdr:row>16</xdr:row>
      <xdr:rowOff>85725</xdr:rowOff>
    </xdr:to>
    <xdr:pic>
      <xdr:nvPicPr>
        <xdr:cNvPr id="298" name="Imagen 297" descr="Portugal">
          <a:extLst>
            <a:ext uri="{FF2B5EF4-FFF2-40B4-BE49-F238E27FC236}">
              <a16:creationId xmlns:a16="http://schemas.microsoft.com/office/drawing/2014/main" id="{A8670A5A-A1DD-43A6-8E54-33F84BA3A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19773" y="304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17</xdr:row>
      <xdr:rowOff>0</xdr:rowOff>
    </xdr:from>
    <xdr:to>
      <xdr:col>33</xdr:col>
      <xdr:colOff>142875</xdr:colOff>
      <xdr:row>17</xdr:row>
      <xdr:rowOff>85725</xdr:rowOff>
    </xdr:to>
    <xdr:pic>
      <xdr:nvPicPr>
        <xdr:cNvPr id="299" name="Imagen 298" descr="Portugal">
          <a:extLst>
            <a:ext uri="{FF2B5EF4-FFF2-40B4-BE49-F238E27FC236}">
              <a16:creationId xmlns:a16="http://schemas.microsoft.com/office/drawing/2014/main" id="{4EAAB5DA-FDF5-4851-9AD5-5531A6666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19773" y="323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18</xdr:row>
      <xdr:rowOff>0</xdr:rowOff>
    </xdr:from>
    <xdr:to>
      <xdr:col>33</xdr:col>
      <xdr:colOff>142875</xdr:colOff>
      <xdr:row>18</xdr:row>
      <xdr:rowOff>85725</xdr:rowOff>
    </xdr:to>
    <xdr:pic>
      <xdr:nvPicPr>
        <xdr:cNvPr id="300" name="Imagen 299" descr="Portugal">
          <a:extLst>
            <a:ext uri="{FF2B5EF4-FFF2-40B4-BE49-F238E27FC236}">
              <a16:creationId xmlns:a16="http://schemas.microsoft.com/office/drawing/2014/main" id="{1ADEEDCA-A969-4FB9-96AD-7D8D155B6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19773" y="342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19</xdr:row>
      <xdr:rowOff>0</xdr:rowOff>
    </xdr:from>
    <xdr:to>
      <xdr:col>33</xdr:col>
      <xdr:colOff>142875</xdr:colOff>
      <xdr:row>19</xdr:row>
      <xdr:rowOff>85725</xdr:rowOff>
    </xdr:to>
    <xdr:pic>
      <xdr:nvPicPr>
        <xdr:cNvPr id="301" name="Imagen 300" descr="Portugal">
          <a:extLst>
            <a:ext uri="{FF2B5EF4-FFF2-40B4-BE49-F238E27FC236}">
              <a16:creationId xmlns:a16="http://schemas.microsoft.com/office/drawing/2014/main" id="{D5D6B9FA-60D7-464A-B574-AD9591AA0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19773" y="361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20</xdr:row>
      <xdr:rowOff>0</xdr:rowOff>
    </xdr:from>
    <xdr:to>
      <xdr:col>33</xdr:col>
      <xdr:colOff>142875</xdr:colOff>
      <xdr:row>20</xdr:row>
      <xdr:rowOff>85725</xdr:rowOff>
    </xdr:to>
    <xdr:pic>
      <xdr:nvPicPr>
        <xdr:cNvPr id="303" name="Imagen 302" descr="Portugal">
          <a:extLst>
            <a:ext uri="{FF2B5EF4-FFF2-40B4-BE49-F238E27FC236}">
              <a16:creationId xmlns:a16="http://schemas.microsoft.com/office/drawing/2014/main" id="{A9251808-905C-4A55-ABEE-E5407A6B1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19773" y="381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21</xdr:row>
      <xdr:rowOff>0</xdr:rowOff>
    </xdr:from>
    <xdr:to>
      <xdr:col>33</xdr:col>
      <xdr:colOff>142875</xdr:colOff>
      <xdr:row>21</xdr:row>
      <xdr:rowOff>85725</xdr:rowOff>
    </xdr:to>
    <xdr:pic>
      <xdr:nvPicPr>
        <xdr:cNvPr id="304" name="Imagen 303" descr="Portugal">
          <a:extLst>
            <a:ext uri="{FF2B5EF4-FFF2-40B4-BE49-F238E27FC236}">
              <a16:creationId xmlns:a16="http://schemas.microsoft.com/office/drawing/2014/main" id="{30A97395-AB0D-4257-90DB-6D1DAB7CB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19773" y="400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22</xdr:row>
      <xdr:rowOff>0</xdr:rowOff>
    </xdr:from>
    <xdr:to>
      <xdr:col>33</xdr:col>
      <xdr:colOff>142875</xdr:colOff>
      <xdr:row>22</xdr:row>
      <xdr:rowOff>85725</xdr:rowOff>
    </xdr:to>
    <xdr:pic>
      <xdr:nvPicPr>
        <xdr:cNvPr id="305" name="Imagen 304" descr="Portugal">
          <a:extLst>
            <a:ext uri="{FF2B5EF4-FFF2-40B4-BE49-F238E27FC236}">
              <a16:creationId xmlns:a16="http://schemas.microsoft.com/office/drawing/2014/main" id="{673C2FC5-614D-4C6D-8A36-4A42B92CD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19773" y="419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23</xdr:row>
      <xdr:rowOff>0</xdr:rowOff>
    </xdr:from>
    <xdr:to>
      <xdr:col>33</xdr:col>
      <xdr:colOff>142875</xdr:colOff>
      <xdr:row>23</xdr:row>
      <xdr:rowOff>85725</xdr:rowOff>
    </xdr:to>
    <xdr:pic>
      <xdr:nvPicPr>
        <xdr:cNvPr id="307" name="Imagen 306" descr="Portugal">
          <a:extLst>
            <a:ext uri="{FF2B5EF4-FFF2-40B4-BE49-F238E27FC236}">
              <a16:creationId xmlns:a16="http://schemas.microsoft.com/office/drawing/2014/main" id="{7F2C30B2-72F3-416A-A9DB-703F62A99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19773" y="438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452438</xdr:colOff>
      <xdr:row>22</xdr:row>
      <xdr:rowOff>184547</xdr:rowOff>
    </xdr:from>
    <xdr:to>
      <xdr:col>25</xdr:col>
      <xdr:colOff>614363</xdr:colOff>
      <xdr:row>23</xdr:row>
      <xdr:rowOff>155972</xdr:rowOff>
    </xdr:to>
    <xdr:pic>
      <xdr:nvPicPr>
        <xdr:cNvPr id="27" name="Imagen 26" descr="King's Cup">
          <a:extLst>
            <a:ext uri="{FF2B5EF4-FFF2-40B4-BE49-F238E27FC236}">
              <a16:creationId xmlns:a16="http://schemas.microsoft.com/office/drawing/2014/main" id="{24AB1106-23BE-1793-1F83-C2D0A7518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15672" y="4375547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583406</xdr:colOff>
      <xdr:row>23</xdr:row>
      <xdr:rowOff>0</xdr:rowOff>
    </xdr:from>
    <xdr:to>
      <xdr:col>25</xdr:col>
      <xdr:colOff>745331</xdr:colOff>
      <xdr:row>23</xdr:row>
      <xdr:rowOff>161925</xdr:rowOff>
    </xdr:to>
    <xdr:pic>
      <xdr:nvPicPr>
        <xdr:cNvPr id="28" name="Imagen 27" descr="Saudi Super Cup">
          <a:extLst>
            <a:ext uri="{FF2B5EF4-FFF2-40B4-BE49-F238E27FC236}">
              <a16:creationId xmlns:a16="http://schemas.microsoft.com/office/drawing/2014/main" id="{2D9C2F38-72E7-8D80-1798-1CDC9C149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46640" y="4381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C254D-EBBF-4B43-BAD5-8E0A4197619E}">
  <dimension ref="B2:AL35"/>
  <sheetViews>
    <sheetView zoomScale="93" zoomScaleNormal="93" workbookViewId="0">
      <selection activeCell="C34" sqref="C34"/>
    </sheetView>
  </sheetViews>
  <sheetFormatPr baseColWidth="10" defaultRowHeight="15" x14ac:dyDescent="0.25"/>
  <cols>
    <col min="2" max="2" width="19.140625" customWidth="1"/>
    <col min="4" max="4" width="18.28515625" customWidth="1"/>
    <col min="6" max="6" width="12.140625" customWidth="1"/>
    <col min="7" max="7" width="11.85546875" customWidth="1"/>
    <col min="11" max="11" width="12.42578125" customWidth="1"/>
    <col min="32" max="32" width="11.85546875" bestFit="1" customWidth="1"/>
  </cols>
  <sheetData>
    <row r="2" spans="2:38" x14ac:dyDescent="0.25">
      <c r="B2" t="s">
        <v>0</v>
      </c>
      <c r="C2" s="3" t="s">
        <v>32</v>
      </c>
      <c r="D2" s="3" t="s">
        <v>41</v>
      </c>
      <c r="E2" s="3" t="s">
        <v>45</v>
      </c>
      <c r="F2" s="3" t="s">
        <v>43</v>
      </c>
      <c r="G2" s="3" t="s">
        <v>42</v>
      </c>
      <c r="H2" s="3" t="s">
        <v>44</v>
      </c>
      <c r="I2" s="3" t="s">
        <v>28</v>
      </c>
      <c r="J2" s="3" t="s">
        <v>47</v>
      </c>
      <c r="K2" s="3" t="s">
        <v>48</v>
      </c>
      <c r="L2" s="3" t="s">
        <v>49</v>
      </c>
      <c r="M2" s="3" t="s">
        <v>28</v>
      </c>
      <c r="N2" s="3" t="s">
        <v>8</v>
      </c>
      <c r="O2" s="3" t="s">
        <v>1</v>
      </c>
      <c r="P2" s="3" t="s">
        <v>2</v>
      </c>
      <c r="Q2" s="3" t="s">
        <v>3</v>
      </c>
      <c r="R2" s="3" t="s">
        <v>27</v>
      </c>
      <c r="S2" s="3" t="s">
        <v>1</v>
      </c>
      <c r="T2" s="3" t="s">
        <v>2</v>
      </c>
      <c r="U2" s="3" t="s">
        <v>3</v>
      </c>
      <c r="V2" s="3" t="s">
        <v>26</v>
      </c>
      <c r="W2" s="3" t="s">
        <v>1</v>
      </c>
      <c r="X2" s="3" t="s">
        <v>2</v>
      </c>
      <c r="Y2" s="3" t="s">
        <v>3</v>
      </c>
      <c r="Z2" s="3" t="s">
        <v>29</v>
      </c>
      <c r="AA2" s="3" t="s">
        <v>1</v>
      </c>
      <c r="AB2" s="3" t="s">
        <v>2</v>
      </c>
      <c r="AC2" s="3" t="s">
        <v>3</v>
      </c>
      <c r="AD2" s="3" t="s">
        <v>30</v>
      </c>
      <c r="AE2" s="3" t="s">
        <v>1</v>
      </c>
      <c r="AF2" s="3" t="s">
        <v>2</v>
      </c>
      <c r="AG2" s="3" t="s">
        <v>3</v>
      </c>
      <c r="AH2" s="3" t="s">
        <v>46</v>
      </c>
      <c r="AI2" s="3" t="s">
        <v>1</v>
      </c>
      <c r="AJ2" s="3" t="s">
        <v>2</v>
      </c>
      <c r="AK2" s="3" t="s">
        <v>3</v>
      </c>
      <c r="AL2" s="5" t="s">
        <v>34</v>
      </c>
    </row>
    <row r="3" spans="2:38" x14ac:dyDescent="0.25">
      <c r="B3" t="s">
        <v>4</v>
      </c>
      <c r="D3" s="3">
        <v>70</v>
      </c>
      <c r="E3" s="3">
        <v>35</v>
      </c>
      <c r="F3" s="3">
        <f>SUM(F4:F5,F6,F7,F8,F9,F10,F11,F12:F13,F14,F15:F16:F17,F18,F19,F20,F21,F22,F23,F24)</f>
        <v>898</v>
      </c>
      <c r="G3" s="3">
        <f>SUM(G4:G5,G6,G7,G8,G9,G10,G11,G12:G13,G14,G15:G16:G17,G18,G19,G20,G21,G22,G23,G24)</f>
        <v>277</v>
      </c>
      <c r="H3" s="3">
        <f>SUM(H4:H5,H6,H7,H8,H9,H10,H11,H12:H13,H14,H15:H16:H17,H18,H19,H20,H21,H22,H23,H24)</f>
        <v>1188</v>
      </c>
      <c r="I3" s="4">
        <f t="shared" ref="I3:I24" si="0">F3/H3</f>
        <v>0.75589225589225584</v>
      </c>
      <c r="J3" s="3">
        <f>SUM(J4:J5,J6,J7,J8,J9,J10,J11,J12:J13,J14,J15:J16:J17,J18,J19,J20,J21,J22,J23,J24)</f>
        <v>844</v>
      </c>
      <c r="K3" s="3">
        <f>SUM(K4:K5,K6,K7,K8,K9,K10,K11,K12:K13,K14,K15:K16:K17,K18,K19,K20,K21,K22,K23,K24)</f>
        <v>260</v>
      </c>
      <c r="L3" s="3">
        <f>SUM(L4:L5,L6,L7,L8,L9,L10,L11,L12:L13,L14,L15:L16:L17,L18,L19,L20,L21,L22,L23,L24)</f>
        <v>1122</v>
      </c>
      <c r="M3" s="4">
        <f t="shared" ref="M3:M24" si="1">J3/L3</f>
        <v>0.75222816399286985</v>
      </c>
      <c r="N3" s="3"/>
      <c r="O3" s="3">
        <f>SUM(O4:O5,O6,O7,O8,O9,O10,O11,O12:O13,O14,O15:O16:O17,O18,O19,O20,O21,O22,O23,O24)</f>
        <v>717</v>
      </c>
      <c r="P3" s="3">
        <f>SUM(P4:P5,P6,P7,P8,P9,P10,P11,P12:P13,P14,P15:P16:P17,P18,P19,P20,P21,P22,P23,P24)</f>
        <v>225</v>
      </c>
      <c r="Q3" s="3">
        <f>SUM(Q4:Q5,Q6,Q7,Q8,Q9,Q10,Q11,Q12:Q13,Q14,Q15:Q16:Q17,Q18,Q19,Q20,Q21,Q22,Q23,Q24)</f>
        <v>954</v>
      </c>
      <c r="R3" s="3"/>
      <c r="S3" s="3">
        <f>SUM(S4:S5,S6,S7,S8,S9,S10,S11,S12:S13,S14,S15:S16:S17,S18,S19,S20,S21,S22,S23,S24)</f>
        <v>141</v>
      </c>
      <c r="T3" s="3">
        <f>SUM(T4:T5,T6,T7,T8,T9,T10,T11,T12:T13,T14,T15:T16:T17,T18,T19,T20,T21,T22,T23,T24)</f>
        <v>49</v>
      </c>
      <c r="U3" s="3">
        <f>SUM(U4:U5,U6,U7,U8,U9,U10,U11,U12:U13,U14,U15:U16:U17,U18,U19,U20,U21,U22,U23,U24)</f>
        <v>186</v>
      </c>
      <c r="V3" s="3"/>
      <c r="W3" s="3">
        <f>SUM(W4:W5,W6,W7,W8,W9,W10,W11,W12:W13,W14,W15:W16:W17,W18,W19,W20,W21,W22,W23,W24)</f>
        <v>514</v>
      </c>
      <c r="X3" s="3">
        <f>SUM(X4:X5,X6,X7,X8,X9,X10,X11,X12:X13,X14,X15:X16:X17,X18,X19,X20,X21,X22,X23,X24)</f>
        <v>158</v>
      </c>
      <c r="Y3" s="3">
        <f>SUM(Y4:Y5,Y6,Y7,Y8,Y9,Y10,Y11,Y12:Y13,Y14,Y15:Y16:Y17,Y18,Y19,Y20,Y21,Y22,Y23,Y24)</f>
        <v>658</v>
      </c>
      <c r="Z3" s="3"/>
      <c r="AA3" s="3">
        <f>SUM(AA4:AA5,AA6,AA7,AA8,AA9,AA10,AA11,AA12:AA13,AA14,AA15:AA16:AA17,AA18,AA19,AA20,AA21,AA22,AA23,AA24)</f>
        <v>62</v>
      </c>
      <c r="AB3" s="3">
        <f>SUM(AB4:AB5,AB6,AB7,AB8,AB9,AB10,AB11,AB12:AB13,AB14,AB15:AB16:AB17,AB18,AB19,AB20,AB21,AB22,AB23,AB24)</f>
        <v>18</v>
      </c>
      <c r="AC3" s="3">
        <f>SUM(AC4:AC5,AC6,AC7,AC8,AC9,AC10,AC11,AC12:AC13,AC14,AC15:AC16:AC17,AC18,AC19,AC20,AC21,AC22,AC23,AC24)</f>
        <v>110</v>
      </c>
      <c r="AD3" s="3"/>
      <c r="AE3" s="3">
        <f>SUM(AE4:AE5,AE6,AE7,AE8,AE9,AE10,AE11,AE12:AE13,AE14,AE15:AE16:AE17,AE18,AE19,AE20,AE21,AE22,AE23,AE24)</f>
        <v>127</v>
      </c>
      <c r="AF3" s="3">
        <f>SUM(AF4:AF5,AF6,AF7,AF8,AF9,AF10,AF11,AF12:AF13,AF14,AF15:AF16:AF17,AF18,AF19,AF20,AF21,AF22,AF23,AF24)</f>
        <v>35</v>
      </c>
      <c r="AG3" s="3">
        <f>SUM(AG4:AG5,AG6,AG7,AG8,AG9,AG10,AG11,AG12:AG13,AG14,AG15:AG16:AG17,AG18,AG19,AG20,AG21,AG22,AG23,AG24)</f>
        <v>168</v>
      </c>
      <c r="AI3" s="3">
        <f>SUM(AI4:AI5,AI6,AI7,AI8,AI9,AI10,AI11,AI12:AI13,AI14,AI15:AI16:AI17,AI18,AI19,AI20,AI21,AI22,AI23,AI24)</f>
        <v>54</v>
      </c>
      <c r="AJ3" s="3">
        <f>SUM(AJ4:AJ5,AJ6,AJ7,AJ8,AJ9,AJ10,AJ11,AJ12:AJ13,AJ14,AJ15:AJ16:AJ17,AJ18,AJ19,AJ20,AJ21,AJ22,AJ23,AJ24)</f>
        <v>17</v>
      </c>
      <c r="AK3" s="3">
        <f>SUM(AK4:AK5,AK6,AK7,AK8,AK9,AK10,AK11,AK12:AK13,AK14,AK15:AK16:AK17,AK18,AK19,AK20,AK21,AK22,AK23,AK24)</f>
        <v>66</v>
      </c>
      <c r="AL3">
        <v>17</v>
      </c>
    </row>
    <row r="4" spans="2:38" x14ac:dyDescent="0.25">
      <c r="B4" s="2" t="s">
        <v>31</v>
      </c>
      <c r="C4" s="3" t="s">
        <v>33</v>
      </c>
      <c r="D4" s="3" t="s">
        <v>35</v>
      </c>
      <c r="E4" s="3"/>
      <c r="F4" s="3">
        <f t="shared" ref="F4:F24" si="2">SUM(S4,W4,AA4,AE4,AI4)</f>
        <v>7</v>
      </c>
      <c r="G4" s="3">
        <f t="shared" ref="G4:G24" si="3">SUM(T4,X4,AB4,AF4,AJ4)</f>
        <v>9</v>
      </c>
      <c r="H4" s="3">
        <f t="shared" ref="H4:H24" si="4">SUM(U4,Y4,AC4,AG4,AK4)</f>
        <v>39</v>
      </c>
      <c r="I4" s="4">
        <f t="shared" si="0"/>
        <v>0.17948717948717949</v>
      </c>
      <c r="J4" s="3">
        <f t="shared" ref="J4:J24" si="5">SUM(S4,W4,AA4,AE4)</f>
        <v>5</v>
      </c>
      <c r="K4" s="3">
        <f t="shared" ref="K4:K24" si="6">SUM(T4,X4,AB4,AF4)</f>
        <v>6</v>
      </c>
      <c r="L4" s="3">
        <f t="shared" ref="L4:L24" si="7">SUM(U4,Y4,AC4,AG4)</f>
        <v>31</v>
      </c>
      <c r="M4" s="4">
        <f t="shared" si="1"/>
        <v>0.16129032258064516</v>
      </c>
      <c r="N4" s="3"/>
      <c r="O4" s="3">
        <f t="shared" ref="O4:O24" si="8">SUM(S4,W4,AA4)</f>
        <v>5</v>
      </c>
      <c r="P4" s="3">
        <f t="shared" ref="P4:P24" si="9">SUM(T4,X4,AB4)</f>
        <v>6</v>
      </c>
      <c r="Q4" s="3">
        <f t="shared" ref="Q4:Q24" si="10">SUM(U4,Y4,AC4)</f>
        <v>31</v>
      </c>
      <c r="R4" s="3"/>
      <c r="S4" s="3">
        <v>0</v>
      </c>
      <c r="T4" s="3">
        <v>0</v>
      </c>
      <c r="U4" s="3">
        <v>1</v>
      </c>
      <c r="V4" s="3"/>
      <c r="W4" s="3">
        <v>3</v>
      </c>
      <c r="X4" s="3">
        <v>5</v>
      </c>
      <c r="Y4" s="3">
        <v>25</v>
      </c>
      <c r="Z4" s="3"/>
      <c r="AA4" s="3">
        <v>2</v>
      </c>
      <c r="AB4" s="3">
        <v>1</v>
      </c>
      <c r="AC4" s="3">
        <v>5</v>
      </c>
      <c r="AE4" s="3" t="s">
        <v>35</v>
      </c>
      <c r="AF4" s="3" t="s">
        <v>35</v>
      </c>
      <c r="AG4" s="3" t="s">
        <v>35</v>
      </c>
      <c r="AI4" s="3">
        <v>2</v>
      </c>
      <c r="AJ4" s="3">
        <v>3</v>
      </c>
      <c r="AK4" s="3">
        <v>8</v>
      </c>
      <c r="AL4">
        <v>18</v>
      </c>
    </row>
    <row r="5" spans="2:38" x14ac:dyDescent="0.25">
      <c r="B5" s="1" t="s">
        <v>5</v>
      </c>
      <c r="C5" s="3" t="s">
        <v>36</v>
      </c>
      <c r="D5" s="3" t="s">
        <v>35</v>
      </c>
      <c r="E5" s="3"/>
      <c r="F5" s="3">
        <f t="shared" si="2"/>
        <v>10</v>
      </c>
      <c r="G5" s="3">
        <f t="shared" si="3"/>
        <v>12</v>
      </c>
      <c r="H5" s="3">
        <f t="shared" si="4"/>
        <v>52</v>
      </c>
      <c r="I5" s="4">
        <f t="shared" si="0"/>
        <v>0.19230769230769232</v>
      </c>
      <c r="J5" s="3">
        <f t="shared" si="5"/>
        <v>8</v>
      </c>
      <c r="K5" s="3">
        <f t="shared" si="6"/>
        <v>11</v>
      </c>
      <c r="L5" s="3">
        <f t="shared" si="7"/>
        <v>47</v>
      </c>
      <c r="M5" s="4">
        <f t="shared" si="1"/>
        <v>0.1702127659574468</v>
      </c>
      <c r="O5" s="3">
        <f t="shared" si="8"/>
        <v>6</v>
      </c>
      <c r="P5" s="3">
        <f t="shared" si="9"/>
        <v>8</v>
      </c>
      <c r="Q5" s="3">
        <f t="shared" si="10"/>
        <v>39</v>
      </c>
      <c r="S5" s="3">
        <v>0</v>
      </c>
      <c r="T5" s="3">
        <v>1</v>
      </c>
      <c r="U5" s="3">
        <v>5</v>
      </c>
      <c r="W5" s="3">
        <v>4</v>
      </c>
      <c r="X5" s="3">
        <v>4</v>
      </c>
      <c r="Y5" s="3">
        <v>29</v>
      </c>
      <c r="AA5" s="3">
        <v>2</v>
      </c>
      <c r="AB5" s="3">
        <v>3</v>
      </c>
      <c r="AC5" s="3">
        <v>5</v>
      </c>
      <c r="AE5" s="3">
        <v>2</v>
      </c>
      <c r="AF5" s="3">
        <v>3</v>
      </c>
      <c r="AG5" s="3">
        <v>8</v>
      </c>
      <c r="AI5" s="3">
        <v>2</v>
      </c>
      <c r="AJ5" s="3">
        <v>1</v>
      </c>
      <c r="AK5" s="3">
        <v>5</v>
      </c>
      <c r="AL5">
        <v>19</v>
      </c>
    </row>
    <row r="6" spans="2:38" x14ac:dyDescent="0.25">
      <c r="B6" s="2" t="s">
        <v>6</v>
      </c>
      <c r="C6" s="3" t="s">
        <v>33</v>
      </c>
      <c r="D6" s="3"/>
      <c r="E6" s="3" t="s">
        <v>35</v>
      </c>
      <c r="F6" s="3">
        <f t="shared" si="2"/>
        <v>16</v>
      </c>
      <c r="G6" s="3">
        <f t="shared" si="3"/>
        <v>14</v>
      </c>
      <c r="H6" s="3">
        <f t="shared" si="4"/>
        <v>61</v>
      </c>
      <c r="I6" s="4">
        <f t="shared" si="0"/>
        <v>0.26229508196721313</v>
      </c>
      <c r="J6" s="3">
        <f t="shared" si="5"/>
        <v>16</v>
      </c>
      <c r="K6" s="3">
        <f t="shared" si="6"/>
        <v>13</v>
      </c>
      <c r="L6" s="3">
        <f t="shared" si="7"/>
        <v>59</v>
      </c>
      <c r="M6" s="4">
        <f t="shared" si="1"/>
        <v>0.2711864406779661</v>
      </c>
      <c r="N6" s="3"/>
      <c r="O6" s="3">
        <f t="shared" si="8"/>
        <v>9</v>
      </c>
      <c r="P6" s="3">
        <f t="shared" si="9"/>
        <v>9</v>
      </c>
      <c r="Q6" s="3">
        <f t="shared" si="10"/>
        <v>49</v>
      </c>
      <c r="S6" s="3">
        <v>0</v>
      </c>
      <c r="T6" s="3">
        <v>2</v>
      </c>
      <c r="U6" s="3">
        <v>7</v>
      </c>
      <c r="W6" s="3">
        <v>5</v>
      </c>
      <c r="X6" s="3">
        <v>4</v>
      </c>
      <c r="Y6" s="3">
        <v>33</v>
      </c>
      <c r="AA6" s="3">
        <v>4</v>
      </c>
      <c r="AB6" s="3">
        <v>3</v>
      </c>
      <c r="AC6" s="3">
        <v>9</v>
      </c>
      <c r="AE6" s="3">
        <v>7</v>
      </c>
      <c r="AF6" s="3">
        <v>4</v>
      </c>
      <c r="AG6" s="3">
        <v>10</v>
      </c>
      <c r="AI6" s="3">
        <v>0</v>
      </c>
      <c r="AJ6" s="3">
        <v>1</v>
      </c>
      <c r="AK6" s="3">
        <v>2</v>
      </c>
      <c r="AL6">
        <v>20</v>
      </c>
    </row>
    <row r="7" spans="2:38" x14ac:dyDescent="0.25">
      <c r="B7" s="2" t="s">
        <v>7</v>
      </c>
      <c r="C7" s="3" t="s">
        <v>33</v>
      </c>
      <c r="D7" s="3" t="s">
        <v>35</v>
      </c>
      <c r="E7" s="3"/>
      <c r="F7" s="3">
        <f t="shared" si="2"/>
        <v>17</v>
      </c>
      <c r="G7" s="3">
        <f t="shared" si="3"/>
        <v>11</v>
      </c>
      <c r="H7" s="3">
        <f t="shared" si="4"/>
        <v>60</v>
      </c>
      <c r="I7" s="4">
        <f t="shared" si="0"/>
        <v>0.28333333333333333</v>
      </c>
      <c r="J7" s="3">
        <f t="shared" si="5"/>
        <v>15</v>
      </c>
      <c r="K7" s="3">
        <f t="shared" si="6"/>
        <v>10</v>
      </c>
      <c r="L7" s="3">
        <f t="shared" si="7"/>
        <v>57</v>
      </c>
      <c r="M7" s="4">
        <f t="shared" si="1"/>
        <v>0.26315789473684209</v>
      </c>
      <c r="N7" s="3"/>
      <c r="O7" s="3">
        <f t="shared" si="8"/>
        <v>12</v>
      </c>
      <c r="P7" s="3">
        <f t="shared" si="9"/>
        <v>8</v>
      </c>
      <c r="Q7" s="3">
        <f t="shared" si="10"/>
        <v>45</v>
      </c>
      <c r="S7" s="3">
        <v>1</v>
      </c>
      <c r="T7" s="3">
        <v>1</v>
      </c>
      <c r="U7" s="3">
        <v>8</v>
      </c>
      <c r="W7" s="3">
        <v>9</v>
      </c>
      <c r="X7" s="3">
        <v>6</v>
      </c>
      <c r="Y7" s="3">
        <v>33</v>
      </c>
      <c r="AA7" s="3">
        <v>2</v>
      </c>
      <c r="AB7" s="3">
        <v>1</v>
      </c>
      <c r="AC7" s="3">
        <v>4</v>
      </c>
      <c r="AE7" s="3">
        <v>3</v>
      </c>
      <c r="AF7" s="3">
        <v>2</v>
      </c>
      <c r="AG7" s="3">
        <v>12</v>
      </c>
      <c r="AI7" s="3">
        <v>2</v>
      </c>
      <c r="AJ7" s="3">
        <v>1</v>
      </c>
      <c r="AK7" s="3">
        <v>3</v>
      </c>
      <c r="AL7">
        <v>21</v>
      </c>
    </row>
    <row r="8" spans="2:38" x14ac:dyDescent="0.25">
      <c r="B8" s="2" t="s">
        <v>9</v>
      </c>
      <c r="C8" s="3" t="s">
        <v>36</v>
      </c>
      <c r="D8" s="3"/>
      <c r="E8" s="3"/>
      <c r="F8" s="3">
        <f t="shared" si="2"/>
        <v>29</v>
      </c>
      <c r="G8" s="3">
        <f t="shared" si="3"/>
        <v>15</v>
      </c>
      <c r="H8" s="3">
        <f t="shared" si="4"/>
        <v>63</v>
      </c>
      <c r="I8" s="4">
        <f t="shared" si="0"/>
        <v>0.46031746031746029</v>
      </c>
      <c r="J8" s="3">
        <f t="shared" si="5"/>
        <v>28</v>
      </c>
      <c r="K8" s="3">
        <f t="shared" si="6"/>
        <v>15</v>
      </c>
      <c r="L8" s="3">
        <f t="shared" si="7"/>
        <v>61</v>
      </c>
      <c r="M8" s="4">
        <f t="shared" si="1"/>
        <v>0.45901639344262296</v>
      </c>
      <c r="N8" s="3"/>
      <c r="O8" s="3">
        <f t="shared" si="8"/>
        <v>23</v>
      </c>
      <c r="P8" s="3">
        <f t="shared" si="9"/>
        <v>14</v>
      </c>
      <c r="Q8" s="3">
        <f t="shared" si="10"/>
        <v>53</v>
      </c>
      <c r="S8" s="3">
        <v>3</v>
      </c>
      <c r="T8" s="3">
        <v>5</v>
      </c>
      <c r="U8" s="3">
        <v>11</v>
      </c>
      <c r="W8" s="3">
        <v>17</v>
      </c>
      <c r="X8" s="3">
        <v>8</v>
      </c>
      <c r="Y8" s="3">
        <v>34</v>
      </c>
      <c r="AA8" s="3">
        <v>3</v>
      </c>
      <c r="AB8" s="3">
        <v>1</v>
      </c>
      <c r="AC8" s="3">
        <v>8</v>
      </c>
      <c r="AE8" s="3">
        <v>5</v>
      </c>
      <c r="AF8" s="3">
        <v>1</v>
      </c>
      <c r="AG8" s="3">
        <v>8</v>
      </c>
      <c r="AI8" s="3">
        <v>1</v>
      </c>
      <c r="AJ8" s="3">
        <v>0</v>
      </c>
      <c r="AK8" s="3">
        <v>2</v>
      </c>
      <c r="AL8">
        <v>22</v>
      </c>
    </row>
    <row r="9" spans="2:38" x14ac:dyDescent="0.25">
      <c r="B9" s="2" t="s">
        <v>10</v>
      </c>
      <c r="C9" s="3" t="s">
        <v>36</v>
      </c>
      <c r="D9" s="3"/>
      <c r="E9" s="3"/>
      <c r="F9" s="3">
        <f t="shared" si="2"/>
        <v>51</v>
      </c>
      <c r="G9" s="3">
        <f t="shared" si="3"/>
        <v>13</v>
      </c>
      <c r="H9" s="3">
        <f t="shared" si="4"/>
        <v>66</v>
      </c>
      <c r="I9" s="4">
        <f t="shared" si="0"/>
        <v>0.77272727272727271</v>
      </c>
      <c r="J9" s="3">
        <f t="shared" si="5"/>
        <v>46</v>
      </c>
      <c r="K9" s="3">
        <f t="shared" si="6"/>
        <v>9</v>
      </c>
      <c r="L9" s="3">
        <f t="shared" si="7"/>
        <v>61</v>
      </c>
      <c r="M9" s="4">
        <f t="shared" si="1"/>
        <v>0.75409836065573765</v>
      </c>
      <c r="N9" s="3"/>
      <c r="O9" s="3">
        <f t="shared" si="8"/>
        <v>42</v>
      </c>
      <c r="P9" s="3">
        <f t="shared" si="9"/>
        <v>8</v>
      </c>
      <c r="Q9" s="3">
        <f t="shared" si="10"/>
        <v>49</v>
      </c>
      <c r="S9" s="3">
        <v>8</v>
      </c>
      <c r="T9" s="3">
        <v>1</v>
      </c>
      <c r="U9" s="3">
        <v>11</v>
      </c>
      <c r="W9" s="3">
        <v>31</v>
      </c>
      <c r="X9" s="3">
        <v>7</v>
      </c>
      <c r="Y9" s="3">
        <v>34</v>
      </c>
      <c r="AA9" s="3">
        <v>3</v>
      </c>
      <c r="AB9" s="3">
        <v>0</v>
      </c>
      <c r="AC9" s="3">
        <v>4</v>
      </c>
      <c r="AE9" s="3">
        <v>4</v>
      </c>
      <c r="AF9" s="3">
        <v>1</v>
      </c>
      <c r="AG9" s="3">
        <v>12</v>
      </c>
      <c r="AI9" s="3">
        <v>5</v>
      </c>
      <c r="AJ9" s="3">
        <v>4</v>
      </c>
      <c r="AK9" s="3">
        <v>5</v>
      </c>
      <c r="AL9">
        <v>23</v>
      </c>
    </row>
    <row r="10" spans="2:38" x14ac:dyDescent="0.25">
      <c r="B10" s="2" t="s">
        <v>11</v>
      </c>
      <c r="C10" s="3" t="s">
        <v>36</v>
      </c>
      <c r="D10" s="3"/>
      <c r="E10" s="3"/>
      <c r="F10" s="3">
        <f t="shared" si="2"/>
        <v>30</v>
      </c>
      <c r="G10" s="3">
        <f t="shared" si="3"/>
        <v>14</v>
      </c>
      <c r="H10" s="3">
        <f t="shared" si="4"/>
        <v>60</v>
      </c>
      <c r="I10" s="4">
        <f t="shared" si="0"/>
        <v>0.5</v>
      </c>
      <c r="J10" s="3">
        <f t="shared" si="5"/>
        <v>27</v>
      </c>
      <c r="K10" s="3">
        <f t="shared" si="6"/>
        <v>12</v>
      </c>
      <c r="L10" s="3">
        <f t="shared" si="7"/>
        <v>56</v>
      </c>
      <c r="M10" s="4">
        <f t="shared" si="1"/>
        <v>0.48214285714285715</v>
      </c>
      <c r="N10" s="3"/>
      <c r="O10" s="3">
        <f t="shared" si="8"/>
        <v>26</v>
      </c>
      <c r="P10" s="3">
        <f t="shared" si="9"/>
        <v>12</v>
      </c>
      <c r="Q10" s="3">
        <f t="shared" si="10"/>
        <v>53</v>
      </c>
      <c r="S10" s="3">
        <v>4</v>
      </c>
      <c r="T10" s="3">
        <v>3</v>
      </c>
      <c r="U10" s="3">
        <v>12</v>
      </c>
      <c r="W10" s="3">
        <v>18</v>
      </c>
      <c r="X10" s="3">
        <v>7</v>
      </c>
      <c r="Y10" s="3">
        <v>33</v>
      </c>
      <c r="AA10" s="3">
        <v>4</v>
      </c>
      <c r="AB10" s="3">
        <v>2</v>
      </c>
      <c r="AC10" s="3">
        <v>8</v>
      </c>
      <c r="AE10" s="3">
        <v>1</v>
      </c>
      <c r="AF10" s="3">
        <v>0</v>
      </c>
      <c r="AG10" s="3">
        <v>3</v>
      </c>
      <c r="AI10" s="3">
        <v>3</v>
      </c>
      <c r="AJ10" s="3">
        <v>2</v>
      </c>
      <c r="AK10" s="3">
        <v>4</v>
      </c>
      <c r="AL10">
        <v>24</v>
      </c>
    </row>
    <row r="11" spans="2:38" x14ac:dyDescent="0.25">
      <c r="B11" s="2" t="s">
        <v>12</v>
      </c>
      <c r="C11" s="3" t="s">
        <v>37</v>
      </c>
      <c r="D11" s="3"/>
      <c r="E11" s="3" t="s">
        <v>35</v>
      </c>
      <c r="F11" s="3">
        <f t="shared" si="2"/>
        <v>34</v>
      </c>
      <c r="G11" s="3">
        <f t="shared" si="3"/>
        <v>13</v>
      </c>
      <c r="H11" s="3">
        <f t="shared" si="4"/>
        <v>46</v>
      </c>
      <c r="I11" s="4">
        <f t="shared" si="0"/>
        <v>0.73913043478260865</v>
      </c>
      <c r="J11" s="3">
        <f t="shared" si="5"/>
        <v>34</v>
      </c>
      <c r="K11" s="3">
        <f t="shared" si="6"/>
        <v>13</v>
      </c>
      <c r="L11" s="3">
        <f t="shared" si="7"/>
        <v>43</v>
      </c>
      <c r="M11" s="4">
        <f t="shared" si="1"/>
        <v>0.79069767441860461</v>
      </c>
      <c r="O11" s="3">
        <f t="shared" si="8"/>
        <v>33</v>
      </c>
      <c r="P11" s="3">
        <f t="shared" si="9"/>
        <v>10</v>
      </c>
      <c r="Q11" s="3">
        <f t="shared" si="10"/>
        <v>35</v>
      </c>
      <c r="S11" s="3">
        <v>7</v>
      </c>
      <c r="T11" s="3">
        <v>1</v>
      </c>
      <c r="U11" s="3">
        <v>6</v>
      </c>
      <c r="W11" s="3">
        <v>26</v>
      </c>
      <c r="X11" s="3">
        <v>9</v>
      </c>
      <c r="Y11" s="3">
        <v>29</v>
      </c>
      <c r="AA11" s="3" t="s">
        <v>35</v>
      </c>
      <c r="AB11" s="3" t="s">
        <v>35</v>
      </c>
      <c r="AC11" s="3" t="s">
        <v>35</v>
      </c>
      <c r="AE11" s="3">
        <v>1</v>
      </c>
      <c r="AF11" s="3">
        <v>3</v>
      </c>
      <c r="AG11" s="3">
        <v>8</v>
      </c>
      <c r="AI11" s="3">
        <v>0</v>
      </c>
      <c r="AJ11" s="3">
        <v>0</v>
      </c>
      <c r="AK11" s="3">
        <v>3</v>
      </c>
      <c r="AL11">
        <v>25</v>
      </c>
    </row>
    <row r="12" spans="2:38" x14ac:dyDescent="0.25">
      <c r="B12" s="2" t="s">
        <v>13</v>
      </c>
      <c r="C12" s="3" t="s">
        <v>33</v>
      </c>
      <c r="D12" s="3"/>
      <c r="E12" s="3"/>
      <c r="F12" s="3">
        <f t="shared" si="2"/>
        <v>60</v>
      </c>
      <c r="G12" s="3">
        <f t="shared" si="3"/>
        <v>21</v>
      </c>
      <c r="H12" s="3">
        <f t="shared" si="4"/>
        <v>62</v>
      </c>
      <c r="I12" s="4">
        <f t="shared" si="0"/>
        <v>0.967741935483871</v>
      </c>
      <c r="J12" s="3">
        <f t="shared" si="5"/>
        <v>56</v>
      </c>
      <c r="K12" s="3">
        <f t="shared" si="6"/>
        <v>19</v>
      </c>
      <c r="L12" s="3">
        <f t="shared" si="7"/>
        <v>59</v>
      </c>
      <c r="M12" s="4">
        <f t="shared" si="1"/>
        <v>0.94915254237288138</v>
      </c>
      <c r="N12" s="3"/>
      <c r="O12" s="3">
        <f t="shared" si="8"/>
        <v>53</v>
      </c>
      <c r="P12" s="3">
        <f t="shared" si="9"/>
        <v>18</v>
      </c>
      <c r="Q12" s="3">
        <f t="shared" si="10"/>
        <v>54</v>
      </c>
      <c r="S12" s="3">
        <v>6</v>
      </c>
      <c r="T12" s="3">
        <v>4</v>
      </c>
      <c r="U12" s="3">
        <v>12</v>
      </c>
      <c r="W12" s="3">
        <v>40</v>
      </c>
      <c r="X12" s="3">
        <v>13</v>
      </c>
      <c r="Y12" s="3">
        <v>34</v>
      </c>
      <c r="AA12" s="3">
        <v>7</v>
      </c>
      <c r="AB12" s="3">
        <v>1</v>
      </c>
      <c r="AC12" s="3">
        <v>8</v>
      </c>
      <c r="AE12" s="3">
        <v>3</v>
      </c>
      <c r="AF12" s="3">
        <v>1</v>
      </c>
      <c r="AG12" s="3">
        <v>5</v>
      </c>
      <c r="AI12" s="3">
        <v>4</v>
      </c>
      <c r="AJ12" s="3">
        <v>2</v>
      </c>
      <c r="AK12" s="3">
        <v>3</v>
      </c>
      <c r="AL12">
        <v>26</v>
      </c>
    </row>
    <row r="13" spans="2:38" x14ac:dyDescent="0.25">
      <c r="B13" s="2" t="s">
        <v>14</v>
      </c>
      <c r="C13" s="3" t="s">
        <v>33</v>
      </c>
      <c r="D13" s="3"/>
      <c r="E13" s="3"/>
      <c r="F13" s="3">
        <f t="shared" si="2"/>
        <v>76</v>
      </c>
      <c r="G13" s="3">
        <f t="shared" si="3"/>
        <v>18</v>
      </c>
      <c r="H13" s="3">
        <f t="shared" si="4"/>
        <v>69</v>
      </c>
      <c r="I13" s="4">
        <f t="shared" si="0"/>
        <v>1.1014492753623188</v>
      </c>
      <c r="J13" s="3">
        <f t="shared" si="5"/>
        <v>69</v>
      </c>
      <c r="K13" s="3">
        <f t="shared" si="6"/>
        <v>18</v>
      </c>
      <c r="L13" s="3">
        <f t="shared" si="7"/>
        <v>64</v>
      </c>
      <c r="M13" s="4">
        <f t="shared" si="1"/>
        <v>1.078125</v>
      </c>
      <c r="N13" s="3"/>
      <c r="O13" s="3">
        <f t="shared" si="8"/>
        <v>60</v>
      </c>
      <c r="P13" s="3">
        <f t="shared" si="9"/>
        <v>15</v>
      </c>
      <c r="Q13" s="3">
        <f t="shared" si="10"/>
        <v>55</v>
      </c>
      <c r="S13" s="3">
        <v>10</v>
      </c>
      <c r="T13" s="3">
        <v>3</v>
      </c>
      <c r="U13" s="3">
        <v>10</v>
      </c>
      <c r="W13" s="3">
        <v>46</v>
      </c>
      <c r="X13" s="3">
        <v>12</v>
      </c>
      <c r="Y13" s="3">
        <v>38</v>
      </c>
      <c r="AA13" s="3">
        <v>4</v>
      </c>
      <c r="AB13" s="3">
        <v>0</v>
      </c>
      <c r="AC13" s="3">
        <v>7</v>
      </c>
      <c r="AE13" s="3">
        <v>9</v>
      </c>
      <c r="AF13" s="3">
        <v>3</v>
      </c>
      <c r="AG13" s="3">
        <v>9</v>
      </c>
      <c r="AI13" s="3">
        <v>7</v>
      </c>
      <c r="AJ13" s="3">
        <v>0</v>
      </c>
      <c r="AK13" s="3">
        <v>5</v>
      </c>
      <c r="AL13">
        <v>27</v>
      </c>
    </row>
    <row r="14" spans="2:38" x14ac:dyDescent="0.25">
      <c r="B14" s="2" t="s">
        <v>15</v>
      </c>
      <c r="C14" s="3" t="s">
        <v>33</v>
      </c>
      <c r="D14" s="3"/>
      <c r="E14" s="3"/>
      <c r="F14" s="3">
        <f t="shared" si="2"/>
        <v>67</v>
      </c>
      <c r="G14" s="3">
        <f t="shared" si="3"/>
        <v>16</v>
      </c>
      <c r="H14" s="3">
        <f t="shared" si="4"/>
        <v>63</v>
      </c>
      <c r="I14" s="4">
        <f t="shared" si="0"/>
        <v>1.0634920634920635</v>
      </c>
      <c r="J14" s="3">
        <f t="shared" si="5"/>
        <v>62</v>
      </c>
      <c r="K14" s="3">
        <f t="shared" si="6"/>
        <v>15</v>
      </c>
      <c r="L14" s="3">
        <f t="shared" si="7"/>
        <v>59</v>
      </c>
      <c r="M14" s="4">
        <f t="shared" si="1"/>
        <v>1.0508474576271187</v>
      </c>
      <c r="N14" s="3"/>
      <c r="O14" s="3">
        <f t="shared" si="8"/>
        <v>55</v>
      </c>
      <c r="P14" s="3">
        <f t="shared" si="9"/>
        <v>13</v>
      </c>
      <c r="Q14" s="3">
        <f t="shared" si="10"/>
        <v>55</v>
      </c>
      <c r="S14" s="3">
        <v>12</v>
      </c>
      <c r="T14" s="3">
        <v>1</v>
      </c>
      <c r="U14" s="3">
        <v>12</v>
      </c>
      <c r="W14" s="3">
        <v>34</v>
      </c>
      <c r="X14" s="3">
        <v>11</v>
      </c>
      <c r="Y14" s="3">
        <v>34</v>
      </c>
      <c r="AA14" s="3">
        <v>9</v>
      </c>
      <c r="AB14" s="3">
        <v>1</v>
      </c>
      <c r="AC14" s="3">
        <v>9</v>
      </c>
      <c r="AE14" s="3">
        <v>7</v>
      </c>
      <c r="AF14" s="3">
        <v>2</v>
      </c>
      <c r="AG14" s="3">
        <v>4</v>
      </c>
      <c r="AI14" s="3">
        <v>5</v>
      </c>
      <c r="AJ14" s="3">
        <v>1</v>
      </c>
      <c r="AK14" s="3">
        <v>4</v>
      </c>
      <c r="AL14">
        <v>28</v>
      </c>
    </row>
    <row r="15" spans="2:38" x14ac:dyDescent="0.25">
      <c r="B15" s="2" t="s">
        <v>16</v>
      </c>
      <c r="C15" s="3" t="s">
        <v>39</v>
      </c>
      <c r="D15" s="3"/>
      <c r="E15" s="3"/>
      <c r="F15" s="3">
        <f t="shared" si="2"/>
        <v>64</v>
      </c>
      <c r="G15" s="3">
        <f t="shared" si="3"/>
        <v>19</v>
      </c>
      <c r="H15" s="3">
        <f t="shared" si="4"/>
        <v>57</v>
      </c>
      <c r="I15" s="4">
        <f t="shared" si="0"/>
        <v>1.1228070175438596</v>
      </c>
      <c r="J15" s="3">
        <f t="shared" si="5"/>
        <v>62</v>
      </c>
      <c r="K15" s="3">
        <f t="shared" si="6"/>
        <v>19</v>
      </c>
      <c r="L15" s="3">
        <f t="shared" si="7"/>
        <v>56</v>
      </c>
      <c r="M15" s="4">
        <f t="shared" si="1"/>
        <v>1.1071428571428572</v>
      </c>
      <c r="N15" s="3"/>
      <c r="O15" s="3">
        <f t="shared" si="8"/>
        <v>51</v>
      </c>
      <c r="P15" s="3">
        <f t="shared" si="9"/>
        <v>17</v>
      </c>
      <c r="Q15" s="3">
        <f t="shared" si="10"/>
        <v>47</v>
      </c>
      <c r="S15" s="3">
        <v>17</v>
      </c>
      <c r="T15" s="3">
        <v>5</v>
      </c>
      <c r="U15" s="3">
        <v>11</v>
      </c>
      <c r="W15" s="3">
        <v>31</v>
      </c>
      <c r="X15" s="3">
        <v>11</v>
      </c>
      <c r="Y15" s="3">
        <v>30</v>
      </c>
      <c r="AA15" s="3">
        <v>3</v>
      </c>
      <c r="AB15" s="3">
        <v>1</v>
      </c>
      <c r="AC15" s="3">
        <v>6</v>
      </c>
      <c r="AE15" s="3">
        <v>11</v>
      </c>
      <c r="AF15" s="3">
        <v>2</v>
      </c>
      <c r="AG15" s="3">
        <v>9</v>
      </c>
      <c r="AI15" s="3">
        <v>2</v>
      </c>
      <c r="AJ15" s="3">
        <v>0</v>
      </c>
      <c r="AK15" s="3">
        <v>1</v>
      </c>
      <c r="AL15">
        <v>29</v>
      </c>
    </row>
    <row r="16" spans="2:38" x14ac:dyDescent="0.25">
      <c r="B16" s="2" t="s">
        <v>17</v>
      </c>
      <c r="C16" s="3" t="s">
        <v>39</v>
      </c>
      <c r="D16" s="3"/>
      <c r="E16" s="3"/>
      <c r="F16" s="3">
        <f t="shared" si="2"/>
        <v>66</v>
      </c>
      <c r="G16" s="3">
        <f t="shared" si="3"/>
        <v>23</v>
      </c>
      <c r="H16" s="3">
        <f t="shared" si="4"/>
        <v>63</v>
      </c>
      <c r="I16" s="4">
        <f t="shared" si="0"/>
        <v>1.0476190476190477</v>
      </c>
      <c r="J16" s="3">
        <f t="shared" si="5"/>
        <v>66</v>
      </c>
      <c r="K16" s="3">
        <f t="shared" si="6"/>
        <v>23</v>
      </c>
      <c r="L16" s="3">
        <f t="shared" si="7"/>
        <v>63</v>
      </c>
      <c r="M16" s="4">
        <f t="shared" si="1"/>
        <v>1.0476190476190477</v>
      </c>
      <c r="N16" s="3"/>
      <c r="O16" s="3">
        <f t="shared" si="8"/>
        <v>61</v>
      </c>
      <c r="P16" s="3">
        <f t="shared" si="9"/>
        <v>23</v>
      </c>
      <c r="Q16" s="3">
        <f t="shared" si="10"/>
        <v>54</v>
      </c>
      <c r="S16" s="3">
        <v>10</v>
      </c>
      <c r="T16" s="3">
        <v>4</v>
      </c>
      <c r="U16" s="3">
        <v>12</v>
      </c>
      <c r="W16" s="3">
        <v>48</v>
      </c>
      <c r="X16" s="3">
        <v>17</v>
      </c>
      <c r="Y16" s="3">
        <v>35</v>
      </c>
      <c r="AA16" s="3">
        <v>3</v>
      </c>
      <c r="AB16" s="3">
        <v>2</v>
      </c>
      <c r="AC16" s="3">
        <v>7</v>
      </c>
      <c r="AE16" s="3">
        <v>5</v>
      </c>
      <c r="AF16" s="3">
        <v>0</v>
      </c>
      <c r="AG16" s="3">
        <v>9</v>
      </c>
      <c r="AI16" s="3" t="s">
        <v>35</v>
      </c>
      <c r="AJ16" s="3" t="s">
        <v>35</v>
      </c>
      <c r="AK16" s="3" t="s">
        <v>35</v>
      </c>
      <c r="AL16">
        <v>30</v>
      </c>
    </row>
    <row r="17" spans="2:38" x14ac:dyDescent="0.25">
      <c r="B17" s="2" t="s">
        <v>18</v>
      </c>
      <c r="C17" s="3" t="s">
        <v>40</v>
      </c>
      <c r="D17" s="3"/>
      <c r="E17" s="3"/>
      <c r="F17" s="3">
        <f t="shared" si="2"/>
        <v>60</v>
      </c>
      <c r="G17" s="3">
        <f t="shared" si="3"/>
        <v>18</v>
      </c>
      <c r="H17" s="3">
        <f t="shared" si="4"/>
        <v>58</v>
      </c>
      <c r="I17" s="4">
        <f t="shared" si="0"/>
        <v>1.0344827586206897</v>
      </c>
      <c r="J17" s="3">
        <f t="shared" si="5"/>
        <v>57</v>
      </c>
      <c r="K17" s="3">
        <f t="shared" si="6"/>
        <v>18</v>
      </c>
      <c r="L17" s="3">
        <f t="shared" si="7"/>
        <v>55</v>
      </c>
      <c r="M17" s="4">
        <f t="shared" si="1"/>
        <v>1.0363636363636364</v>
      </c>
      <c r="N17" s="3"/>
      <c r="O17" s="3">
        <f t="shared" si="8"/>
        <v>51</v>
      </c>
      <c r="P17" s="3">
        <f t="shared" si="9"/>
        <v>15</v>
      </c>
      <c r="Q17" s="3">
        <f t="shared" si="10"/>
        <v>48</v>
      </c>
      <c r="S17" s="3">
        <v>16</v>
      </c>
      <c r="T17" s="3">
        <v>4</v>
      </c>
      <c r="U17" s="3">
        <v>12</v>
      </c>
      <c r="W17" s="3">
        <v>35</v>
      </c>
      <c r="X17" s="3">
        <v>11</v>
      </c>
      <c r="Y17" s="3">
        <v>36</v>
      </c>
      <c r="Z17" s="3" t="s">
        <v>35</v>
      </c>
      <c r="AA17" s="3" t="s">
        <v>35</v>
      </c>
      <c r="AB17" s="3" t="s">
        <v>35</v>
      </c>
      <c r="AC17" s="3" t="s">
        <v>35</v>
      </c>
      <c r="AE17" s="3">
        <v>6</v>
      </c>
      <c r="AF17" s="3">
        <v>3</v>
      </c>
      <c r="AG17" s="3">
        <v>7</v>
      </c>
      <c r="AI17" s="3">
        <v>3</v>
      </c>
      <c r="AJ17" s="3">
        <v>0</v>
      </c>
      <c r="AK17" s="3">
        <v>3</v>
      </c>
      <c r="AL17">
        <v>31</v>
      </c>
    </row>
    <row r="18" spans="2:38" x14ac:dyDescent="0.25">
      <c r="B18" s="2" t="s">
        <v>19</v>
      </c>
      <c r="C18" s="3" t="s">
        <v>40</v>
      </c>
      <c r="D18" s="3"/>
      <c r="E18" s="3"/>
      <c r="F18" s="3">
        <f t="shared" si="2"/>
        <v>59</v>
      </c>
      <c r="G18" s="3">
        <f t="shared" si="3"/>
        <v>14</v>
      </c>
      <c r="H18" s="3">
        <f t="shared" si="4"/>
        <v>59</v>
      </c>
      <c r="I18" s="4">
        <f t="shared" si="0"/>
        <v>1</v>
      </c>
      <c r="J18" s="3">
        <f t="shared" si="5"/>
        <v>56</v>
      </c>
      <c r="K18" s="3">
        <f t="shared" si="6"/>
        <v>14</v>
      </c>
      <c r="L18" s="3">
        <f t="shared" si="7"/>
        <v>56</v>
      </c>
      <c r="M18" s="4">
        <f t="shared" si="1"/>
        <v>1</v>
      </c>
      <c r="N18" s="3"/>
      <c r="O18" s="3">
        <f t="shared" si="8"/>
        <v>42</v>
      </c>
      <c r="P18" s="3">
        <f t="shared" si="9"/>
        <v>12</v>
      </c>
      <c r="Q18" s="3">
        <f t="shared" si="10"/>
        <v>46</v>
      </c>
      <c r="S18" s="3">
        <v>12</v>
      </c>
      <c r="T18" s="3">
        <v>6</v>
      </c>
      <c r="U18" s="3">
        <v>13</v>
      </c>
      <c r="W18" s="3">
        <v>25</v>
      </c>
      <c r="X18" s="3">
        <v>6</v>
      </c>
      <c r="Y18" s="3">
        <v>29</v>
      </c>
      <c r="AA18" s="3">
        <v>5</v>
      </c>
      <c r="AB18" s="3">
        <v>0</v>
      </c>
      <c r="AC18" s="3">
        <v>4</v>
      </c>
      <c r="AE18" s="3">
        <v>14</v>
      </c>
      <c r="AF18" s="3">
        <v>2</v>
      </c>
      <c r="AG18" s="3">
        <v>10</v>
      </c>
      <c r="AI18" s="3">
        <v>3</v>
      </c>
      <c r="AJ18" s="3">
        <v>0</v>
      </c>
      <c r="AK18" s="3">
        <v>3</v>
      </c>
      <c r="AL18">
        <v>32</v>
      </c>
    </row>
    <row r="19" spans="2:38" x14ac:dyDescent="0.25">
      <c r="B19" s="2" t="s">
        <v>20</v>
      </c>
      <c r="C19" s="3" t="s">
        <v>40</v>
      </c>
      <c r="D19" s="3"/>
      <c r="E19" s="3"/>
      <c r="F19" s="3">
        <f t="shared" si="2"/>
        <v>54</v>
      </c>
      <c r="G19" s="3">
        <f t="shared" si="3"/>
        <v>11</v>
      </c>
      <c r="H19" s="3">
        <f t="shared" si="4"/>
        <v>55</v>
      </c>
      <c r="I19" s="4">
        <f t="shared" si="0"/>
        <v>0.98181818181818181</v>
      </c>
      <c r="J19" s="3">
        <f t="shared" si="5"/>
        <v>54</v>
      </c>
      <c r="K19" s="3">
        <f t="shared" si="6"/>
        <v>11</v>
      </c>
      <c r="L19" s="3">
        <f t="shared" si="7"/>
        <v>55</v>
      </c>
      <c r="M19" s="4">
        <f t="shared" si="1"/>
        <v>0.98181818181818181</v>
      </c>
      <c r="N19" s="3"/>
      <c r="O19" s="3">
        <f t="shared" si="8"/>
        <v>44</v>
      </c>
      <c r="P19" s="3">
        <f t="shared" si="9"/>
        <v>8</v>
      </c>
      <c r="Q19" s="3">
        <f t="shared" si="10"/>
        <v>44</v>
      </c>
      <c r="S19" s="3">
        <v>15</v>
      </c>
      <c r="T19" s="3">
        <v>3</v>
      </c>
      <c r="U19" s="3">
        <v>13</v>
      </c>
      <c r="W19" s="3">
        <v>26</v>
      </c>
      <c r="X19" s="3">
        <v>5</v>
      </c>
      <c r="Y19" s="3">
        <v>27</v>
      </c>
      <c r="AA19" s="3">
        <v>3</v>
      </c>
      <c r="AB19" s="3">
        <v>0</v>
      </c>
      <c r="AC19" s="3">
        <v>4</v>
      </c>
      <c r="AE19" s="3">
        <v>10</v>
      </c>
      <c r="AF19" s="3">
        <v>3</v>
      </c>
      <c r="AG19" s="3">
        <v>11</v>
      </c>
      <c r="AI19" s="3" t="s">
        <v>35</v>
      </c>
      <c r="AJ19" s="3" t="s">
        <v>35</v>
      </c>
      <c r="AK19" s="3" t="s">
        <v>35</v>
      </c>
      <c r="AL19">
        <v>33</v>
      </c>
    </row>
    <row r="20" spans="2:38" x14ac:dyDescent="0.25">
      <c r="B20" s="2" t="s">
        <v>21</v>
      </c>
      <c r="C20" s="3" t="s">
        <v>39</v>
      </c>
      <c r="D20" s="3"/>
      <c r="E20" s="3"/>
      <c r="F20" s="3">
        <f t="shared" si="2"/>
        <v>42</v>
      </c>
      <c r="G20" s="3">
        <f t="shared" si="3"/>
        <v>11</v>
      </c>
      <c r="H20" s="3">
        <f t="shared" si="4"/>
        <v>54</v>
      </c>
      <c r="I20" s="4">
        <f t="shared" si="0"/>
        <v>0.77777777777777779</v>
      </c>
      <c r="J20" s="3">
        <f t="shared" si="5"/>
        <v>34</v>
      </c>
      <c r="K20" s="3">
        <f t="shared" si="6"/>
        <v>11</v>
      </c>
      <c r="L20" s="3">
        <f t="shared" si="7"/>
        <v>47</v>
      </c>
      <c r="M20" s="4">
        <f t="shared" si="1"/>
        <v>0.72340425531914898</v>
      </c>
      <c r="N20" s="3"/>
      <c r="O20" s="3">
        <f t="shared" si="8"/>
        <v>28</v>
      </c>
      <c r="P20" s="3">
        <f t="shared" si="9"/>
        <v>11</v>
      </c>
      <c r="Q20" s="3">
        <f t="shared" si="10"/>
        <v>43</v>
      </c>
      <c r="S20" s="3">
        <v>6</v>
      </c>
      <c r="T20" s="3">
        <v>2</v>
      </c>
      <c r="U20" s="3">
        <v>9</v>
      </c>
      <c r="W20" s="3">
        <v>21</v>
      </c>
      <c r="X20" s="3">
        <v>9</v>
      </c>
      <c r="Y20" s="3">
        <v>31</v>
      </c>
      <c r="AA20" s="3">
        <v>1</v>
      </c>
      <c r="AB20" s="3">
        <v>0</v>
      </c>
      <c r="AC20" s="3">
        <v>3</v>
      </c>
      <c r="AE20" s="3">
        <v>6</v>
      </c>
      <c r="AF20" s="3">
        <v>0</v>
      </c>
      <c r="AG20" s="3">
        <v>4</v>
      </c>
      <c r="AI20" s="3">
        <v>8</v>
      </c>
      <c r="AJ20" s="3">
        <v>0</v>
      </c>
      <c r="AK20" s="3">
        <v>7</v>
      </c>
      <c r="AL20">
        <v>34</v>
      </c>
    </row>
    <row r="21" spans="2:38" x14ac:dyDescent="0.25">
      <c r="B21" s="2" t="s">
        <v>22</v>
      </c>
      <c r="C21" s="3" t="s">
        <v>39</v>
      </c>
      <c r="D21" s="3"/>
      <c r="E21" s="3"/>
      <c r="F21" s="3">
        <f t="shared" si="2"/>
        <v>51</v>
      </c>
      <c r="G21" s="3">
        <f t="shared" si="3"/>
        <v>7</v>
      </c>
      <c r="H21" s="3">
        <f t="shared" si="4"/>
        <v>58</v>
      </c>
      <c r="I21" s="4">
        <f t="shared" si="0"/>
        <v>0.87931034482758619</v>
      </c>
      <c r="J21" s="3">
        <f t="shared" si="5"/>
        <v>48</v>
      </c>
      <c r="K21" s="3">
        <f t="shared" si="6"/>
        <v>7</v>
      </c>
      <c r="L21" s="3">
        <f t="shared" si="7"/>
        <v>52</v>
      </c>
      <c r="M21" s="4">
        <f t="shared" si="1"/>
        <v>0.92307692307692313</v>
      </c>
      <c r="N21" s="3"/>
      <c r="O21" s="3">
        <f t="shared" si="8"/>
        <v>37</v>
      </c>
      <c r="P21" s="3">
        <f t="shared" si="9"/>
        <v>7</v>
      </c>
      <c r="Q21" s="3">
        <f t="shared" si="10"/>
        <v>46</v>
      </c>
      <c r="S21" s="3">
        <v>4</v>
      </c>
      <c r="T21" s="3">
        <v>1</v>
      </c>
      <c r="U21" s="3">
        <v>8</v>
      </c>
      <c r="W21" s="3">
        <v>31</v>
      </c>
      <c r="X21" s="3">
        <v>6</v>
      </c>
      <c r="Y21" s="3">
        <v>33</v>
      </c>
      <c r="AA21" s="3">
        <v>2</v>
      </c>
      <c r="AB21" s="3">
        <v>0</v>
      </c>
      <c r="AC21" s="3">
        <v>5</v>
      </c>
      <c r="AE21" s="3">
        <v>11</v>
      </c>
      <c r="AF21" s="3">
        <v>0</v>
      </c>
      <c r="AG21" s="3">
        <v>6</v>
      </c>
      <c r="AI21" s="3">
        <v>3</v>
      </c>
      <c r="AJ21" s="3" t="s">
        <v>35</v>
      </c>
      <c r="AK21" s="3">
        <v>6</v>
      </c>
      <c r="AL21">
        <v>35</v>
      </c>
    </row>
    <row r="22" spans="2:38" x14ac:dyDescent="0.25">
      <c r="B22" s="2" t="s">
        <v>23</v>
      </c>
      <c r="C22" s="3" t="s">
        <v>40</v>
      </c>
      <c r="D22" s="3"/>
      <c r="E22" s="3"/>
      <c r="F22" s="3">
        <f t="shared" si="2"/>
        <v>46</v>
      </c>
      <c r="G22" s="3">
        <f t="shared" si="3"/>
        <v>6</v>
      </c>
      <c r="H22" s="3">
        <f t="shared" si="4"/>
        <v>59</v>
      </c>
      <c r="I22" s="4">
        <f t="shared" si="0"/>
        <v>0.77966101694915257</v>
      </c>
      <c r="J22" s="3">
        <f t="shared" si="5"/>
        <v>46</v>
      </c>
      <c r="K22" s="3">
        <f t="shared" si="6"/>
        <v>6</v>
      </c>
      <c r="L22" s="3">
        <f t="shared" si="7"/>
        <v>59</v>
      </c>
      <c r="M22" s="4">
        <f t="shared" si="1"/>
        <v>0.77966101694915257</v>
      </c>
      <c r="N22" s="3"/>
      <c r="O22" s="3">
        <f t="shared" si="8"/>
        <v>36</v>
      </c>
      <c r="P22" s="3">
        <f t="shared" si="9"/>
        <v>4</v>
      </c>
      <c r="Q22" s="3">
        <f t="shared" si="10"/>
        <v>44</v>
      </c>
      <c r="S22" s="3">
        <v>4</v>
      </c>
      <c r="T22" s="3">
        <v>2</v>
      </c>
      <c r="U22" s="3">
        <v>6</v>
      </c>
      <c r="W22" s="3">
        <v>29</v>
      </c>
      <c r="X22" s="3">
        <v>2</v>
      </c>
      <c r="Y22" s="3">
        <v>33</v>
      </c>
      <c r="AA22" s="3">
        <v>3</v>
      </c>
      <c r="AB22" s="3">
        <v>0</v>
      </c>
      <c r="AC22" s="3">
        <v>5</v>
      </c>
      <c r="AE22" s="3">
        <v>10</v>
      </c>
      <c r="AF22" s="3">
        <v>2</v>
      </c>
      <c r="AG22" s="3">
        <v>15</v>
      </c>
      <c r="AI22" s="3" t="s">
        <v>35</v>
      </c>
      <c r="AJ22" s="3" t="s">
        <v>35</v>
      </c>
      <c r="AK22" s="3" t="s">
        <v>35</v>
      </c>
      <c r="AL22">
        <v>36</v>
      </c>
    </row>
    <row r="23" spans="2:38" x14ac:dyDescent="0.25">
      <c r="B23" s="2" t="s">
        <v>24</v>
      </c>
      <c r="C23" s="3" t="s">
        <v>40</v>
      </c>
      <c r="D23" s="3"/>
      <c r="E23" s="3" t="s">
        <v>35</v>
      </c>
      <c r="F23" s="3">
        <f t="shared" si="2"/>
        <v>32</v>
      </c>
      <c r="G23" s="3">
        <f t="shared" si="3"/>
        <v>5</v>
      </c>
      <c r="H23" s="3">
        <f t="shared" si="4"/>
        <v>48</v>
      </c>
      <c r="I23" s="4">
        <f t="shared" si="0"/>
        <v>0.66666666666666663</v>
      </c>
      <c r="J23" s="3">
        <f t="shared" si="5"/>
        <v>32</v>
      </c>
      <c r="K23" s="3">
        <f t="shared" si="6"/>
        <v>5</v>
      </c>
      <c r="L23" s="3">
        <f t="shared" si="7"/>
        <v>48</v>
      </c>
      <c r="M23" s="4">
        <f t="shared" si="1"/>
        <v>0.66666666666666663</v>
      </c>
      <c r="N23" s="3"/>
      <c r="O23" s="3">
        <f t="shared" si="8"/>
        <v>24</v>
      </c>
      <c r="P23" s="3">
        <f t="shared" si="9"/>
        <v>3</v>
      </c>
      <c r="Q23" s="3">
        <f t="shared" si="10"/>
        <v>38</v>
      </c>
      <c r="S23" s="3">
        <v>6</v>
      </c>
      <c r="T23" s="3">
        <v>0</v>
      </c>
      <c r="U23" s="3">
        <v>7</v>
      </c>
      <c r="W23" s="3">
        <v>18</v>
      </c>
      <c r="X23" s="3">
        <v>3</v>
      </c>
      <c r="Y23" s="3">
        <v>30</v>
      </c>
      <c r="AA23" s="3" t="s">
        <v>35</v>
      </c>
      <c r="AB23" s="3" t="s">
        <v>35</v>
      </c>
      <c r="AC23" s="3">
        <v>1</v>
      </c>
      <c r="AE23" s="3">
        <v>8</v>
      </c>
      <c r="AF23" s="3">
        <v>2</v>
      </c>
      <c r="AG23" s="3">
        <v>10</v>
      </c>
      <c r="AI23" s="3" t="s">
        <v>35</v>
      </c>
      <c r="AJ23" s="3" t="s">
        <v>35</v>
      </c>
      <c r="AK23" s="3" t="s">
        <v>35</v>
      </c>
      <c r="AL23">
        <v>37</v>
      </c>
    </row>
    <row r="24" spans="2:38" x14ac:dyDescent="0.25">
      <c r="B24" s="2" t="s">
        <v>25</v>
      </c>
      <c r="C24" s="3" t="s">
        <v>40</v>
      </c>
      <c r="D24" s="3"/>
      <c r="E24" s="3"/>
      <c r="F24" s="3">
        <f t="shared" si="2"/>
        <v>27</v>
      </c>
      <c r="G24" s="3">
        <f t="shared" si="3"/>
        <v>7</v>
      </c>
      <c r="H24" s="3">
        <f t="shared" si="4"/>
        <v>36</v>
      </c>
      <c r="I24" s="4">
        <f t="shared" si="0"/>
        <v>0.75</v>
      </c>
      <c r="J24" s="3">
        <f t="shared" si="5"/>
        <v>23</v>
      </c>
      <c r="K24" s="3">
        <f t="shared" si="6"/>
        <v>5</v>
      </c>
      <c r="L24" s="3">
        <f t="shared" si="7"/>
        <v>34</v>
      </c>
      <c r="M24" s="4">
        <f t="shared" si="1"/>
        <v>0.67647058823529416</v>
      </c>
      <c r="N24" s="3"/>
      <c r="O24" s="3">
        <f t="shared" si="8"/>
        <v>19</v>
      </c>
      <c r="P24" s="3">
        <f t="shared" si="9"/>
        <v>4</v>
      </c>
      <c r="Q24" s="3">
        <f t="shared" si="10"/>
        <v>26</v>
      </c>
      <c r="R24" s="3" t="s">
        <v>35</v>
      </c>
      <c r="S24" s="3" t="s">
        <v>35</v>
      </c>
      <c r="T24" s="3" t="s">
        <v>35</v>
      </c>
      <c r="U24" s="3" t="s">
        <v>35</v>
      </c>
      <c r="W24" s="3">
        <v>17</v>
      </c>
      <c r="X24" s="3">
        <v>2</v>
      </c>
      <c r="Y24" s="3">
        <v>18</v>
      </c>
      <c r="AA24" s="3">
        <v>2</v>
      </c>
      <c r="AB24" s="3">
        <v>2</v>
      </c>
      <c r="AC24" s="3">
        <v>8</v>
      </c>
      <c r="AE24" s="3">
        <v>4</v>
      </c>
      <c r="AF24" s="3">
        <v>1</v>
      </c>
      <c r="AG24" s="3">
        <v>8</v>
      </c>
      <c r="AI24" s="3">
        <v>4</v>
      </c>
      <c r="AJ24" s="3">
        <v>2</v>
      </c>
      <c r="AK24" s="3">
        <v>2</v>
      </c>
      <c r="AL24">
        <v>38</v>
      </c>
    </row>
    <row r="26" spans="2:38" x14ac:dyDescent="0.25">
      <c r="J26" t="s">
        <v>38</v>
      </c>
    </row>
    <row r="35" spans="24:26" x14ac:dyDescent="0.25">
      <c r="X35" s="3"/>
      <c r="Y35" s="3"/>
      <c r="Z35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A316-1F72-4A5E-8428-F193372384FE}">
  <dimension ref="B2:G26"/>
  <sheetViews>
    <sheetView tabSelected="1" workbookViewId="0">
      <selection activeCell="C25" sqref="C25"/>
    </sheetView>
  </sheetViews>
  <sheetFormatPr baseColWidth="10" defaultRowHeight="15" x14ac:dyDescent="0.25"/>
  <cols>
    <col min="2" max="2" width="13.42578125" customWidth="1"/>
  </cols>
  <sheetData>
    <row r="2" spans="2:7" x14ac:dyDescent="0.25">
      <c r="B2" s="6" t="s">
        <v>0</v>
      </c>
      <c r="C2" s="10" t="s">
        <v>50</v>
      </c>
      <c r="D2" s="10" t="s">
        <v>51</v>
      </c>
      <c r="E2" s="10" t="s">
        <v>52</v>
      </c>
      <c r="F2" s="10" t="s">
        <v>55</v>
      </c>
      <c r="G2" s="10" t="s">
        <v>54</v>
      </c>
    </row>
    <row r="3" spans="2:7" x14ac:dyDescent="0.25">
      <c r="B3" s="6" t="s">
        <v>4</v>
      </c>
      <c r="C3" s="13">
        <f>SUM(C4,C5,C6,C7,C8,C9,C10,C11,C12,C13,C14,C15,C16,C17,C18,C19,C20,C21,C22,C23,C24,C25,C26)</f>
        <v>931</v>
      </c>
      <c r="D3" s="13">
        <f>SUM(D4,D5,D6,D7,D8,D9,D10,D11,D12,D13,D14,D15,D16,D17,D18,D19,D20,D21,D22,D23,D24,D25,D26)</f>
        <v>290</v>
      </c>
      <c r="E3" s="13">
        <f>SUM(E4,E5,E6,E7,E8,E9,E10,E11,E12,E13,E14,E15,E16,E17,E18,E19,E20,E21,E22,E23,E24,E25,E26)</f>
        <v>1269</v>
      </c>
      <c r="F3" s="15">
        <f>C3/E3</f>
        <v>0.73364854215918041</v>
      </c>
      <c r="G3" s="14">
        <f>F3</f>
        <v>0.73364854215918041</v>
      </c>
    </row>
    <row r="4" spans="2:7" x14ac:dyDescent="0.25">
      <c r="B4" s="7" t="s">
        <v>31</v>
      </c>
      <c r="C4" s="13">
        <v>5</v>
      </c>
      <c r="D4" s="13">
        <v>6</v>
      </c>
      <c r="E4" s="13">
        <f>31+4</f>
        <v>35</v>
      </c>
      <c r="F4" s="15">
        <f t="shared" ref="F4:F26" si="0">C4/E4</f>
        <v>0.14285714285714285</v>
      </c>
      <c r="G4" s="14">
        <v>0.14285714285714299</v>
      </c>
    </row>
    <row r="5" spans="2:7" x14ac:dyDescent="0.25">
      <c r="B5" s="8" t="s">
        <v>5</v>
      </c>
      <c r="C5" s="13">
        <f>6+2</f>
        <v>8</v>
      </c>
      <c r="D5" s="13">
        <f>8+1+2</f>
        <v>11</v>
      </c>
      <c r="E5" s="13">
        <f>40+5+8</f>
        <v>53</v>
      </c>
      <c r="F5" s="15">
        <f t="shared" si="0"/>
        <v>0.15094339622641509</v>
      </c>
      <c r="G5" s="14">
        <v>0.15094339622641509</v>
      </c>
    </row>
    <row r="6" spans="2:7" x14ac:dyDescent="0.25">
      <c r="B6" s="7" t="s">
        <v>6</v>
      </c>
      <c r="C6" s="13">
        <f>9+5+2</f>
        <v>16</v>
      </c>
      <c r="D6" s="13">
        <f>9+5</f>
        <v>14</v>
      </c>
      <c r="E6" s="13">
        <f>50+8+2</f>
        <v>60</v>
      </c>
      <c r="F6" s="15">
        <f t="shared" si="0"/>
        <v>0.26666666666666666</v>
      </c>
      <c r="G6" s="14">
        <v>0.26666666666666666</v>
      </c>
    </row>
    <row r="7" spans="2:7" x14ac:dyDescent="0.25">
      <c r="B7" s="7" t="s">
        <v>7</v>
      </c>
      <c r="C7" s="13">
        <f>12+2+1</f>
        <v>15</v>
      </c>
      <c r="D7" s="13">
        <f>8+2</f>
        <v>10</v>
      </c>
      <c r="E7" s="13">
        <f>47+2+9</f>
        <v>58</v>
      </c>
      <c r="F7" s="15">
        <f t="shared" si="0"/>
        <v>0.25862068965517243</v>
      </c>
      <c r="G7" s="14">
        <v>0.25862068965517243</v>
      </c>
    </row>
    <row r="8" spans="2:7" x14ac:dyDescent="0.25">
      <c r="B8" s="7" t="s">
        <v>9</v>
      </c>
      <c r="C8" s="13">
        <f>23+5</f>
        <v>28</v>
      </c>
      <c r="D8" s="13">
        <f>14+3</f>
        <v>17</v>
      </c>
      <c r="E8" s="13">
        <f>53+8</f>
        <v>61</v>
      </c>
      <c r="F8" s="15">
        <f t="shared" si="0"/>
        <v>0.45901639344262296</v>
      </c>
      <c r="G8" s="14">
        <v>0.45901639344262296</v>
      </c>
    </row>
    <row r="9" spans="2:7" x14ac:dyDescent="0.25">
      <c r="B9" s="7" t="s">
        <v>10</v>
      </c>
      <c r="C9" s="13">
        <f>42+3+1</f>
        <v>46</v>
      </c>
      <c r="D9" s="13">
        <f>8+3</f>
        <v>11</v>
      </c>
      <c r="E9" s="13">
        <f>49+8+5</f>
        <v>62</v>
      </c>
      <c r="F9" s="15">
        <f t="shared" si="0"/>
        <v>0.74193548387096775</v>
      </c>
      <c r="G9" s="14">
        <v>0.74193548387096775</v>
      </c>
    </row>
    <row r="10" spans="2:7" x14ac:dyDescent="0.25">
      <c r="B10" s="7" t="s">
        <v>11</v>
      </c>
      <c r="C10" s="13">
        <f>26+1</f>
        <v>27</v>
      </c>
      <c r="D10" s="13">
        <v>12</v>
      </c>
      <c r="E10" s="13">
        <f>53+6+1</f>
        <v>60</v>
      </c>
      <c r="F10" s="15">
        <f t="shared" si="0"/>
        <v>0.45</v>
      </c>
      <c r="G10" s="14">
        <v>0.45</v>
      </c>
    </row>
    <row r="11" spans="2:7" x14ac:dyDescent="0.25">
      <c r="B11" s="7" t="s">
        <v>12</v>
      </c>
      <c r="C11" s="13">
        <f>33+1</f>
        <v>34</v>
      </c>
      <c r="D11" s="13">
        <f>10+2+2</f>
        <v>14</v>
      </c>
      <c r="E11" s="13">
        <f>35+4+7</f>
        <v>46</v>
      </c>
      <c r="F11" s="15">
        <f t="shared" si="0"/>
        <v>0.73913043478260865</v>
      </c>
      <c r="G11" s="14">
        <v>0.73913043478260865</v>
      </c>
    </row>
    <row r="12" spans="2:7" x14ac:dyDescent="0.25">
      <c r="B12" s="7" t="s">
        <v>13</v>
      </c>
      <c r="C12" s="13">
        <f>53+1+3+1</f>
        <v>58</v>
      </c>
      <c r="D12" s="13">
        <f>18+2+1</f>
        <v>21</v>
      </c>
      <c r="E12" s="13">
        <f>54+4+2</f>
        <v>60</v>
      </c>
      <c r="F12" s="15">
        <f t="shared" si="0"/>
        <v>0.96666666666666667</v>
      </c>
      <c r="G12" s="14">
        <v>0.95</v>
      </c>
    </row>
    <row r="13" spans="2:7" x14ac:dyDescent="0.25">
      <c r="B13" s="7" t="s">
        <v>14</v>
      </c>
      <c r="C13" s="13">
        <f>60+5+4</f>
        <v>69</v>
      </c>
      <c r="D13" s="13">
        <f>15+1+1</f>
        <v>17</v>
      </c>
      <c r="E13" s="13">
        <f>55+6+8</f>
        <v>69</v>
      </c>
      <c r="F13" s="15">
        <f t="shared" si="0"/>
        <v>1</v>
      </c>
      <c r="G13" s="14">
        <v>1</v>
      </c>
    </row>
    <row r="14" spans="2:7" x14ac:dyDescent="0.25">
      <c r="B14" s="7" t="s">
        <v>15</v>
      </c>
      <c r="C14" s="13">
        <f>55+2+2</f>
        <v>59</v>
      </c>
      <c r="D14" s="13">
        <f>13+3</f>
        <v>16</v>
      </c>
      <c r="E14" s="13">
        <f>55+6+3</f>
        <v>64</v>
      </c>
      <c r="F14" s="15">
        <f t="shared" si="0"/>
        <v>0.921875</v>
      </c>
      <c r="G14" s="14">
        <v>0.921875</v>
      </c>
    </row>
    <row r="15" spans="2:7" x14ac:dyDescent="0.25">
      <c r="B15" s="7" t="s">
        <v>16</v>
      </c>
      <c r="C15" s="13">
        <f>51+9+1</f>
        <v>61</v>
      </c>
      <c r="D15" s="13">
        <f>17+1+2</f>
        <v>20</v>
      </c>
      <c r="E15" s="13">
        <f>47+5+4</f>
        <v>56</v>
      </c>
      <c r="F15" s="15">
        <f t="shared" si="0"/>
        <v>1.0892857142857142</v>
      </c>
      <c r="G15" s="14">
        <v>1.0892857142857142</v>
      </c>
    </row>
    <row r="16" spans="2:7" x14ac:dyDescent="0.25">
      <c r="B16" s="7" t="s">
        <v>17</v>
      </c>
      <c r="C16" s="13">
        <f>61+2+3</f>
        <v>66</v>
      </c>
      <c r="D16" s="13">
        <v>23</v>
      </c>
      <c r="E16" s="13">
        <f>54+1+5</f>
        <v>60</v>
      </c>
      <c r="F16" s="15">
        <f t="shared" si="0"/>
        <v>1.1000000000000001</v>
      </c>
      <c r="G16" s="14">
        <v>1.1000000000000001</v>
      </c>
    </row>
    <row r="17" spans="2:7" x14ac:dyDescent="0.25">
      <c r="B17" s="7" t="s">
        <v>18</v>
      </c>
      <c r="C17" s="13">
        <f>51+1+5</f>
        <v>57</v>
      </c>
      <c r="D17" s="13">
        <f>15+3</f>
        <v>18</v>
      </c>
      <c r="E17" s="13">
        <f>48+5+8</f>
        <v>61</v>
      </c>
      <c r="F17" s="15">
        <f t="shared" si="0"/>
        <v>0.93442622950819676</v>
      </c>
      <c r="G17" s="14">
        <v>0.93442622950819676</v>
      </c>
    </row>
    <row r="18" spans="2:7" x14ac:dyDescent="0.25">
      <c r="B18" s="7" t="s">
        <v>19</v>
      </c>
      <c r="C18" s="13">
        <f>42+10+4</f>
        <v>56</v>
      </c>
      <c r="D18" s="13">
        <f>12+2</f>
        <v>14</v>
      </c>
      <c r="E18" s="13">
        <f>46+5+5</f>
        <v>56</v>
      </c>
      <c r="F18" s="15">
        <f t="shared" si="0"/>
        <v>1</v>
      </c>
      <c r="G18" s="14">
        <v>1</v>
      </c>
    </row>
    <row r="19" spans="2:7" x14ac:dyDescent="0.25">
      <c r="B19" s="7" t="s">
        <v>20</v>
      </c>
      <c r="C19" s="13">
        <f>44+6+4</f>
        <v>54</v>
      </c>
      <c r="D19" s="13">
        <f>8+2+1</f>
        <v>11</v>
      </c>
      <c r="E19" s="13">
        <f>44+6+5</f>
        <v>55</v>
      </c>
      <c r="F19" s="15">
        <f t="shared" si="0"/>
        <v>0.98181818181818181</v>
      </c>
      <c r="G19" s="14">
        <v>0.96363636363636362</v>
      </c>
    </row>
    <row r="20" spans="2:7" x14ac:dyDescent="0.25">
      <c r="B20" s="7" t="s">
        <v>21</v>
      </c>
      <c r="C20" s="13">
        <f>28+3</f>
        <v>31</v>
      </c>
      <c r="D20" s="13">
        <v>11</v>
      </c>
      <c r="E20" s="13">
        <f>43+2+2</f>
        <v>47</v>
      </c>
      <c r="F20" s="15">
        <f t="shared" si="0"/>
        <v>0.65957446808510634</v>
      </c>
      <c r="G20" s="14">
        <v>0.65957446808510634</v>
      </c>
    </row>
    <row r="21" spans="2:7" x14ac:dyDescent="0.25">
      <c r="B21" s="7" t="s">
        <v>22</v>
      </c>
      <c r="C21" s="13">
        <f>37+11</f>
        <v>48</v>
      </c>
      <c r="D21" s="13">
        <v>7</v>
      </c>
      <c r="E21" s="13">
        <f>46+6</f>
        <v>52</v>
      </c>
      <c r="F21" s="15">
        <f t="shared" si="0"/>
        <v>0.92307692307692313</v>
      </c>
      <c r="G21" s="14">
        <v>0.92307692307692313</v>
      </c>
    </row>
    <row r="22" spans="2:7" x14ac:dyDescent="0.25">
      <c r="B22" s="7" t="s">
        <v>23</v>
      </c>
      <c r="C22" s="13">
        <f>36+4+6</f>
        <v>46</v>
      </c>
      <c r="D22" s="13">
        <f>4+1+1</f>
        <v>6</v>
      </c>
      <c r="E22" s="13">
        <f>44+9+6</f>
        <v>59</v>
      </c>
      <c r="F22" s="15">
        <f t="shared" si="0"/>
        <v>0.77966101694915257</v>
      </c>
      <c r="G22" s="14">
        <v>0.77966101694915257</v>
      </c>
    </row>
    <row r="23" spans="2:7" x14ac:dyDescent="0.25">
      <c r="B23" s="7" t="s">
        <v>24</v>
      </c>
      <c r="C23" s="13">
        <f>24+6+2</f>
        <v>32</v>
      </c>
      <c r="D23" s="13">
        <f>3+1+1</f>
        <v>5</v>
      </c>
      <c r="E23" s="13">
        <f>39+7+3</f>
        <v>49</v>
      </c>
      <c r="F23" s="15">
        <f t="shared" si="0"/>
        <v>0.65306122448979587</v>
      </c>
      <c r="G23" s="14">
        <v>0.65306122448979587</v>
      </c>
    </row>
    <row r="24" spans="2:7" x14ac:dyDescent="0.25">
      <c r="B24" s="7" t="s">
        <v>25</v>
      </c>
      <c r="C24" s="13">
        <f>17+5+1+1</f>
        <v>24</v>
      </c>
      <c r="D24" s="13">
        <f>4+1</f>
        <v>5</v>
      </c>
      <c r="E24" s="13">
        <f>35+9+2</f>
        <v>46</v>
      </c>
      <c r="F24" s="15">
        <f t="shared" si="0"/>
        <v>0.52173913043478259</v>
      </c>
      <c r="G24" s="14">
        <v>0.5</v>
      </c>
    </row>
    <row r="25" spans="2:7" x14ac:dyDescent="0.25">
      <c r="B25" s="7" t="s">
        <v>53</v>
      </c>
      <c r="C25" s="13">
        <f>44+6+5+2</f>
        <v>57</v>
      </c>
      <c r="D25" s="13">
        <f>13+2+1</f>
        <v>16</v>
      </c>
      <c r="E25" s="13">
        <f>45+7+5+1+2</f>
        <v>60</v>
      </c>
      <c r="F25" s="15">
        <f t="shared" si="0"/>
        <v>0.95</v>
      </c>
      <c r="G25" s="14">
        <f>C25/E25</f>
        <v>0.95</v>
      </c>
    </row>
    <row r="26" spans="2:7" x14ac:dyDescent="0.25">
      <c r="B26" s="7" t="s">
        <v>58</v>
      </c>
      <c r="C26" s="13">
        <f>28+6</f>
        <v>34</v>
      </c>
      <c r="D26" s="13">
        <f>4+1</f>
        <v>5</v>
      </c>
      <c r="E26" s="13">
        <f>33+7</f>
        <v>40</v>
      </c>
      <c r="F26" s="15">
        <f t="shared" si="0"/>
        <v>0.85</v>
      </c>
      <c r="G26" s="14">
        <f>C26/E26</f>
        <v>0.85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41AC-0B8C-4C5A-8A0A-2AA3B191EEFB}">
  <dimension ref="B2:G24"/>
  <sheetViews>
    <sheetView workbookViewId="0">
      <selection activeCell="I28" sqref="I28"/>
    </sheetView>
  </sheetViews>
  <sheetFormatPr baseColWidth="10" defaultRowHeight="15" x14ac:dyDescent="0.25"/>
  <cols>
    <col min="2" max="2" width="13.28515625" customWidth="1"/>
  </cols>
  <sheetData>
    <row r="2" spans="2:7" x14ac:dyDescent="0.25">
      <c r="B2" s="6" t="s">
        <v>56</v>
      </c>
      <c r="C2" s="10" t="s">
        <v>50</v>
      </c>
      <c r="D2" s="10" t="s">
        <v>51</v>
      </c>
      <c r="E2" s="10" t="s">
        <v>52</v>
      </c>
      <c r="F2" s="10" t="s">
        <v>55</v>
      </c>
      <c r="G2" s="10" t="s">
        <v>54</v>
      </c>
    </row>
    <row r="3" spans="2:7" x14ac:dyDescent="0.25">
      <c r="B3" s="6" t="s">
        <v>4</v>
      </c>
      <c r="C3" s="9">
        <f>SUM(C4,C5,C6,C7,C8,C9,C10,C11,C12,C13,C14,C15,C16,C17,C18,C19,C20,C21,C22,C23,C24)</f>
        <v>721</v>
      </c>
      <c r="D3" s="9">
        <f>SUM(D4,D5,D6,D7,D8,D9,D10,D11,D12,D13,D14,D15,D16,D17,D18,D19,D20,D21,D22,D23,D24)</f>
        <v>344</v>
      </c>
      <c r="E3" s="9">
        <f>SUM(E4,E5,E6,E7,E8,E9,E10,E11,E12,E13,E14,E15,E16,E17,E18,E19,E20,E21,E22,E23,E24)</f>
        <v>1075</v>
      </c>
      <c r="F3" s="12">
        <f t="shared" ref="F3" si="0">C3/E3</f>
        <v>0.67069767441860462</v>
      </c>
      <c r="G3" s="11">
        <v>0.67069767441860462</v>
      </c>
    </row>
    <row r="4" spans="2:7" x14ac:dyDescent="0.25">
      <c r="B4" s="8" t="s">
        <v>5</v>
      </c>
      <c r="C4" s="9">
        <v>0</v>
      </c>
      <c r="D4" s="9">
        <v>0</v>
      </c>
      <c r="E4" s="9">
        <v>5</v>
      </c>
      <c r="F4" s="12">
        <f t="shared" ref="F4:F24" si="1">C4/E4</f>
        <v>0</v>
      </c>
      <c r="G4" s="11">
        <v>0.15094339622641509</v>
      </c>
    </row>
    <row r="5" spans="2:7" x14ac:dyDescent="0.25">
      <c r="B5" s="7" t="s">
        <v>6</v>
      </c>
      <c r="C5" s="9">
        <v>7</v>
      </c>
      <c r="D5" s="9">
        <v>1</v>
      </c>
      <c r="E5" s="9">
        <v>26</v>
      </c>
      <c r="F5" s="12">
        <f t="shared" si="1"/>
        <v>0.26923076923076922</v>
      </c>
      <c r="G5" s="11">
        <v>0.26666666666666666</v>
      </c>
    </row>
    <row r="6" spans="2:7" x14ac:dyDescent="0.25">
      <c r="B6" s="7" t="s">
        <v>7</v>
      </c>
      <c r="C6" s="9">
        <v>8</v>
      </c>
      <c r="D6" s="9">
        <v>5</v>
      </c>
      <c r="E6" s="9">
        <f>25+12</f>
        <v>37</v>
      </c>
      <c r="F6" s="12">
        <f t="shared" si="1"/>
        <v>0.21621621621621623</v>
      </c>
      <c r="G6" s="11">
        <v>0.25862068965517243</v>
      </c>
    </row>
    <row r="7" spans="2:7" x14ac:dyDescent="0.25">
      <c r="B7" s="7" t="s">
        <v>9</v>
      </c>
      <c r="C7" s="9">
        <v>17</v>
      </c>
      <c r="D7" s="9">
        <v>3</v>
      </c>
      <c r="E7" s="9">
        <f>36+10</f>
        <v>46</v>
      </c>
      <c r="F7" s="12">
        <f t="shared" si="1"/>
        <v>0.36956521739130432</v>
      </c>
      <c r="G7" s="11">
        <v>0.45901639344262296</v>
      </c>
    </row>
    <row r="8" spans="2:7" x14ac:dyDescent="0.25">
      <c r="B8" s="7" t="s">
        <v>10</v>
      </c>
      <c r="C8" s="9">
        <v>16</v>
      </c>
      <c r="D8" s="9">
        <v>16</v>
      </c>
      <c r="E8" s="9">
        <f>40+10</f>
        <v>50</v>
      </c>
      <c r="F8" s="12">
        <f t="shared" si="1"/>
        <v>0.32</v>
      </c>
      <c r="G8" s="11">
        <v>0.74193548387096775</v>
      </c>
    </row>
    <row r="9" spans="2:7" x14ac:dyDescent="0.25">
      <c r="B9" s="7" t="s">
        <v>11</v>
      </c>
      <c r="C9" s="9">
        <v>38</v>
      </c>
      <c r="D9" s="9">
        <v>19</v>
      </c>
      <c r="E9" s="9">
        <f>51+9</f>
        <v>60</v>
      </c>
      <c r="F9" s="12">
        <f t="shared" si="1"/>
        <v>0.6333333333333333</v>
      </c>
      <c r="G9" s="11">
        <v>0.45</v>
      </c>
    </row>
    <row r="10" spans="2:7" x14ac:dyDescent="0.25">
      <c r="B10" s="7" t="s">
        <v>12</v>
      </c>
      <c r="C10" s="9">
        <v>47</v>
      </c>
      <c r="D10" s="9">
        <v>12</v>
      </c>
      <c r="E10" s="9">
        <f>53+12</f>
        <v>65</v>
      </c>
      <c r="F10" s="12">
        <f t="shared" si="1"/>
        <v>0.72307692307692306</v>
      </c>
      <c r="G10" s="11">
        <v>0.73913043478260865</v>
      </c>
    </row>
    <row r="11" spans="2:7" x14ac:dyDescent="0.25">
      <c r="B11" s="7" t="s">
        <v>13</v>
      </c>
      <c r="C11" s="9">
        <v>53</v>
      </c>
      <c r="D11" s="9">
        <v>27</v>
      </c>
      <c r="E11" s="9">
        <f>55+11</f>
        <v>66</v>
      </c>
      <c r="F11" s="12">
        <f t="shared" si="1"/>
        <v>0.80303030303030298</v>
      </c>
      <c r="G11" s="11">
        <v>0.95</v>
      </c>
    </row>
    <row r="12" spans="2:7" x14ac:dyDescent="0.25">
      <c r="B12" s="7" t="s">
        <v>14</v>
      </c>
      <c r="C12" s="9">
        <v>73</v>
      </c>
      <c r="D12" s="9">
        <v>32</v>
      </c>
      <c r="E12" s="9">
        <f>60+10</f>
        <v>70</v>
      </c>
      <c r="F12" s="12">
        <f t="shared" si="1"/>
        <v>1.0428571428571429</v>
      </c>
      <c r="G12" s="11">
        <v>1</v>
      </c>
    </row>
    <row r="13" spans="2:7" x14ac:dyDescent="0.25">
      <c r="B13" s="7" t="s">
        <v>15</v>
      </c>
      <c r="C13" s="9">
        <v>60</v>
      </c>
      <c r="D13" s="9">
        <v>17</v>
      </c>
      <c r="E13" s="9">
        <f>50+11</f>
        <v>61</v>
      </c>
      <c r="F13" s="12">
        <f t="shared" si="1"/>
        <v>0.98360655737704916</v>
      </c>
      <c r="G13" s="11">
        <v>0.921875</v>
      </c>
    </row>
    <row r="14" spans="2:7" x14ac:dyDescent="0.25">
      <c r="B14" s="7" t="s">
        <v>16</v>
      </c>
      <c r="C14" s="9">
        <v>41</v>
      </c>
      <c r="D14" s="9">
        <v>14</v>
      </c>
      <c r="E14" s="9">
        <f>46+11</f>
        <v>57</v>
      </c>
      <c r="F14" s="12">
        <f t="shared" si="1"/>
        <v>0.7192982456140351</v>
      </c>
      <c r="G14" s="11">
        <v>1.0892857142857142</v>
      </c>
    </row>
    <row r="15" spans="2:7" x14ac:dyDescent="0.25">
      <c r="B15" s="7" t="s">
        <v>17</v>
      </c>
      <c r="C15" s="9">
        <v>58</v>
      </c>
      <c r="D15" s="9">
        <v>31</v>
      </c>
      <c r="E15" s="9">
        <f>57+12</f>
        <v>69</v>
      </c>
      <c r="F15" s="12">
        <f t="shared" si="1"/>
        <v>0.84057971014492749</v>
      </c>
      <c r="G15" s="11">
        <v>1.1000000000000001</v>
      </c>
    </row>
    <row r="16" spans="2:7" x14ac:dyDescent="0.25">
      <c r="B16" s="7" t="s">
        <v>18</v>
      </c>
      <c r="C16" s="9">
        <v>41</v>
      </c>
      <c r="D16" s="9">
        <v>24</v>
      </c>
      <c r="E16" s="9">
        <f>49+11</f>
        <v>60</v>
      </c>
      <c r="F16" s="12">
        <f t="shared" si="1"/>
        <v>0.68333333333333335</v>
      </c>
      <c r="G16" s="11">
        <v>0.93442622950819676</v>
      </c>
    </row>
    <row r="17" spans="2:7" x14ac:dyDescent="0.25">
      <c r="B17" s="7" t="s">
        <v>19</v>
      </c>
      <c r="C17" s="9">
        <v>54</v>
      </c>
      <c r="D17" s="9">
        <v>20</v>
      </c>
      <c r="E17" s="9">
        <f>52+5</f>
        <v>57</v>
      </c>
      <c r="F17" s="12">
        <f t="shared" si="1"/>
        <v>0.94736842105263153</v>
      </c>
      <c r="G17" s="11">
        <v>1</v>
      </c>
    </row>
    <row r="18" spans="2:7" x14ac:dyDescent="0.25">
      <c r="B18" s="7" t="s">
        <v>20</v>
      </c>
      <c r="C18" s="9">
        <v>45</v>
      </c>
      <c r="D18" s="9">
        <v>20</v>
      </c>
      <c r="E18" s="9">
        <f>54+10</f>
        <v>64</v>
      </c>
      <c r="F18" s="12">
        <f t="shared" si="1"/>
        <v>0.703125</v>
      </c>
      <c r="G18" s="11">
        <v>0.96363636363636362</v>
      </c>
    </row>
    <row r="19" spans="2:7" x14ac:dyDescent="0.25">
      <c r="B19" s="7" t="s">
        <v>21</v>
      </c>
      <c r="C19" s="9">
        <v>51</v>
      </c>
      <c r="D19" s="9">
        <v>22</v>
      </c>
      <c r="E19" s="9">
        <f>50+8</f>
        <v>58</v>
      </c>
      <c r="F19" s="12">
        <f t="shared" si="1"/>
        <v>0.87931034482758619</v>
      </c>
      <c r="G19" s="11">
        <v>0.65957446808510634</v>
      </c>
    </row>
    <row r="20" spans="2:7" x14ac:dyDescent="0.25">
      <c r="B20" s="7" t="s">
        <v>22</v>
      </c>
      <c r="C20" s="9">
        <v>31</v>
      </c>
      <c r="D20" s="9">
        <v>27</v>
      </c>
      <c r="E20" s="9">
        <f>44+2</f>
        <v>46</v>
      </c>
      <c r="F20" s="12">
        <f t="shared" si="1"/>
        <v>0.67391304347826086</v>
      </c>
      <c r="G20" s="11">
        <v>0.92307692307692313</v>
      </c>
    </row>
    <row r="21" spans="2:7" x14ac:dyDescent="0.25">
      <c r="B21" s="7" t="s">
        <v>23</v>
      </c>
      <c r="C21" s="9">
        <v>38</v>
      </c>
      <c r="D21" s="9">
        <v>14</v>
      </c>
      <c r="E21" s="9">
        <f>47+13</f>
        <v>60</v>
      </c>
      <c r="F21" s="12">
        <f t="shared" si="1"/>
        <v>0.6333333333333333</v>
      </c>
      <c r="G21" s="11">
        <v>0.77966101694915257</v>
      </c>
    </row>
    <row r="22" spans="2:7" x14ac:dyDescent="0.25">
      <c r="B22" s="7" t="s">
        <v>24</v>
      </c>
      <c r="C22" s="9">
        <v>11</v>
      </c>
      <c r="D22" s="9">
        <v>15</v>
      </c>
      <c r="E22" s="9">
        <f>34+11</f>
        <v>45</v>
      </c>
      <c r="F22" s="12">
        <f t="shared" si="1"/>
        <v>0.24444444444444444</v>
      </c>
      <c r="G22" s="11">
        <v>0.65306122448979587</v>
      </c>
    </row>
    <row r="23" spans="2:7" x14ac:dyDescent="0.25">
      <c r="B23" s="7" t="s">
        <v>25</v>
      </c>
      <c r="C23" s="9">
        <v>32</v>
      </c>
      <c r="D23" s="9">
        <v>25</v>
      </c>
      <c r="E23" s="9">
        <f>55+18</f>
        <v>73</v>
      </c>
      <c r="F23" s="12">
        <f t="shared" si="1"/>
        <v>0.43835616438356162</v>
      </c>
      <c r="G23" s="11">
        <v>0.5</v>
      </c>
    </row>
    <row r="24" spans="2:7" x14ac:dyDescent="0.25">
      <c r="B24" s="7" t="s">
        <v>57</v>
      </c>
      <c r="C24" s="9">
        <v>0</v>
      </c>
      <c r="D24" s="9">
        <v>0</v>
      </c>
      <c r="E24" s="9">
        <v>0</v>
      </c>
      <c r="F24" s="12" t="e">
        <f t="shared" si="1"/>
        <v>#DIV/0!</v>
      </c>
      <c r="G24" s="11" t="e"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Jesús</dc:creator>
  <cp:lastModifiedBy>Erick Jesus Medina Villar</cp:lastModifiedBy>
  <dcterms:created xsi:type="dcterms:W3CDTF">2023-03-07T00:27:22Z</dcterms:created>
  <dcterms:modified xsi:type="dcterms:W3CDTF">2025-03-27T00:24:02Z</dcterms:modified>
</cp:coreProperties>
</file>