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ambe\Desktop\"/>
    </mc:Choice>
  </mc:AlternateContent>
  <bookViews>
    <workbookView xWindow="0" yWindow="0" windowWidth="23115" windowHeight="10665"/>
  </bookViews>
  <sheets>
    <sheet name="Sheet1" sheetId="1" r:id="rId1"/>
    <sheet name="Sheet2" sheetId="2" r:id="rId2"/>
    <sheet name="Sheet3" sheetId="3" r:id="rId3"/>
  </sheets>
  <definedNames>
    <definedName name="_baseCostPerMonth">Sheet1!$B$6</definedName>
    <definedName name="_baseCostPerWeek">Sheet1!$B$6</definedName>
    <definedName name="_baseIncomePerWeek">Sheet1!$B$8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" l="1"/>
  <c r="G14" i="1"/>
  <c r="G15" i="1"/>
  <c r="G16" i="1"/>
  <c r="F16" i="1"/>
  <c r="F15" i="1"/>
  <c r="F14" i="1"/>
  <c r="H13" i="1"/>
  <c r="H14" i="1"/>
  <c r="H15" i="1"/>
  <c r="H16" i="1"/>
  <c r="W25" i="2"/>
  <c r="X15" i="2"/>
  <c r="X3" i="2"/>
  <c r="X4" i="2"/>
  <c r="X5" i="2"/>
  <c r="X6" i="2"/>
  <c r="X7" i="2"/>
  <c r="I16" i="1" l="1"/>
  <c r="I14" i="1"/>
  <c r="I15" i="1"/>
  <c r="B5" i="1"/>
  <c r="B6" i="1" s="1"/>
  <c r="F13" i="1"/>
  <c r="I13" i="1" s="1"/>
  <c r="B4" i="1"/>
  <c r="B7" i="1" s="1"/>
  <c r="B8" i="1" s="1"/>
  <c r="H5" i="2" l="1"/>
  <c r="H2" i="2"/>
  <c r="H6" i="2"/>
  <c r="H4" i="2"/>
  <c r="H8" i="2"/>
  <c r="H3" i="2"/>
  <c r="H7" i="2"/>
  <c r="G4" i="2"/>
  <c r="G8" i="2"/>
  <c r="I8" i="2" s="1"/>
  <c r="G7" i="2"/>
  <c r="G5" i="2"/>
  <c r="G3" i="2"/>
  <c r="G2" i="2"/>
  <c r="G6" i="2"/>
  <c r="B9" i="1"/>
  <c r="I5" i="2" l="1"/>
  <c r="J16" i="1" s="1"/>
  <c r="I7" i="2"/>
  <c r="I2" i="2"/>
  <c r="I4" i="2"/>
  <c r="J15" i="1" s="1"/>
  <c r="I3" i="2"/>
  <c r="J14" i="1" s="1"/>
  <c r="I6" i="2"/>
  <c r="J13" i="1" l="1"/>
  <c r="B10" i="1" s="1"/>
</calcChain>
</file>

<file path=xl/sharedStrings.xml><?xml version="1.0" encoding="utf-8"?>
<sst xmlns="http://schemas.openxmlformats.org/spreadsheetml/2006/main" count="127" uniqueCount="94">
  <si>
    <t>Population</t>
  </si>
  <si>
    <t>Gp/Month</t>
  </si>
  <si>
    <t>Max</t>
  </si>
  <si>
    <t>Population Max</t>
  </si>
  <si>
    <t>Competing Businesses</t>
  </si>
  <si>
    <t>Market size per month</t>
  </si>
  <si>
    <t>Share per month</t>
  </si>
  <si>
    <t>Share per week</t>
  </si>
  <si>
    <t>Cost Multiplier</t>
  </si>
  <si>
    <t>Profit Multiplier</t>
  </si>
  <si>
    <t>Base Roll</t>
  </si>
  <si>
    <t>Brew</t>
  </si>
  <si>
    <t>Intel</t>
  </si>
  <si>
    <t>Harvest</t>
  </si>
  <si>
    <t>Entertaining</t>
  </si>
  <si>
    <t>Variable</t>
  </si>
  <si>
    <t>Score</t>
  </si>
  <si>
    <t>Roles</t>
  </si>
  <si>
    <t>Property</t>
  </si>
  <si>
    <t>Skilled Hirelings</t>
  </si>
  <si>
    <t>Untrained Hirelings</t>
  </si>
  <si>
    <t>Abby</t>
  </si>
  <si>
    <t>Farm</t>
  </si>
  <si>
    <t>Guildhall, town or city</t>
  </si>
  <si>
    <t>Inn, rural roadside</t>
  </si>
  <si>
    <t>Inn, town or city</t>
  </si>
  <si>
    <t>Property Type</t>
  </si>
  <si>
    <t>Inn, town or City</t>
  </si>
  <si>
    <t>Total Cost per day</t>
  </si>
  <si>
    <t>Total cost per week</t>
  </si>
  <si>
    <t>Total Cost per Day (gp)</t>
  </si>
  <si>
    <t>Base profit per week</t>
  </si>
  <si>
    <t>Actively Managed</t>
  </si>
  <si>
    <t>Profit</t>
  </si>
  <si>
    <t>Cost</t>
  </si>
  <si>
    <t>Income</t>
  </si>
  <si>
    <t>Improved Services 1</t>
  </si>
  <si>
    <t>Improved Services 2</t>
  </si>
  <si>
    <t>Improved Services 3</t>
  </si>
  <si>
    <t>Improved Services 4</t>
  </si>
  <si>
    <t>Improved Services 5</t>
  </si>
  <si>
    <t>Cost per week Impact</t>
  </si>
  <si>
    <t>Cost upfront</t>
  </si>
  <si>
    <t>Income per week Impact</t>
  </si>
  <si>
    <t>Other bonus</t>
  </si>
  <si>
    <t>Description</t>
  </si>
  <si>
    <t>Upgrade</t>
  </si>
  <si>
    <t>X</t>
  </si>
  <si>
    <t>Extra Security</t>
  </si>
  <si>
    <t>Vault</t>
  </si>
  <si>
    <t>Barracks</t>
  </si>
  <si>
    <t>Garden</t>
  </si>
  <si>
    <t>Additional Servants 1</t>
  </si>
  <si>
    <t>Additional Servants 2</t>
  </si>
  <si>
    <t>Additional Servants 3</t>
  </si>
  <si>
    <t>Cobbled Streets</t>
  </si>
  <si>
    <t>Furnishing 1</t>
  </si>
  <si>
    <t>Furnishing 2</t>
  </si>
  <si>
    <t>Furnishing 3</t>
  </si>
  <si>
    <t>Shrine</t>
  </si>
  <si>
    <t>Laboratory</t>
  </si>
  <si>
    <t>Clinic</t>
  </si>
  <si>
    <t>Dojo</t>
  </si>
  <si>
    <t>Library</t>
  </si>
  <si>
    <t>Accounting office</t>
  </si>
  <si>
    <t>Information Network</t>
  </si>
  <si>
    <t>Secret Exit 1</t>
  </si>
  <si>
    <t>Secret Exit 2</t>
  </si>
  <si>
    <t>Secret Exit 3</t>
  </si>
  <si>
    <t>Basic Bonus</t>
  </si>
  <si>
    <t>Option</t>
  </si>
  <si>
    <t>Stage</t>
  </si>
  <si>
    <t>Dependancy</t>
  </si>
  <si>
    <t>None</t>
  </si>
  <si>
    <t>Active</t>
  </si>
  <si>
    <t>Job Board</t>
  </si>
  <si>
    <t>Character</t>
  </si>
  <si>
    <t>Riley</t>
  </si>
  <si>
    <t>Naivara</t>
  </si>
  <si>
    <t>Nala</t>
  </si>
  <si>
    <t>Killigan</t>
  </si>
  <si>
    <t>Maynard</t>
  </si>
  <si>
    <t>Week 1</t>
  </si>
  <si>
    <t>Week 2</t>
  </si>
  <si>
    <t>Week 3</t>
  </si>
  <si>
    <t>Week 4</t>
  </si>
  <si>
    <t>Role Modifiers</t>
  </si>
  <si>
    <t>Other Modifiers</t>
  </si>
  <si>
    <t>Other Modifier</t>
  </si>
  <si>
    <t>Applied</t>
  </si>
  <si>
    <t>Impact</t>
  </si>
  <si>
    <t>x</t>
  </si>
  <si>
    <t>Total Roll</t>
  </si>
  <si>
    <t>Profit for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</si>
</sst>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6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164" fontId="1" fillId="0" borderId="0" xfId="1" applyNumberFormat="1" applyFont="1"/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166" fontId="1" fillId="0" borderId="0" xfId="1" applyNumberFormat="1" applyFont="1" applyAlignment="1">
      <alignment horizontal="right" wrapText="1"/>
    </xf>
    <xf numFmtId="166" fontId="3" fillId="0" borderId="0" xfId="1" applyNumberFormat="1" applyFont="1" applyAlignment="1">
      <alignment horizontal="right" wrapText="1"/>
    </xf>
    <xf numFmtId="166" fontId="1" fillId="0" borderId="0" xfId="1" applyNumberFormat="1" applyFont="1" applyAlignment="1">
      <alignment horizontal="right"/>
    </xf>
    <xf numFmtId="166" fontId="3" fillId="0" borderId="0" xfId="1" applyNumberFormat="1" applyFont="1" applyAlignment="1">
      <alignment horizontal="right"/>
    </xf>
    <xf numFmtId="164" fontId="1" fillId="2" borderId="0" xfId="1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164" fontId="1" fillId="0" borderId="0" xfId="1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</cellXfs>
  <cellStyles count="2">
    <cellStyle name="Comma" xfId="1" builtinId="3"/>
    <cellStyle name="Normal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6" formatCode="_(* #,##0.0_);_(* \(#,##0.0\);_(* &quot;-&quot;??_);_(@_)"/>
      <alignment horizontal="righ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6" formatCode="_(* #,##0.0_);_(* \(#,##0.0\);_(* &quot;-&quot;??_);_(@_)"/>
      <alignment horizontal="righ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6" formatCode="_(* #,##0.0_);_(* \(#,##0.0\);_(* &quot;-&quot;??_);_(@_)"/>
      <alignment horizontal="righ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6" formatCode="_(* #,##0.0_);_(* \(#,##0.0\);_(* &quot;-&quot;??_);_(@_)"/>
      <alignment horizontal="righ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6" formatCode="_(* #,##0.0_);_(* \(#,##0.0\);_(* &quot;-&quot;??_);_(@_)"/>
      <alignment horizontal="righ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2:C17" totalsRowShown="0" headerRowDxfId="15" dataDxfId="14">
  <autoFilter ref="A12:C17">
    <filterColumn colId="0" hiddenButton="1"/>
    <filterColumn colId="1" hiddenButton="1"/>
    <filterColumn colId="2" hiddenButton="1"/>
  </autoFilter>
  <tableColumns count="3">
    <tableColumn id="3" name="Character" dataDxfId="11"/>
    <tableColumn id="1" name="Roles" dataDxfId="13"/>
    <tableColumn id="2" name="Score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blProfits" displayName="tblProfits" ref="E12:J16" totalsRowShown="0" headerRowDxfId="47" dataDxfId="46">
  <autoFilter ref="E12:J1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Variable" dataDxfId="5"/>
    <tableColumn id="2" name="Base Roll" dataDxfId="4" dataCellStyle="Comma">
      <calculatedColumnFormula>RANDBETWEEN(1,100)</calculatedColumnFormula>
    </tableColumn>
    <tableColumn id="3" name="Role Modifiers" dataDxfId="3" dataCellStyle="Comma">
      <calculatedColumnFormula>AVERAGE(Table3[Score])</calculatedColumnFormula>
    </tableColumn>
    <tableColumn id="4" name="Other Modifiers" dataDxfId="2" dataCellStyle="Comma">
      <calculatedColumnFormula>SUMIFS(Table7[Impact],Table7[Applied],"X")</calculatedColumnFormula>
    </tableColumn>
    <tableColumn id="5" name="Total Roll" dataDxfId="1" dataCellStyle="Comma">
      <calculatedColumnFormula>SUM(tblProfits[[#This Row],[Base Roll]:[Other Modifiers]])</calculatedColumnFormula>
    </tableColumn>
    <tableColumn id="6" name="Profit" dataDxfId="0" dataCellStyle="Comma">
      <calculatedColumnFormula>_xlfn.IFNA(INDEX(tblProfit[Profit],MATCH(tblProfits[[#This Row],[Total Roll]],tblProfit[Max],-1)),Sheet2!I2)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19:C20" totalsRowShown="0" headerRowDxfId="6" dataDxfId="7">
  <autoFilter ref="A19:C20"/>
  <tableColumns count="3">
    <tableColumn id="1" name="Other Modifier" dataDxfId="10"/>
    <tableColumn id="2" name="Applied" dataDxfId="9"/>
    <tableColumn id="3" name="Impact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tblPopProfit" displayName="tblPopProfit" ref="A1:B10" totalsRowShown="0" headerRowDxfId="45" dataDxfId="44" dataCellStyle="Comma">
  <autoFilter ref="A1:B10">
    <filterColumn colId="0" hiddenButton="1"/>
    <filterColumn colId="1" hiddenButton="1"/>
  </autoFilter>
  <sortState ref="A2:C10">
    <sortCondition descending="1" ref="B1:B10"/>
  </sortState>
  <tableColumns count="2">
    <tableColumn id="3" name="Population Max" dataDxfId="43" dataCellStyle="Comma"/>
    <tableColumn id="2" name="Gp/Month" dataDxfId="42" dataCellStyle="Comm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tblProfit" displayName="tblProfit" ref="D1:I8" totalsRowShown="0" headerRowDxfId="41" dataDxfId="40">
  <autoFilter ref="D1:I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D2:I8">
    <sortCondition descending="1" ref="D1:D8"/>
  </sortState>
  <tableColumns count="6">
    <tableColumn id="1" name="Max" dataDxfId="39"/>
    <tableColumn id="2" name="Cost Multiplier" dataDxfId="38"/>
    <tableColumn id="3" name="Profit Multiplier" dataDxfId="37"/>
    <tableColumn id="4" name="Cost" dataDxfId="28">
      <calculatedColumnFormula>(_baseCostPerWeek*tblProfit[[#This Row],[Cost Multiplier]])+SUMIFS(tblUpgrades[Cost per week Impact],tblUpgrades[Active],"X")</calculatedColumnFormula>
    </tableColumn>
    <tableColumn id="5" name="Income" dataDxfId="29">
      <calculatedColumnFormula>(_baseIncomePerWeek*tblProfit[[#This Row],[Profit Multiplier]])+SUMIFS(tblUpgrades[Income per week Impact],tblUpgrades[Active],"X")</calculatedColumnFormula>
    </tableColumn>
    <tableColumn id="6" name="Profit" dataDxfId="36">
      <calculatedColumnFormula>ROUND(tblProfit[[#This Row],[Income]]-tblProfit[[#This Row],[Cost]],0)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K1:N6" totalsRowShown="0" headerRowDxfId="35" dataDxfId="34">
  <autoFilter ref="K1:N6">
    <filterColumn colId="0" hiddenButton="1"/>
    <filterColumn colId="1" hiddenButton="1"/>
    <filterColumn colId="2" hiddenButton="1"/>
    <filterColumn colId="3" hiddenButton="1"/>
  </autoFilter>
  <tableColumns count="4">
    <tableColumn id="1" name="Property" dataDxfId="33"/>
    <tableColumn id="2" name="Total Cost per Day (gp)" dataDxfId="32"/>
    <tableColumn id="3" name="Skilled Hirelings" dataDxfId="31"/>
    <tableColumn id="4" name="Untrained Hirelings" dataDxfId="3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6" name="tblUpgrades" displayName="tblUpgrades" ref="P1:Y28" totalsRowShown="0" headerRowDxfId="19" dataDxfId="18">
  <autoFilter ref="P1:Y2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7" name="Active" dataDxfId="16"/>
    <tableColumn id="1" name="Upgrade" dataDxfId="17"/>
    <tableColumn id="8" name="Stage" dataDxfId="27"/>
    <tableColumn id="9" name="Option" dataDxfId="26"/>
    <tableColumn id="10" name="Dependancy" dataDxfId="25"/>
    <tableColumn id="2" name="Description" dataDxfId="24"/>
    <tableColumn id="3" name="Cost upfront" dataDxfId="23"/>
    <tableColumn id="4" name="Cost per week Impact" dataDxfId="22"/>
    <tableColumn id="5" name="Income per week Impact" dataDxfId="21">
      <calculatedColumnFormula>ROUND(50*12/52,0)</calculatedColumnFormula>
    </tableColumn>
    <tableColumn id="6" name="Other bonus" dataDxf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C6" sqref="C6"/>
    </sheetView>
  </sheetViews>
  <sheetFormatPr defaultColWidth="8.85546875" defaultRowHeight="12" x14ac:dyDescent="0.2"/>
  <cols>
    <col min="1" max="1" width="20" style="1" bestFit="1" customWidth="1"/>
    <col min="2" max="2" width="13.42578125" style="1" customWidth="1"/>
    <col min="3" max="3" width="12.5703125" style="1" bestFit="1" customWidth="1"/>
    <col min="4" max="4" width="1.42578125" style="1" customWidth="1"/>
    <col min="5" max="5" width="7.7109375" style="1" bestFit="1" customWidth="1"/>
    <col min="6" max="10" width="9" style="12" customWidth="1"/>
    <col min="11" max="16384" width="8.85546875" style="1"/>
  </cols>
  <sheetData>
    <row r="1" spans="1:10" x14ac:dyDescent="0.2">
      <c r="A1" s="1" t="s">
        <v>0</v>
      </c>
      <c r="B1" s="17">
        <v>75000</v>
      </c>
    </row>
    <row r="2" spans="1:10" x14ac:dyDescent="0.2">
      <c r="A2" s="1" t="s">
        <v>26</v>
      </c>
      <c r="B2" s="18" t="s">
        <v>27</v>
      </c>
    </row>
    <row r="3" spans="1:10" x14ac:dyDescent="0.2">
      <c r="A3" s="1" t="s">
        <v>4</v>
      </c>
      <c r="B3" s="17">
        <v>3</v>
      </c>
    </row>
    <row r="4" spans="1:10" x14ac:dyDescent="0.2">
      <c r="A4" s="1" t="s">
        <v>5</v>
      </c>
      <c r="B4" s="19">
        <f>INDEX(tblPopProfit[Gp/Month],MATCH(B1,tblPopProfit[Population Max],-1))</f>
        <v>10000</v>
      </c>
    </row>
    <row r="5" spans="1:10" x14ac:dyDescent="0.2">
      <c r="A5" s="1" t="s">
        <v>28</v>
      </c>
      <c r="B5" s="19">
        <f>INDEX(Table5[Total Cost per Day (gp)],MATCH(B2,Table5[Property],0))</f>
        <v>5</v>
      </c>
    </row>
    <row r="6" spans="1:10" x14ac:dyDescent="0.2">
      <c r="A6" s="1" t="s">
        <v>29</v>
      </c>
      <c r="B6" s="19">
        <f>B5*7</f>
        <v>35</v>
      </c>
    </row>
    <row r="7" spans="1:10" x14ac:dyDescent="0.2">
      <c r="A7" s="1" t="s">
        <v>6</v>
      </c>
      <c r="B7" s="19">
        <f>B4/B3</f>
        <v>3333.3333333333335</v>
      </c>
    </row>
    <row r="8" spans="1:10" x14ac:dyDescent="0.2">
      <c r="A8" s="1" t="s">
        <v>7</v>
      </c>
      <c r="B8" s="19">
        <f>ROUND(B7/52,0)</f>
        <v>64</v>
      </c>
    </row>
    <row r="9" spans="1:10" x14ac:dyDescent="0.2">
      <c r="A9" s="1" t="s">
        <v>31</v>
      </c>
      <c r="B9" s="20">
        <f>B8-B6</f>
        <v>29</v>
      </c>
    </row>
    <row r="10" spans="1:10" x14ac:dyDescent="0.2">
      <c r="A10" s="11" t="s">
        <v>93</v>
      </c>
      <c r="B10" s="21">
        <f ca="1">SUM(tblProfits[Profit])</f>
        <v>376</v>
      </c>
    </row>
    <row r="12" spans="1:10" ht="36" x14ac:dyDescent="0.2">
      <c r="A12" s="10" t="s">
        <v>76</v>
      </c>
      <c r="B12" s="1" t="s">
        <v>17</v>
      </c>
      <c r="C12" s="1" t="s">
        <v>16</v>
      </c>
      <c r="E12" s="1" t="s">
        <v>15</v>
      </c>
      <c r="F12" s="13" t="s">
        <v>10</v>
      </c>
      <c r="G12" s="14" t="s">
        <v>86</v>
      </c>
      <c r="H12" s="14" t="s">
        <v>87</v>
      </c>
      <c r="I12" s="14" t="s">
        <v>92</v>
      </c>
      <c r="J12" s="14" t="s">
        <v>33</v>
      </c>
    </row>
    <row r="13" spans="1:10" x14ac:dyDescent="0.2">
      <c r="A13" s="10" t="s">
        <v>77</v>
      </c>
      <c r="B13" s="1" t="s">
        <v>11</v>
      </c>
      <c r="C13" s="1">
        <v>13</v>
      </c>
      <c r="E13" s="1" t="s">
        <v>82</v>
      </c>
      <c r="F13" s="15">
        <f ca="1">RANDBETWEEN(1,100)</f>
        <v>85</v>
      </c>
      <c r="G13" s="16">
        <f>AVERAGE(Table3[Score])</f>
        <v>13.8</v>
      </c>
      <c r="H13" s="16">
        <f>SUMIFS(Table7[Impact],Table7[Applied],"X")</f>
        <v>10</v>
      </c>
      <c r="I13" s="16">
        <f ca="1">SUM(tblProfits[[#This Row],[Base Roll]:[Other Modifiers]])</f>
        <v>108.8</v>
      </c>
      <c r="J13" s="16">
        <f ca="1">_xlfn.IFNA(INDEX(tblProfit[Profit],MATCH(tblProfits[[#This Row],[Total Roll]],tblProfit[Max],-1)),Sheet2!I2)</f>
        <v>158</v>
      </c>
    </row>
    <row r="14" spans="1:10" x14ac:dyDescent="0.2">
      <c r="A14" s="10" t="s">
        <v>78</v>
      </c>
      <c r="B14" s="1" t="s">
        <v>12</v>
      </c>
      <c r="C14" s="1">
        <v>20</v>
      </c>
      <c r="E14" s="1" t="s">
        <v>83</v>
      </c>
      <c r="F14" s="15">
        <f t="shared" ref="F14:F16" ca="1" si="0">RANDBETWEEN(1,100)</f>
        <v>33</v>
      </c>
      <c r="G14" s="16">
        <f>AVERAGE(Table3[Score])</f>
        <v>13.8</v>
      </c>
      <c r="H14" s="16">
        <f>SUMIFS(Table7[Impact],Table7[Applied],"X")</f>
        <v>10</v>
      </c>
      <c r="I14" s="16">
        <f ca="1">SUM(tblProfits[[#This Row],[Base Roll]:[Other Modifiers]])</f>
        <v>56.8</v>
      </c>
      <c r="J14" s="16">
        <f ca="1">_xlfn.IFNA(INDEX(tblProfit[Profit],MATCH(tblProfits[[#This Row],[Total Roll]],tblProfit[Max],-1)),Sheet2!I3)</f>
        <v>62</v>
      </c>
    </row>
    <row r="15" spans="1:10" x14ac:dyDescent="0.2">
      <c r="A15" s="10" t="s">
        <v>79</v>
      </c>
      <c r="B15" s="1" t="s">
        <v>13</v>
      </c>
      <c r="C15" s="1">
        <v>17</v>
      </c>
      <c r="E15" s="1" t="s">
        <v>84</v>
      </c>
      <c r="F15" s="15">
        <f t="shared" ca="1" si="0"/>
        <v>83</v>
      </c>
      <c r="G15" s="16">
        <f>AVERAGE(Table3[Score])</f>
        <v>13.8</v>
      </c>
      <c r="H15" s="16">
        <f>SUMIFS(Table7[Impact],Table7[Applied],"X")</f>
        <v>10</v>
      </c>
      <c r="I15" s="16">
        <f ca="1">SUM(tblProfits[[#This Row],[Base Roll]:[Other Modifiers]])</f>
        <v>106.8</v>
      </c>
      <c r="J15" s="16">
        <f ca="1">_xlfn.IFNA(INDEX(tblProfit[Profit],MATCH(tblProfits[[#This Row],[Total Roll]],tblProfit[Max],-1)),Sheet2!I4)</f>
        <v>94</v>
      </c>
    </row>
    <row r="16" spans="1:10" x14ac:dyDescent="0.2">
      <c r="A16" s="10" t="s">
        <v>80</v>
      </c>
      <c r="B16" s="1" t="s">
        <v>14</v>
      </c>
      <c r="C16" s="1">
        <v>9</v>
      </c>
      <c r="E16" s="10" t="s">
        <v>85</v>
      </c>
      <c r="F16" s="15">
        <f t="shared" ca="1" si="0"/>
        <v>71</v>
      </c>
      <c r="G16" s="16">
        <f>AVERAGE(Table3[Score])</f>
        <v>13.8</v>
      </c>
      <c r="H16" s="16">
        <f>SUMIFS(Table7[Impact],Table7[Applied],"X")</f>
        <v>10</v>
      </c>
      <c r="I16" s="16">
        <f ca="1">SUM(tblProfits[[#This Row],[Base Roll]:[Other Modifiers]])</f>
        <v>94.8</v>
      </c>
      <c r="J16" s="16">
        <f ca="1">_xlfn.IFNA(INDEX(tblProfit[Profit],MATCH(tblProfits[[#This Row],[Total Roll]],tblProfit[Max],-1)),Sheet2!I5)</f>
        <v>62</v>
      </c>
    </row>
    <row r="17" spans="1:3" x14ac:dyDescent="0.2">
      <c r="A17" s="10" t="s">
        <v>81</v>
      </c>
      <c r="B17" s="1" t="s">
        <v>75</v>
      </c>
      <c r="C17" s="1">
        <v>10</v>
      </c>
    </row>
    <row r="19" spans="1:3" x14ac:dyDescent="0.2">
      <c r="A19" s="1" t="s">
        <v>88</v>
      </c>
      <c r="B19" s="1" t="s">
        <v>89</v>
      </c>
      <c r="C19" s="1" t="s">
        <v>90</v>
      </c>
    </row>
    <row r="20" spans="1:3" x14ac:dyDescent="0.2">
      <c r="A20" s="1" t="s">
        <v>32</v>
      </c>
      <c r="B20" s="1" t="s">
        <v>91</v>
      </c>
      <c r="C20" s="1">
        <v>10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1"/>
  <sheetViews>
    <sheetView topLeftCell="B1" workbookViewId="0">
      <selection activeCell="P19" sqref="P19"/>
    </sheetView>
  </sheetViews>
  <sheetFormatPr defaultColWidth="8.85546875" defaultRowHeight="15" x14ac:dyDescent="0.25"/>
  <cols>
    <col min="1" max="1" width="15.5703125" style="1" customWidth="1"/>
    <col min="2" max="2" width="10.7109375" style="1" customWidth="1"/>
    <col min="3" max="4" width="8.85546875" style="1"/>
    <col min="5" max="6" width="9.7109375" style="1" customWidth="1"/>
    <col min="7" max="7" width="7" style="1" bestFit="1" customWidth="1"/>
    <col min="8" max="8" width="9.28515625" style="1" bestFit="1" customWidth="1"/>
    <col min="9" max="9" width="7.7109375" style="1" bestFit="1" customWidth="1"/>
    <col min="10" max="10" width="8.85546875" style="1"/>
    <col min="11" max="11" width="17.7109375" style="1" bestFit="1" customWidth="1"/>
    <col min="12" max="14" width="9" style="1" customWidth="1"/>
    <col min="15" max="15" width="8.85546875" style="1"/>
    <col min="17" max="17" width="23.85546875" style="1" customWidth="1"/>
    <col min="18" max="18" width="8" style="1" bestFit="1" customWidth="1"/>
    <col min="19" max="19" width="8.5703125" style="1" bestFit="1" customWidth="1"/>
    <col min="20" max="20" width="17.7109375" style="1" bestFit="1" customWidth="1"/>
    <col min="21" max="21" width="18.28515625" style="1" customWidth="1"/>
    <col min="22" max="22" width="7" style="1" bestFit="1" customWidth="1"/>
    <col min="23" max="23" width="10.140625" style="1" bestFit="1" customWidth="1"/>
    <col min="24" max="24" width="12.42578125" style="1" bestFit="1" customWidth="1"/>
    <col min="25" max="25" width="12" style="1" customWidth="1"/>
    <col min="27" max="16384" width="8.85546875" style="1"/>
  </cols>
  <sheetData>
    <row r="1" spans="1:26" ht="36" x14ac:dyDescent="0.2">
      <c r="A1" s="1" t="s">
        <v>3</v>
      </c>
      <c r="B1" s="1" t="s">
        <v>1</v>
      </c>
      <c r="D1" s="1" t="s">
        <v>2</v>
      </c>
      <c r="E1" s="3" t="s">
        <v>8</v>
      </c>
      <c r="F1" s="3" t="s">
        <v>9</v>
      </c>
      <c r="G1" s="1" t="s">
        <v>34</v>
      </c>
      <c r="H1" s="1" t="s">
        <v>35</v>
      </c>
      <c r="I1" s="1" t="s">
        <v>33</v>
      </c>
      <c r="K1" s="1" t="s">
        <v>18</v>
      </c>
      <c r="L1" s="3" t="s">
        <v>30</v>
      </c>
      <c r="M1" s="3" t="s">
        <v>19</v>
      </c>
      <c r="N1" s="3" t="s">
        <v>20</v>
      </c>
      <c r="P1" s="4" t="s">
        <v>74</v>
      </c>
      <c r="Q1" s="7" t="s">
        <v>46</v>
      </c>
      <c r="R1" s="5" t="s">
        <v>71</v>
      </c>
      <c r="S1" s="5" t="s">
        <v>70</v>
      </c>
      <c r="T1" s="7" t="s">
        <v>72</v>
      </c>
      <c r="U1" s="7" t="s">
        <v>45</v>
      </c>
      <c r="V1" s="7" t="s">
        <v>42</v>
      </c>
      <c r="W1" s="7" t="s">
        <v>41</v>
      </c>
      <c r="X1" s="7" t="s">
        <v>43</v>
      </c>
      <c r="Y1" s="7" t="s">
        <v>44</v>
      </c>
      <c r="Z1" s="1"/>
    </row>
    <row r="2" spans="1:26" ht="12" x14ac:dyDescent="0.2">
      <c r="A2" s="2">
        <v>100001</v>
      </c>
      <c r="B2" s="2">
        <v>60000</v>
      </c>
      <c r="D2" s="1">
        <v>91</v>
      </c>
      <c r="E2" s="1">
        <v>0</v>
      </c>
      <c r="F2" s="1">
        <v>1.5</v>
      </c>
      <c r="G2" s="1">
        <f>(_baseCostPerWeek*tblProfit[[#This Row],[Cost Multiplier]])+SUMIFS(tblUpgrades[Cost per week Impact],tblUpgrades[Active],"X")</f>
        <v>0</v>
      </c>
      <c r="H2" s="1">
        <f>(_baseIncomePerWeek*tblProfit[[#This Row],[Profit Multiplier]])+SUMIFS(tblUpgrades[Income per week Impact],tblUpgrades[Active],"X")</f>
        <v>158</v>
      </c>
      <c r="I2" s="1">
        <f>ROUND(tblProfit[[#This Row],[Income]]-tblProfit[[#This Row],[Cost]],0)</f>
        <v>158</v>
      </c>
      <c r="K2" s="1" t="s">
        <v>21</v>
      </c>
      <c r="L2" s="1">
        <v>20</v>
      </c>
      <c r="P2" s="4" t="s">
        <v>47</v>
      </c>
      <c r="Q2" s="5" t="s">
        <v>69</v>
      </c>
      <c r="R2" s="5">
        <v>1</v>
      </c>
      <c r="S2" s="5">
        <v>1</v>
      </c>
      <c r="T2" s="5" t="s">
        <v>73</v>
      </c>
      <c r="U2" s="5"/>
      <c r="V2" s="5">
        <v>0</v>
      </c>
      <c r="W2" s="6">
        <v>0</v>
      </c>
      <c r="X2" s="6">
        <v>0</v>
      </c>
      <c r="Y2" s="5"/>
      <c r="Z2" s="1"/>
    </row>
    <row r="3" spans="1:26" ht="12" x14ac:dyDescent="0.2">
      <c r="A3" s="2">
        <v>100000</v>
      </c>
      <c r="B3" s="2">
        <v>10000</v>
      </c>
      <c r="D3" s="1">
        <v>90</v>
      </c>
      <c r="E3" s="1">
        <v>0</v>
      </c>
      <c r="F3" s="1">
        <v>1</v>
      </c>
      <c r="G3" s="1">
        <f>(_baseCostPerWeek*tblProfit[[#This Row],[Cost Multiplier]])+SUMIFS(tblUpgrades[Cost per week Impact],tblUpgrades[Active],"X")</f>
        <v>0</v>
      </c>
      <c r="H3" s="1">
        <f>(_baseIncomePerWeek*tblProfit[[#This Row],[Profit Multiplier]])+SUMIFS(tblUpgrades[Income per week Impact],tblUpgrades[Active],"X")</f>
        <v>126</v>
      </c>
      <c r="I3" s="1">
        <f>ROUND(tblProfit[[#This Row],[Income]]-tblProfit[[#This Row],[Cost]],0)</f>
        <v>126</v>
      </c>
      <c r="K3" s="1" t="s">
        <v>22</v>
      </c>
      <c r="L3" s="1">
        <v>1</v>
      </c>
      <c r="P3" s="4" t="s">
        <v>91</v>
      </c>
      <c r="Q3" s="7" t="s">
        <v>36</v>
      </c>
      <c r="R3" s="5">
        <v>2</v>
      </c>
      <c r="S3" s="5">
        <v>1</v>
      </c>
      <c r="T3" s="5" t="s">
        <v>69</v>
      </c>
      <c r="U3" s="7"/>
      <c r="V3" s="7">
        <v>250</v>
      </c>
      <c r="W3" s="7">
        <v>0</v>
      </c>
      <c r="X3" s="7">
        <f t="shared" ref="X3:X7" si="0">ROUND(50*12/52,0)</f>
        <v>12</v>
      </c>
      <c r="Y3" s="7"/>
      <c r="Z3" s="1"/>
    </row>
    <row r="4" spans="1:26" ht="12" x14ac:dyDescent="0.2">
      <c r="A4" s="2">
        <v>25000</v>
      </c>
      <c r="B4" s="2">
        <v>4000</v>
      </c>
      <c r="D4" s="1">
        <v>80</v>
      </c>
      <c r="E4" s="1">
        <v>0</v>
      </c>
      <c r="F4" s="1">
        <v>0.5</v>
      </c>
      <c r="G4" s="1">
        <f>(_baseCostPerWeek*tblProfit[[#This Row],[Cost Multiplier]])+SUMIFS(tblUpgrades[Cost per week Impact],tblUpgrades[Active],"X")</f>
        <v>0</v>
      </c>
      <c r="H4" s="1">
        <f>(_baseIncomePerWeek*tblProfit[[#This Row],[Profit Multiplier]])+SUMIFS(tblUpgrades[Income per week Impact],tblUpgrades[Active],"X")</f>
        <v>94</v>
      </c>
      <c r="I4" s="1">
        <f>ROUND(tblProfit[[#This Row],[Income]]-tblProfit[[#This Row],[Cost]],0)</f>
        <v>94</v>
      </c>
      <c r="K4" s="1" t="s">
        <v>23</v>
      </c>
      <c r="L4" s="1">
        <v>5</v>
      </c>
      <c r="P4" s="4" t="s">
        <v>91</v>
      </c>
      <c r="Q4" s="7" t="s">
        <v>37</v>
      </c>
      <c r="R4" s="5">
        <v>3</v>
      </c>
      <c r="S4" s="5">
        <v>1</v>
      </c>
      <c r="T4" s="7" t="s">
        <v>36</v>
      </c>
      <c r="U4" s="7"/>
      <c r="V4" s="7">
        <v>300</v>
      </c>
      <c r="W4" s="7">
        <v>0</v>
      </c>
      <c r="X4" s="7">
        <f t="shared" si="0"/>
        <v>12</v>
      </c>
      <c r="Y4" s="7"/>
      <c r="Z4" s="1"/>
    </row>
    <row r="5" spans="1:26" ht="12" x14ac:dyDescent="0.2">
      <c r="A5" s="2">
        <v>12000</v>
      </c>
      <c r="B5" s="2">
        <v>1500</v>
      </c>
      <c r="D5" s="1">
        <v>60</v>
      </c>
      <c r="E5" s="1">
        <v>0</v>
      </c>
      <c r="F5" s="1">
        <v>0</v>
      </c>
      <c r="G5" s="1">
        <f>(_baseCostPerWeek*tblProfit[[#This Row],[Cost Multiplier]])+SUMIFS(tblUpgrades[Cost per week Impact],tblUpgrades[Active],"X")</f>
        <v>0</v>
      </c>
      <c r="H5" s="1">
        <f>(_baseIncomePerWeek*tblProfit[[#This Row],[Profit Multiplier]])+SUMIFS(tblUpgrades[Income per week Impact],tblUpgrades[Active],"X")</f>
        <v>62</v>
      </c>
      <c r="I5" s="1">
        <f>ROUND(tblProfit[[#This Row],[Income]]-tblProfit[[#This Row],[Cost]],0)</f>
        <v>62</v>
      </c>
      <c r="K5" s="1" t="s">
        <v>24</v>
      </c>
      <c r="L5" s="1">
        <v>10</v>
      </c>
      <c r="P5" s="4" t="s">
        <v>91</v>
      </c>
      <c r="Q5" s="7" t="s">
        <v>38</v>
      </c>
      <c r="R5" s="5">
        <v>4</v>
      </c>
      <c r="S5" s="5">
        <v>1</v>
      </c>
      <c r="T5" s="7" t="s">
        <v>37</v>
      </c>
      <c r="U5" s="7"/>
      <c r="V5" s="7">
        <v>350</v>
      </c>
      <c r="W5" s="7">
        <v>0</v>
      </c>
      <c r="X5" s="7">
        <f t="shared" si="0"/>
        <v>12</v>
      </c>
      <c r="Y5" s="7"/>
      <c r="Z5" s="1"/>
    </row>
    <row r="6" spans="1:26" ht="12" x14ac:dyDescent="0.2">
      <c r="A6" s="2">
        <v>5000</v>
      </c>
      <c r="B6" s="2">
        <v>300</v>
      </c>
      <c r="D6" s="1">
        <v>40</v>
      </c>
      <c r="E6" s="1">
        <v>0.5</v>
      </c>
      <c r="F6" s="1">
        <v>0</v>
      </c>
      <c r="G6" s="1">
        <f>(_baseCostPerWeek*tblProfit[[#This Row],[Cost Multiplier]])+SUMIFS(tblUpgrades[Cost per week Impact],tblUpgrades[Active],"X")</f>
        <v>17.5</v>
      </c>
      <c r="H6" s="1">
        <f>(_baseIncomePerWeek*tblProfit[[#This Row],[Profit Multiplier]])+SUMIFS(tblUpgrades[Income per week Impact],tblUpgrades[Active],"X")</f>
        <v>62</v>
      </c>
      <c r="I6" s="1">
        <f>ROUND(tblProfit[[#This Row],[Income]]-tblProfit[[#This Row],[Cost]],0)</f>
        <v>45</v>
      </c>
      <c r="K6" s="1" t="s">
        <v>25</v>
      </c>
      <c r="L6" s="1">
        <v>5</v>
      </c>
      <c r="M6" s="1">
        <v>1</v>
      </c>
      <c r="N6" s="1">
        <v>5</v>
      </c>
      <c r="P6" s="4" t="s">
        <v>91</v>
      </c>
      <c r="Q6" s="7" t="s">
        <v>39</v>
      </c>
      <c r="R6" s="5">
        <v>5</v>
      </c>
      <c r="S6" s="5">
        <v>1</v>
      </c>
      <c r="T6" s="7" t="s">
        <v>38</v>
      </c>
      <c r="U6" s="7"/>
      <c r="V6" s="7">
        <v>400</v>
      </c>
      <c r="W6" s="7">
        <v>0</v>
      </c>
      <c r="X6" s="7">
        <f t="shared" si="0"/>
        <v>12</v>
      </c>
      <c r="Y6" s="7"/>
      <c r="Z6" s="1"/>
    </row>
    <row r="7" spans="1:26" ht="12" x14ac:dyDescent="0.2">
      <c r="A7" s="2">
        <v>2000</v>
      </c>
      <c r="B7" s="2">
        <v>80</v>
      </c>
      <c r="D7" s="1">
        <v>30</v>
      </c>
      <c r="E7" s="1">
        <v>1</v>
      </c>
      <c r="F7" s="1">
        <v>0</v>
      </c>
      <c r="G7" s="1">
        <f>(_baseCostPerWeek*tblProfit[[#This Row],[Cost Multiplier]])+SUMIFS(tblUpgrades[Cost per week Impact],tblUpgrades[Active],"X")</f>
        <v>35</v>
      </c>
      <c r="H7" s="1">
        <f>(_baseIncomePerWeek*tblProfit[[#This Row],[Profit Multiplier]])+SUMIFS(tblUpgrades[Income per week Impact],tblUpgrades[Active],"X")</f>
        <v>62</v>
      </c>
      <c r="I7" s="1">
        <f>ROUND(tblProfit[[#This Row],[Income]]-tblProfit[[#This Row],[Cost]],0)</f>
        <v>27</v>
      </c>
      <c r="P7" s="4" t="s">
        <v>91</v>
      </c>
      <c r="Q7" s="7" t="s">
        <v>40</v>
      </c>
      <c r="R7" s="5">
        <v>6</v>
      </c>
      <c r="S7" s="5">
        <v>1</v>
      </c>
      <c r="T7" s="7" t="s">
        <v>39</v>
      </c>
      <c r="U7" s="7"/>
      <c r="V7" s="7">
        <v>450</v>
      </c>
      <c r="W7" s="7">
        <v>0</v>
      </c>
      <c r="X7" s="7">
        <f t="shared" si="0"/>
        <v>12</v>
      </c>
      <c r="Y7" s="7"/>
      <c r="Z7" s="1"/>
    </row>
    <row r="8" spans="1:26" ht="12" x14ac:dyDescent="0.2">
      <c r="A8" s="2">
        <v>900</v>
      </c>
      <c r="B8" s="2">
        <v>20</v>
      </c>
      <c r="D8" s="1">
        <v>20</v>
      </c>
      <c r="E8" s="1">
        <v>1.5</v>
      </c>
      <c r="F8" s="1">
        <v>0</v>
      </c>
      <c r="G8" s="1">
        <f>(_baseCostPerWeek*tblProfit[[#This Row],[Cost Multiplier]])+SUMIFS(tblUpgrades[Cost per week Impact],tblUpgrades[Active],"X")</f>
        <v>52.5</v>
      </c>
      <c r="H8" s="1">
        <f>(_baseIncomePerWeek*tblProfit[[#This Row],[Profit Multiplier]])+SUMIFS(tblUpgrades[Income per week Impact],tblUpgrades[Active],"X")</f>
        <v>62</v>
      </c>
      <c r="I8" s="1">
        <f>ROUND(tblProfit[[#This Row],[Income]]-tblProfit[[#This Row],[Cost]],0)</f>
        <v>10</v>
      </c>
      <c r="P8" s="4"/>
      <c r="Q8" s="5" t="s">
        <v>48</v>
      </c>
      <c r="R8" s="5">
        <v>2</v>
      </c>
      <c r="S8" s="5">
        <v>2</v>
      </c>
      <c r="T8" s="5" t="s">
        <v>69</v>
      </c>
      <c r="U8" s="5"/>
      <c r="V8" s="5">
        <v>500</v>
      </c>
      <c r="W8" s="6">
        <v>0</v>
      </c>
      <c r="X8" s="6">
        <v>0</v>
      </c>
      <c r="Y8" s="5"/>
      <c r="Z8" s="1"/>
    </row>
    <row r="9" spans="1:26" ht="12" x14ac:dyDescent="0.2">
      <c r="A9" s="2">
        <v>400</v>
      </c>
      <c r="B9" s="2">
        <v>10</v>
      </c>
      <c r="P9" s="4"/>
      <c r="Q9" s="5" t="s">
        <v>50</v>
      </c>
      <c r="R9" s="5">
        <v>3</v>
      </c>
      <c r="S9" s="5">
        <v>2</v>
      </c>
      <c r="T9" s="5" t="s">
        <v>48</v>
      </c>
      <c r="U9" s="5"/>
      <c r="V9" s="5">
        <v>500</v>
      </c>
      <c r="W9" s="6">
        <v>0</v>
      </c>
      <c r="X9" s="6">
        <v>0</v>
      </c>
      <c r="Y9" s="5"/>
      <c r="Z9" s="1"/>
    </row>
    <row r="10" spans="1:26" ht="12" x14ac:dyDescent="0.2">
      <c r="A10" s="2">
        <v>80</v>
      </c>
      <c r="B10" s="2">
        <v>4</v>
      </c>
      <c r="P10" s="4"/>
      <c r="Q10" s="5" t="s">
        <v>49</v>
      </c>
      <c r="R10" s="5">
        <v>2</v>
      </c>
      <c r="S10" s="5">
        <v>3</v>
      </c>
      <c r="T10" s="5" t="s">
        <v>69</v>
      </c>
      <c r="U10" s="5"/>
      <c r="V10" s="5">
        <v>500</v>
      </c>
      <c r="W10" s="6">
        <v>0</v>
      </c>
      <c r="X10" s="6">
        <v>0</v>
      </c>
      <c r="Y10" s="5"/>
      <c r="Z10" s="1"/>
    </row>
    <row r="11" spans="1:26" ht="12" x14ac:dyDescent="0.2">
      <c r="P11" s="4"/>
      <c r="Q11" s="5" t="s">
        <v>51</v>
      </c>
      <c r="R11" s="5">
        <v>2</v>
      </c>
      <c r="S11" s="5">
        <v>4</v>
      </c>
      <c r="T11" s="5" t="s">
        <v>69</v>
      </c>
      <c r="U11" s="5"/>
      <c r="V11" s="5">
        <v>300</v>
      </c>
      <c r="W11" s="6">
        <v>0</v>
      </c>
      <c r="X11" s="6">
        <v>0</v>
      </c>
      <c r="Y11" s="5"/>
      <c r="Z11" s="1"/>
    </row>
    <row r="12" spans="1:26" ht="12" x14ac:dyDescent="0.2">
      <c r="P12" s="4"/>
      <c r="Q12" s="5" t="s">
        <v>52</v>
      </c>
      <c r="R12" s="5">
        <v>2</v>
      </c>
      <c r="S12" s="5">
        <v>5</v>
      </c>
      <c r="T12" s="5" t="s">
        <v>69</v>
      </c>
      <c r="U12" s="5"/>
      <c r="V12" s="5">
        <v>300</v>
      </c>
      <c r="W12" s="6">
        <v>0</v>
      </c>
      <c r="X12" s="6">
        <v>0</v>
      </c>
      <c r="Y12" s="5"/>
      <c r="Z12" s="1"/>
    </row>
    <row r="13" spans="1:26" ht="12" x14ac:dyDescent="0.2">
      <c r="P13" s="4"/>
      <c r="Q13" s="5" t="s">
        <v>53</v>
      </c>
      <c r="R13" s="5">
        <v>3</v>
      </c>
      <c r="S13" s="5">
        <v>3</v>
      </c>
      <c r="T13" s="5" t="s">
        <v>52</v>
      </c>
      <c r="U13" s="5"/>
      <c r="V13" s="5">
        <v>900</v>
      </c>
      <c r="W13" s="6">
        <v>0</v>
      </c>
      <c r="X13" s="6">
        <v>0</v>
      </c>
      <c r="Y13" s="5"/>
      <c r="Z13" s="1"/>
    </row>
    <row r="14" spans="1:26" ht="12" x14ac:dyDescent="0.2">
      <c r="P14" s="4"/>
      <c r="Q14" s="5" t="s">
        <v>54</v>
      </c>
      <c r="R14" s="5">
        <v>4</v>
      </c>
      <c r="S14" s="5">
        <v>2</v>
      </c>
      <c r="T14" s="5" t="s">
        <v>53</v>
      </c>
      <c r="U14" s="5"/>
      <c r="V14" s="5">
        <v>2000</v>
      </c>
      <c r="W14" s="6">
        <v>0</v>
      </c>
      <c r="X14" s="6">
        <v>0</v>
      </c>
      <c r="Y14" s="5"/>
      <c r="Z14" s="1"/>
    </row>
    <row r="15" spans="1:26" ht="12" x14ac:dyDescent="0.2">
      <c r="P15" s="4" t="s">
        <v>91</v>
      </c>
      <c r="Q15" s="5" t="s">
        <v>55</v>
      </c>
      <c r="R15" s="5">
        <v>2</v>
      </c>
      <c r="S15" s="5">
        <v>6</v>
      </c>
      <c r="T15" s="5" t="s">
        <v>69</v>
      </c>
      <c r="U15" s="5"/>
      <c r="V15" s="5">
        <v>200</v>
      </c>
      <c r="W15" s="6">
        <v>0</v>
      </c>
      <c r="X15" s="6">
        <f>ROUND(10*12/52,0)</f>
        <v>2</v>
      </c>
      <c r="Y15" s="5"/>
      <c r="Z15" s="1"/>
    </row>
    <row r="16" spans="1:26" ht="12" x14ac:dyDescent="0.2">
      <c r="P16" s="4"/>
      <c r="Q16" s="5" t="s">
        <v>56</v>
      </c>
      <c r="R16" s="5">
        <v>2</v>
      </c>
      <c r="S16" s="5">
        <v>7</v>
      </c>
      <c r="T16" s="5" t="s">
        <v>69</v>
      </c>
      <c r="U16" s="5"/>
      <c r="V16" s="5">
        <v>400</v>
      </c>
      <c r="W16" s="6">
        <v>0</v>
      </c>
      <c r="X16" s="6">
        <v>0</v>
      </c>
      <c r="Y16" s="5"/>
      <c r="Z16" s="1"/>
    </row>
    <row r="17" spans="16:26" ht="12" x14ac:dyDescent="0.2">
      <c r="P17" s="4"/>
      <c r="Q17" s="5" t="s">
        <v>57</v>
      </c>
      <c r="R17" s="5">
        <v>3</v>
      </c>
      <c r="S17" s="5">
        <v>4</v>
      </c>
      <c r="T17" s="5" t="s">
        <v>56</v>
      </c>
      <c r="U17" s="5"/>
      <c r="V17" s="5">
        <v>1000</v>
      </c>
      <c r="W17" s="6">
        <v>0</v>
      </c>
      <c r="X17" s="6">
        <v>0</v>
      </c>
      <c r="Y17" s="5"/>
      <c r="Z17" s="1"/>
    </row>
    <row r="18" spans="16:26" ht="12" x14ac:dyDescent="0.2">
      <c r="P18" s="4"/>
      <c r="Q18" s="5" t="s">
        <v>58</v>
      </c>
      <c r="R18" s="5">
        <v>4</v>
      </c>
      <c r="S18" s="5">
        <v>3</v>
      </c>
      <c r="T18" s="5" t="s">
        <v>57</v>
      </c>
      <c r="U18" s="5"/>
      <c r="V18" s="5">
        <v>1500</v>
      </c>
      <c r="W18" s="6">
        <v>0</v>
      </c>
      <c r="X18" s="6">
        <v>0</v>
      </c>
      <c r="Y18" s="5"/>
      <c r="Z18" s="1"/>
    </row>
    <row r="19" spans="16:26" ht="12" x14ac:dyDescent="0.2">
      <c r="P19" s="4"/>
      <c r="Q19" s="5" t="s">
        <v>59</v>
      </c>
      <c r="R19" s="5">
        <v>2</v>
      </c>
      <c r="S19" s="5">
        <v>8</v>
      </c>
      <c r="T19" s="5" t="s">
        <v>69</v>
      </c>
      <c r="U19" s="5"/>
      <c r="V19" s="5">
        <v>1000</v>
      </c>
      <c r="W19" s="6">
        <v>0</v>
      </c>
      <c r="X19" s="6">
        <v>0</v>
      </c>
      <c r="Y19" s="5"/>
      <c r="Z19" s="1"/>
    </row>
    <row r="20" spans="16:26" ht="12" x14ac:dyDescent="0.2">
      <c r="P20" s="4"/>
      <c r="Q20" s="5" t="s">
        <v>60</v>
      </c>
      <c r="R20" s="5">
        <v>3</v>
      </c>
      <c r="S20" s="5">
        <v>5</v>
      </c>
      <c r="T20" s="5" t="s">
        <v>59</v>
      </c>
      <c r="U20" s="5"/>
      <c r="V20" s="5">
        <v>500</v>
      </c>
      <c r="W20" s="6">
        <v>0</v>
      </c>
      <c r="X20" s="6">
        <v>0</v>
      </c>
      <c r="Y20" s="5"/>
      <c r="Z20" s="1"/>
    </row>
    <row r="21" spans="16:26" ht="12" x14ac:dyDescent="0.2">
      <c r="P21" s="4"/>
      <c r="Q21" s="5" t="s">
        <v>61</v>
      </c>
      <c r="R21" s="5">
        <v>4</v>
      </c>
      <c r="S21" s="5">
        <v>5</v>
      </c>
      <c r="T21" s="5" t="s">
        <v>60</v>
      </c>
      <c r="U21" s="5"/>
      <c r="V21" s="5">
        <v>250</v>
      </c>
      <c r="W21" s="6">
        <v>0</v>
      </c>
      <c r="X21" s="6">
        <v>0</v>
      </c>
      <c r="Y21" s="5"/>
      <c r="Z21" s="1"/>
    </row>
    <row r="22" spans="16:26" ht="12" x14ac:dyDescent="0.2">
      <c r="P22" s="4"/>
      <c r="Q22" s="5" t="s">
        <v>62</v>
      </c>
      <c r="R22" s="5">
        <v>2</v>
      </c>
      <c r="S22" s="5">
        <v>9</v>
      </c>
      <c r="T22" s="5" t="s">
        <v>69</v>
      </c>
      <c r="U22" s="5"/>
      <c r="V22" s="5">
        <v>150</v>
      </c>
      <c r="W22" s="6">
        <v>0</v>
      </c>
      <c r="X22" s="6">
        <v>0</v>
      </c>
      <c r="Y22" s="5"/>
      <c r="Z22" s="1"/>
    </row>
    <row r="23" spans="16:26" ht="12" x14ac:dyDescent="0.2">
      <c r="P23" s="4"/>
      <c r="Q23" s="5" t="s">
        <v>63</v>
      </c>
      <c r="R23" s="5">
        <v>2</v>
      </c>
      <c r="S23" s="5">
        <v>10</v>
      </c>
      <c r="T23" s="5" t="s">
        <v>69</v>
      </c>
      <c r="U23" s="5"/>
      <c r="V23" s="5">
        <v>1000</v>
      </c>
      <c r="W23" s="6">
        <v>0</v>
      </c>
      <c r="X23" s="6">
        <v>0</v>
      </c>
      <c r="Y23" s="5"/>
      <c r="Z23" s="1"/>
    </row>
    <row r="24" spans="16:26" ht="12" x14ac:dyDescent="0.2">
      <c r="P24" s="4"/>
      <c r="Q24" s="5" t="s">
        <v>64</v>
      </c>
      <c r="R24" s="5">
        <v>3</v>
      </c>
      <c r="S24" s="5">
        <v>6</v>
      </c>
      <c r="T24" s="5" t="s">
        <v>63</v>
      </c>
      <c r="U24" s="5"/>
      <c r="V24" s="5">
        <v>500</v>
      </c>
      <c r="W24" s="6">
        <v>0</v>
      </c>
      <c r="X24" s="6">
        <v>0</v>
      </c>
      <c r="Y24" s="5"/>
      <c r="Z24" s="1"/>
    </row>
    <row r="25" spans="16:26" ht="12" x14ac:dyDescent="0.2">
      <c r="P25" s="4"/>
      <c r="Q25" s="5" t="s">
        <v>65</v>
      </c>
      <c r="R25" s="5">
        <v>2</v>
      </c>
      <c r="S25" s="5">
        <v>11</v>
      </c>
      <c r="T25" s="5" t="s">
        <v>69</v>
      </c>
      <c r="U25" s="5"/>
      <c r="V25" s="5">
        <v>0</v>
      </c>
      <c r="W25" s="6">
        <f>ROUND(25*12/52,0)</f>
        <v>6</v>
      </c>
      <c r="X25" s="6">
        <v>0</v>
      </c>
      <c r="Y25" s="5"/>
      <c r="Z25" s="1"/>
    </row>
    <row r="26" spans="16:26" ht="12" x14ac:dyDescent="0.2">
      <c r="P26" s="4"/>
      <c r="Q26" s="5" t="s">
        <v>66</v>
      </c>
      <c r="R26" s="5">
        <v>2</v>
      </c>
      <c r="S26" s="5">
        <v>12</v>
      </c>
      <c r="T26" s="5" t="s">
        <v>69</v>
      </c>
      <c r="U26" s="5"/>
      <c r="V26" s="5">
        <v>50</v>
      </c>
      <c r="W26" s="6">
        <v>0</v>
      </c>
      <c r="X26" s="6">
        <v>0</v>
      </c>
      <c r="Y26" s="5"/>
      <c r="Z26" s="1"/>
    </row>
    <row r="27" spans="16:26" ht="12" x14ac:dyDescent="0.2">
      <c r="P27" s="4"/>
      <c r="Q27" s="5" t="s">
        <v>67</v>
      </c>
      <c r="R27" s="5">
        <v>3</v>
      </c>
      <c r="S27" s="5">
        <v>7</v>
      </c>
      <c r="T27" s="5" t="s">
        <v>66</v>
      </c>
      <c r="U27" s="5"/>
      <c r="V27" s="5">
        <v>150</v>
      </c>
      <c r="W27" s="6">
        <v>0</v>
      </c>
      <c r="X27" s="6">
        <v>0</v>
      </c>
      <c r="Y27" s="5"/>
      <c r="Z27" s="1"/>
    </row>
    <row r="28" spans="16:26" ht="12" x14ac:dyDescent="0.2">
      <c r="P28" s="4"/>
      <c r="Q28" s="5" t="s">
        <v>68</v>
      </c>
      <c r="R28" s="5">
        <v>4</v>
      </c>
      <c r="S28" s="5">
        <v>6</v>
      </c>
      <c r="T28" s="5" t="s">
        <v>67</v>
      </c>
      <c r="U28" s="5"/>
      <c r="V28" s="5">
        <v>250</v>
      </c>
      <c r="W28" s="6">
        <v>0</v>
      </c>
      <c r="X28" s="6">
        <v>0</v>
      </c>
      <c r="Y28" s="5"/>
      <c r="Z28" s="1"/>
    </row>
    <row r="31" spans="16:26" x14ac:dyDescent="0.25">
      <c r="Q31"/>
      <c r="R31"/>
      <c r="S31"/>
      <c r="T31"/>
      <c r="U31"/>
      <c r="V31"/>
      <c r="W31"/>
      <c r="X31"/>
    </row>
    <row r="32" spans="16:26" x14ac:dyDescent="0.25">
      <c r="Q32" s="8"/>
      <c r="R32"/>
      <c r="S32"/>
      <c r="T32"/>
      <c r="U32"/>
      <c r="V32"/>
      <c r="W32"/>
      <c r="X32"/>
    </row>
    <row r="33" spans="17:24" x14ac:dyDescent="0.25">
      <c r="Q33" s="9"/>
      <c r="R33"/>
      <c r="S33"/>
      <c r="T33"/>
      <c r="U33"/>
      <c r="V33"/>
      <c r="W33"/>
      <c r="X33"/>
    </row>
    <row r="34" spans="17:24" x14ac:dyDescent="0.25">
      <c r="Q34" s="8"/>
      <c r="R34"/>
      <c r="S34"/>
      <c r="T34"/>
      <c r="U34"/>
      <c r="V34"/>
      <c r="W34"/>
      <c r="X34"/>
    </row>
    <row r="35" spans="17:24" x14ac:dyDescent="0.25">
      <c r="Q35" s="9"/>
      <c r="R35"/>
      <c r="S35"/>
      <c r="T35"/>
      <c r="U35"/>
      <c r="V35"/>
      <c r="W35"/>
      <c r="X35"/>
    </row>
    <row r="36" spans="17:24" x14ac:dyDescent="0.25">
      <c r="Q36" s="9"/>
      <c r="R36"/>
      <c r="S36"/>
      <c r="T36"/>
      <c r="U36"/>
      <c r="V36"/>
      <c r="W36"/>
      <c r="X36"/>
    </row>
    <row r="37" spans="17:24" x14ac:dyDescent="0.25">
      <c r="Q37" s="9"/>
      <c r="R37"/>
      <c r="S37"/>
      <c r="T37"/>
      <c r="U37"/>
      <c r="V37"/>
      <c r="W37"/>
      <c r="X37"/>
    </row>
    <row r="38" spans="17:24" x14ac:dyDescent="0.25">
      <c r="Q38" s="9"/>
      <c r="R38"/>
      <c r="S38"/>
      <c r="T38"/>
      <c r="U38"/>
      <c r="V38"/>
      <c r="W38"/>
      <c r="X38"/>
    </row>
    <row r="39" spans="17:24" x14ac:dyDescent="0.25">
      <c r="Q39" s="9"/>
      <c r="R39"/>
      <c r="S39"/>
      <c r="T39"/>
      <c r="U39"/>
      <c r="V39"/>
      <c r="W39"/>
      <c r="X39"/>
    </row>
    <row r="40" spans="17:24" x14ac:dyDescent="0.25">
      <c r="Q40" s="9"/>
      <c r="R40"/>
      <c r="S40"/>
      <c r="T40"/>
      <c r="U40"/>
      <c r="V40"/>
      <c r="W40"/>
      <c r="X40"/>
    </row>
    <row r="41" spans="17:24" x14ac:dyDescent="0.25">
      <c r="Q41" s="9"/>
      <c r="R41"/>
      <c r="S41"/>
      <c r="T41"/>
      <c r="U41"/>
      <c r="V41"/>
      <c r="W41"/>
      <c r="X41"/>
    </row>
    <row r="42" spans="17:24" x14ac:dyDescent="0.25">
      <c r="Q42" s="9"/>
      <c r="R42"/>
      <c r="S42"/>
      <c r="T42"/>
      <c r="U42"/>
      <c r="V42"/>
      <c r="W42"/>
      <c r="X42"/>
    </row>
    <row r="43" spans="17:24" x14ac:dyDescent="0.25">
      <c r="Q43" s="9"/>
      <c r="R43"/>
      <c r="S43"/>
      <c r="T43"/>
      <c r="U43"/>
      <c r="V43"/>
      <c r="W43"/>
      <c r="X43"/>
    </row>
    <row r="44" spans="17:24" x14ac:dyDescent="0.25">
      <c r="Q44" s="9"/>
      <c r="R44"/>
      <c r="S44"/>
      <c r="T44"/>
      <c r="U44"/>
      <c r="V44"/>
      <c r="W44"/>
      <c r="X44"/>
    </row>
    <row r="45" spans="17:24" x14ac:dyDescent="0.25">
      <c r="Q45" s="9"/>
      <c r="R45"/>
      <c r="S45"/>
      <c r="T45"/>
      <c r="U45"/>
      <c r="V45"/>
      <c r="W45"/>
      <c r="X45"/>
    </row>
    <row r="46" spans="17:24" x14ac:dyDescent="0.25">
      <c r="Q46" s="9"/>
      <c r="R46"/>
      <c r="S46"/>
      <c r="T46"/>
      <c r="U46"/>
      <c r="V46"/>
      <c r="W46"/>
      <c r="X46"/>
    </row>
    <row r="47" spans="17:24" x14ac:dyDescent="0.25">
      <c r="Q47" s="8"/>
      <c r="R47"/>
      <c r="S47"/>
      <c r="T47"/>
      <c r="U47"/>
      <c r="V47"/>
      <c r="W47"/>
      <c r="X47"/>
    </row>
    <row r="48" spans="17:24" x14ac:dyDescent="0.25">
      <c r="Q48" s="9"/>
      <c r="R48"/>
      <c r="S48"/>
      <c r="T48"/>
      <c r="U48"/>
      <c r="V48"/>
      <c r="W48"/>
      <c r="X48"/>
    </row>
    <row r="49" spans="17:24" x14ac:dyDescent="0.25">
      <c r="Q49" s="9"/>
      <c r="R49"/>
      <c r="S49"/>
      <c r="T49"/>
      <c r="U49"/>
      <c r="V49"/>
      <c r="W49"/>
      <c r="X49"/>
    </row>
    <row r="50" spans="17:24" x14ac:dyDescent="0.25">
      <c r="Q50" s="9"/>
      <c r="R50"/>
      <c r="S50"/>
      <c r="T50"/>
      <c r="U50"/>
      <c r="V50"/>
      <c r="W50"/>
      <c r="X50"/>
    </row>
    <row r="51" spans="17:24" x14ac:dyDescent="0.25">
      <c r="Q51" s="9"/>
      <c r="R51"/>
      <c r="S51"/>
      <c r="T51"/>
      <c r="U51"/>
      <c r="V51"/>
      <c r="W51"/>
      <c r="X51"/>
    </row>
    <row r="52" spans="17:24" x14ac:dyDescent="0.25">
      <c r="Q52" s="9"/>
      <c r="R52"/>
      <c r="S52"/>
      <c r="T52"/>
      <c r="U52"/>
      <c r="V52"/>
      <c r="W52"/>
      <c r="X52"/>
    </row>
    <row r="53" spans="17:24" x14ac:dyDescent="0.25">
      <c r="Q53" s="9"/>
      <c r="R53"/>
      <c r="S53"/>
      <c r="T53"/>
      <c r="U53"/>
      <c r="V53"/>
      <c r="W53"/>
      <c r="X53"/>
    </row>
    <row r="54" spans="17:24" x14ac:dyDescent="0.25">
      <c r="Q54" s="9"/>
      <c r="R54"/>
      <c r="S54"/>
      <c r="T54"/>
      <c r="U54"/>
      <c r="V54"/>
      <c r="W54"/>
      <c r="X54"/>
    </row>
    <row r="55" spans="17:24" x14ac:dyDescent="0.25">
      <c r="Q55" s="8"/>
      <c r="R55"/>
      <c r="S55"/>
      <c r="T55"/>
      <c r="U55"/>
      <c r="V55"/>
      <c r="W55"/>
      <c r="X55"/>
    </row>
    <row r="56" spans="17:24" x14ac:dyDescent="0.25">
      <c r="Q56" s="9"/>
      <c r="R56"/>
      <c r="S56"/>
      <c r="T56"/>
      <c r="U56"/>
      <c r="V56"/>
      <c r="W56"/>
      <c r="X56"/>
    </row>
    <row r="57" spans="17:24" x14ac:dyDescent="0.25">
      <c r="Q57" s="9"/>
      <c r="R57"/>
      <c r="S57"/>
      <c r="T57"/>
      <c r="U57"/>
      <c r="V57"/>
      <c r="W57"/>
      <c r="X57"/>
    </row>
    <row r="58" spans="17:24" x14ac:dyDescent="0.25">
      <c r="Q58" s="9"/>
      <c r="R58"/>
      <c r="S58"/>
      <c r="T58"/>
      <c r="U58"/>
      <c r="V58"/>
      <c r="W58"/>
      <c r="X58"/>
    </row>
    <row r="59" spans="17:24" x14ac:dyDescent="0.25">
      <c r="Q59" s="9"/>
      <c r="R59"/>
      <c r="S59"/>
      <c r="T59"/>
      <c r="U59"/>
      <c r="V59"/>
      <c r="W59"/>
      <c r="X59"/>
    </row>
    <row r="60" spans="17:24" x14ac:dyDescent="0.25">
      <c r="Q60" s="9"/>
      <c r="R60"/>
      <c r="S60"/>
      <c r="T60"/>
      <c r="U60"/>
      <c r="V60"/>
      <c r="W60"/>
      <c r="X60"/>
    </row>
    <row r="61" spans="17:24" x14ac:dyDescent="0.25">
      <c r="Q61" s="8"/>
    </row>
    <row r="62" spans="17:24" x14ac:dyDescent="0.25">
      <c r="Q62" s="9"/>
    </row>
    <row r="63" spans="17:24" x14ac:dyDescent="0.25">
      <c r="Q63" s="8"/>
    </row>
    <row r="64" spans="17:24" x14ac:dyDescent="0.25">
      <c r="Q64" s="9"/>
    </row>
    <row r="65" spans="17:17" x14ac:dyDescent="0.25">
      <c r="Q65" s="8"/>
    </row>
    <row r="66" spans="17:17" x14ac:dyDescent="0.25">
      <c r="Q66"/>
    </row>
    <row r="67" spans="17:17" x14ac:dyDescent="0.25">
      <c r="Q67"/>
    </row>
    <row r="68" spans="17:17" x14ac:dyDescent="0.25">
      <c r="Q68"/>
    </row>
    <row r="69" spans="17:17" x14ac:dyDescent="0.25">
      <c r="Q69"/>
    </row>
    <row r="70" spans="17:17" x14ac:dyDescent="0.25">
      <c r="Q70"/>
    </row>
    <row r="71" spans="17:17" x14ac:dyDescent="0.25">
      <c r="Q71"/>
    </row>
    <row r="72" spans="17:17" x14ac:dyDescent="0.25">
      <c r="Q72"/>
    </row>
    <row r="73" spans="17:17" x14ac:dyDescent="0.25">
      <c r="Q73"/>
    </row>
    <row r="74" spans="17:17" x14ac:dyDescent="0.25">
      <c r="Q74"/>
    </row>
    <row r="75" spans="17:17" x14ac:dyDescent="0.25">
      <c r="Q75"/>
    </row>
    <row r="76" spans="17:17" x14ac:dyDescent="0.25">
      <c r="Q76"/>
    </row>
    <row r="77" spans="17:17" x14ac:dyDescent="0.25">
      <c r="Q77"/>
    </row>
    <row r="78" spans="17:17" x14ac:dyDescent="0.25">
      <c r="Q78"/>
    </row>
    <row r="79" spans="17:17" x14ac:dyDescent="0.25">
      <c r="Q79"/>
    </row>
    <row r="80" spans="17:17" x14ac:dyDescent="0.25">
      <c r="Q80"/>
    </row>
    <row r="81" spans="17:17" x14ac:dyDescent="0.25">
      <c r="Q81"/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" x14ac:dyDescent="0.2"/>
  <cols>
    <col min="1" max="16384" width="8.85546875" style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_baseCostPerMonth</vt:lpstr>
      <vt:lpstr>_baseCostPerWeek</vt:lpstr>
      <vt:lpstr>_baseIncomePerWeek</vt:lpstr>
    </vt:vector>
  </TitlesOfParts>
  <Company>PVH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elambe</dc:creator>
  <cp:keywords>PVH Confidential</cp:keywords>
  <cp:lastModifiedBy>elambe</cp:lastModifiedBy>
  <dcterms:created xsi:type="dcterms:W3CDTF">2018-05-24T21:09:47Z</dcterms:created>
  <dcterms:modified xsi:type="dcterms:W3CDTF">2019-08-21T00:00:12Z</dcterms:modified>
  <cp:category>PVH Corp.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