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FPGA_lite\fpga_blaster\"/>
    </mc:Choice>
  </mc:AlternateContent>
  <xr:revisionPtr revIDLastSave="0" documentId="13_ncr:1_{8FFE9ADE-C1B3-43AF-89BE-4BB8DC040245}" xr6:coauthVersionLast="47" xr6:coauthVersionMax="47" xr10:uidLastSave="{00000000-0000-0000-0000-000000000000}"/>
  <bookViews>
    <workbookView xWindow="-28898" yWindow="-3908" windowWidth="28996" windowHeight="15795" xr2:uid="{F2BA9C56-361E-4D49-A665-A530FCF06EC8}"/>
  </bookViews>
  <sheets>
    <sheet name="Sheet1" sheetId="1" r:id="rId1"/>
    <sheet name="Divide" sheetId="4" r:id="rId2"/>
    <sheet name="Model Alignment" sheetId="3" r:id="rId3"/>
    <sheet name="PSRAM acces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" i="1" l="1"/>
  <c r="F92" i="1" s="1"/>
  <c r="F87" i="1"/>
  <c r="F82" i="1"/>
  <c r="K39" i="1"/>
  <c r="K40" i="1" s="1"/>
  <c r="L38" i="1"/>
  <c r="L32" i="1"/>
  <c r="L31" i="1"/>
  <c r="O55" i="1"/>
  <c r="K60" i="1"/>
  <c r="K61" i="1" s="1"/>
  <c r="L60" i="1"/>
  <c r="L61" i="1" s="1"/>
  <c r="T11" i="4"/>
  <c r="M10" i="4"/>
  <c r="M11" i="4" s="1"/>
  <c r="L11" i="4" s="1"/>
  <c r="O9" i="4"/>
  <c r="M9" i="4"/>
  <c r="L9" i="4" s="1"/>
  <c r="L7" i="4"/>
  <c r="M7" i="4"/>
  <c r="J5" i="4"/>
  <c r="M5" i="4"/>
  <c r="M4" i="4"/>
  <c r="J4" i="4"/>
  <c r="S30" i="4"/>
  <c r="S29" i="4"/>
  <c r="Q29" i="4"/>
  <c r="P29" i="4"/>
  <c r="E29" i="4"/>
  <c r="D29" i="4"/>
  <c r="C29" i="4"/>
  <c r="B29" i="4"/>
  <c r="M17" i="4"/>
  <c r="M15" i="4"/>
  <c r="M16" i="4"/>
  <c r="M18" i="4"/>
  <c r="M19" i="4"/>
  <c r="M20" i="4"/>
  <c r="M21" i="4"/>
  <c r="M22" i="4"/>
  <c r="M23" i="4"/>
  <c r="M24" i="4"/>
  <c r="M25" i="4"/>
  <c r="M26" i="4"/>
  <c r="M27" i="4"/>
  <c r="M28" i="4"/>
  <c r="C16" i="4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Q16" i="4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P16" i="4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B16" i="4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A5" i="4"/>
  <c r="A4" i="4"/>
  <c r="E5" i="4"/>
  <c r="E7" i="4" s="1"/>
  <c r="D15" i="4" s="1"/>
  <c r="F15" i="4" s="1"/>
  <c r="E4" i="4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M70" i="1"/>
  <c r="N70" i="1"/>
  <c r="N69" i="1"/>
  <c r="M68" i="1"/>
  <c r="N68" i="1"/>
  <c r="N63" i="1"/>
  <c r="M66" i="1"/>
  <c r="N66" i="1"/>
  <c r="N64" i="1"/>
  <c r="I66" i="1"/>
  <c r="I64" i="1"/>
  <c r="L73" i="1"/>
  <c r="K73" i="1"/>
  <c r="J73" i="1"/>
  <c r="H73" i="1"/>
  <c r="L39" i="1" l="1"/>
  <c r="K41" i="1"/>
  <c r="L41" i="1" s="1"/>
  <c r="L40" i="1"/>
  <c r="F29" i="4"/>
  <c r="I15" i="4"/>
  <c r="J15" i="4"/>
  <c r="K15" i="4"/>
  <c r="H15" i="4"/>
  <c r="D7" i="4"/>
  <c r="E9" i="4"/>
  <c r="G9" i="4" s="1"/>
  <c r="K42" i="1" l="1"/>
  <c r="L42" i="1" s="1"/>
  <c r="H29" i="4"/>
  <c r="J29" i="4"/>
  <c r="I29" i="4"/>
  <c r="K29" i="4"/>
  <c r="L15" i="4"/>
  <c r="O15" i="4" s="1"/>
  <c r="D16" i="4" s="1"/>
  <c r="F16" i="4" s="1"/>
  <c r="S16" i="4"/>
  <c r="N15" i="4"/>
  <c r="D9" i="4"/>
  <c r="E10" i="4"/>
  <c r="E11" i="4" s="1"/>
  <c r="D11" i="4" s="1"/>
  <c r="B6" i="3"/>
  <c r="C20" i="3"/>
  <c r="C23" i="3"/>
  <c r="C16" i="3"/>
  <c r="C15" i="3"/>
  <c r="C14" i="3"/>
  <c r="C17" i="3"/>
  <c r="C18" i="3"/>
  <c r="C19" i="3"/>
  <c r="C21" i="3"/>
  <c r="C22" i="3"/>
  <c r="E67" i="1"/>
  <c r="F70" i="1"/>
  <c r="E68" i="1"/>
  <c r="D68" i="1"/>
  <c r="E59" i="1"/>
  <c r="E58" i="1"/>
  <c r="D59" i="1"/>
  <c r="D58" i="1"/>
  <c r="E57" i="1"/>
  <c r="E56" i="1"/>
  <c r="E55" i="1"/>
  <c r="E54" i="1"/>
  <c r="E62" i="1"/>
  <c r="H59" i="1"/>
  <c r="H57" i="1"/>
  <c r="H55" i="1"/>
  <c r="H54" i="1"/>
  <c r="M44" i="1"/>
  <c r="M45" i="1"/>
  <c r="K55" i="1"/>
  <c r="K54" i="1"/>
  <c r="J37" i="1"/>
  <c r="H49" i="1"/>
  <c r="H45" i="1"/>
  <c r="E50" i="1"/>
  <c r="E49" i="1"/>
  <c r="E45" i="1"/>
  <c r="E37" i="1"/>
  <c r="E36" i="1"/>
  <c r="D36" i="1"/>
  <c r="M16" i="1"/>
  <c r="N15" i="1"/>
  <c r="M15" i="1"/>
  <c r="J15" i="1"/>
  <c r="J14" i="1"/>
  <c r="M9" i="1"/>
  <c r="G4" i="1"/>
  <c r="H9" i="1" s="1"/>
  <c r="C16" i="1"/>
  <c r="C15" i="1"/>
  <c r="C14" i="1"/>
  <c r="C13" i="1"/>
  <c r="D13" i="1" s="1"/>
  <c r="C10" i="1"/>
  <c r="C9" i="1"/>
  <c r="C8" i="1"/>
  <c r="C7" i="1"/>
  <c r="C6" i="1"/>
  <c r="L29" i="4" l="1"/>
  <c r="O29" i="4" s="1"/>
  <c r="N29" i="4"/>
  <c r="M29" i="4"/>
  <c r="J16" i="4"/>
  <c r="I16" i="4"/>
  <c r="K16" i="4"/>
  <c r="H16" i="4"/>
  <c r="H50" i="1"/>
  <c r="H5" i="1"/>
  <c r="H6" i="1"/>
  <c r="H7" i="1"/>
  <c r="H8" i="1"/>
  <c r="D14" i="1"/>
  <c r="D15" i="1"/>
  <c r="D16" i="1"/>
  <c r="D10" i="1"/>
  <c r="D6" i="1"/>
  <c r="D7" i="1"/>
  <c r="D8" i="1"/>
  <c r="D9" i="1"/>
  <c r="L16" i="4" l="1"/>
  <c r="O16" i="4" s="1"/>
  <c r="D17" i="4" s="1"/>
  <c r="F17" i="4" s="1"/>
  <c r="N16" i="4"/>
  <c r="S17" i="4"/>
  <c r="J17" i="4" l="1"/>
  <c r="I17" i="4"/>
  <c r="H17" i="4"/>
  <c r="K17" i="4"/>
  <c r="N17" i="4" l="1"/>
  <c r="L17" i="4"/>
  <c r="O17" i="4" s="1"/>
  <c r="D18" i="4" s="1"/>
  <c r="F18" i="4" s="1"/>
  <c r="S18" i="4"/>
  <c r="H18" i="4" l="1"/>
  <c r="K18" i="4"/>
  <c r="J18" i="4"/>
  <c r="I18" i="4"/>
  <c r="S19" i="4" l="1"/>
  <c r="L18" i="4"/>
  <c r="O18" i="4" s="1"/>
  <c r="D19" i="4" s="1"/>
  <c r="F19" i="4" s="1"/>
  <c r="N18" i="4"/>
  <c r="H19" i="4" l="1"/>
  <c r="J19" i="4"/>
  <c r="I19" i="4"/>
  <c r="K19" i="4"/>
  <c r="L19" i="4" l="1"/>
  <c r="O19" i="4" s="1"/>
  <c r="D20" i="4" s="1"/>
  <c r="F20" i="4" s="1"/>
  <c r="S20" i="4"/>
  <c r="N19" i="4"/>
  <c r="H20" i="4" l="1"/>
  <c r="K20" i="4"/>
  <c r="I20" i="4"/>
  <c r="J20" i="4"/>
  <c r="L20" i="4" l="1"/>
  <c r="O20" i="4" s="1"/>
  <c r="D21" i="4" s="1"/>
  <c r="F21" i="4" s="1"/>
  <c r="N20" i="4"/>
  <c r="S21" i="4"/>
  <c r="H21" i="4" l="1"/>
  <c r="J21" i="4"/>
  <c r="K21" i="4"/>
  <c r="I21" i="4"/>
  <c r="S22" i="4" l="1"/>
  <c r="N21" i="4"/>
  <c r="L21" i="4"/>
  <c r="O21" i="4" s="1"/>
  <c r="D22" i="4" s="1"/>
  <c r="F22" i="4" s="1"/>
  <c r="H22" i="4" l="1"/>
  <c r="J22" i="4"/>
  <c r="K22" i="4"/>
  <c r="I22" i="4"/>
  <c r="N22" i="4" l="1"/>
  <c r="S23" i="4"/>
  <c r="L22" i="4"/>
  <c r="O22" i="4" s="1"/>
  <c r="D23" i="4" s="1"/>
  <c r="F23" i="4" s="1"/>
  <c r="H23" i="4" l="1"/>
  <c r="J23" i="4"/>
  <c r="I23" i="4"/>
  <c r="K23" i="4"/>
  <c r="S24" i="4" l="1"/>
  <c r="N23" i="4"/>
  <c r="L23" i="4"/>
  <c r="O23" i="4" s="1"/>
  <c r="D24" i="4" s="1"/>
  <c r="F24" i="4" s="1"/>
  <c r="H24" i="4" l="1"/>
  <c r="J24" i="4"/>
  <c r="K24" i="4"/>
  <c r="I24" i="4"/>
  <c r="N24" i="4" l="1"/>
  <c r="S25" i="4"/>
  <c r="L24" i="4"/>
  <c r="O24" i="4" s="1"/>
  <c r="D25" i="4" s="1"/>
  <c r="F25" i="4" s="1"/>
  <c r="H25" i="4" l="1"/>
  <c r="K25" i="4"/>
  <c r="I25" i="4"/>
  <c r="J25" i="4"/>
  <c r="S26" i="4" l="1"/>
  <c r="L25" i="4"/>
  <c r="O25" i="4" s="1"/>
  <c r="D26" i="4" s="1"/>
  <c r="F26" i="4" s="1"/>
  <c r="N25" i="4"/>
  <c r="K26" i="4" l="1"/>
  <c r="H26" i="4"/>
  <c r="I26" i="4"/>
  <c r="J26" i="4"/>
  <c r="N26" i="4" s="1"/>
  <c r="L26" i="4" l="1"/>
  <c r="O26" i="4" s="1"/>
  <c r="D27" i="4" s="1"/>
  <c r="F27" i="4" s="1"/>
  <c r="S27" i="4"/>
  <c r="K27" i="4" l="1"/>
  <c r="J27" i="4"/>
  <c r="I27" i="4"/>
  <c r="H27" i="4"/>
  <c r="N27" i="4" l="1"/>
  <c r="S28" i="4"/>
  <c r="L27" i="4"/>
  <c r="O27" i="4" s="1"/>
  <c r="D28" i="4" s="1"/>
  <c r="F28" i="4" s="1"/>
  <c r="K28" i="4" l="1"/>
  <c r="H28" i="4"/>
  <c r="I28" i="4"/>
  <c r="J28" i="4"/>
  <c r="L28" i="4" l="1"/>
  <c r="O28" i="4" s="1"/>
  <c r="N28" i="4"/>
</calcChain>
</file>

<file path=xl/sharedStrings.xml><?xml version="1.0" encoding="utf-8"?>
<sst xmlns="http://schemas.openxmlformats.org/spreadsheetml/2006/main" count="255" uniqueCount="149">
  <si>
    <t>Driving</t>
  </si>
  <si>
    <t>Fet</t>
  </si>
  <si>
    <t>Sense</t>
  </si>
  <si>
    <t>Coil</t>
  </si>
  <si>
    <t>Cable</t>
  </si>
  <si>
    <t>Igniter</t>
  </si>
  <si>
    <t>Ohms</t>
  </si>
  <si>
    <t>Current</t>
  </si>
  <si>
    <t>Amps</t>
  </si>
  <si>
    <t>Power</t>
  </si>
  <si>
    <t>Ratio</t>
  </si>
  <si>
    <t>Coasting</t>
  </si>
  <si>
    <t>Diode(v)</t>
  </si>
  <si>
    <t>mhz vin</t>
  </si>
  <si>
    <t>M div</t>
  </si>
  <si>
    <t>mhz vco</t>
  </si>
  <si>
    <t>co</t>
  </si>
  <si>
    <t>c1</t>
  </si>
  <si>
    <t>c2</t>
  </si>
  <si>
    <t>c3</t>
  </si>
  <si>
    <t>c4</t>
  </si>
  <si>
    <t>main clock</t>
  </si>
  <si>
    <t>ext differtial clock</t>
  </si>
  <si>
    <t>4x for SPI clock</t>
  </si>
  <si>
    <t>VGA video clock</t>
  </si>
  <si>
    <t>5x VGA clock</t>
  </si>
  <si>
    <t>CS</t>
  </si>
  <si>
    <t>CS#</t>
  </si>
  <si>
    <t>DQ</t>
  </si>
  <si>
    <t>9F</t>
  </si>
  <si>
    <t>CLK</t>
  </si>
  <si>
    <t>DOE</t>
  </si>
  <si>
    <t>RWDS_OE</t>
  </si>
  <si>
    <t>Phase</t>
  </si>
  <si>
    <t>CMD</t>
  </si>
  <si>
    <t>A0</t>
  </si>
  <si>
    <t>A1</t>
  </si>
  <si>
    <t>L1</t>
  </si>
  <si>
    <t>L2</t>
  </si>
  <si>
    <t>L3</t>
  </si>
  <si>
    <t>L4</t>
  </si>
  <si>
    <t>L5</t>
  </si>
  <si>
    <t>L6</t>
  </si>
  <si>
    <t>L7</t>
  </si>
  <si>
    <t>D0</t>
  </si>
  <si>
    <t>D1</t>
  </si>
  <si>
    <t>Read ID</t>
  </si>
  <si>
    <t>Write Enable</t>
  </si>
  <si>
    <t>06</t>
  </si>
  <si>
    <t>RWDS</t>
  </si>
  <si>
    <t>WR CR0</t>
  </si>
  <si>
    <t>LE</t>
  </si>
  <si>
    <t>R0</t>
  </si>
  <si>
    <t>R1</t>
  </si>
  <si>
    <t>lat=7</t>
  </si>
  <si>
    <t>W0</t>
  </si>
  <si>
    <t>4FEF</t>
  </si>
  <si>
    <t>lat=3</t>
  </si>
  <si>
    <t>RD</t>
  </si>
  <si>
    <t>EE</t>
  </si>
  <si>
    <t>Ahi</t>
  </si>
  <si>
    <t>Alo</t>
  </si>
  <si>
    <t>R2</t>
  </si>
  <si>
    <t>R3</t>
  </si>
  <si>
    <t>D2</t>
  </si>
  <si>
    <t>D3</t>
  </si>
  <si>
    <t>WR</t>
  </si>
  <si>
    <t xml:space="preserve"> </t>
  </si>
  <si>
    <t>DE</t>
  </si>
  <si>
    <t>D4</t>
  </si>
  <si>
    <t>D5</t>
  </si>
  <si>
    <t>D6</t>
  </si>
  <si>
    <t>D7</t>
  </si>
  <si>
    <t>D01</t>
  </si>
  <si>
    <t>D23</t>
  </si>
  <si>
    <t>D45</t>
  </si>
  <si>
    <t>D67</t>
  </si>
  <si>
    <t>D89</t>
  </si>
  <si>
    <t>DAB</t>
  </si>
  <si>
    <t>DCD</t>
  </si>
  <si>
    <t>DEF</t>
  </si>
  <si>
    <t>Reset</t>
  </si>
  <si>
    <t>400nsec delay</t>
  </si>
  <si>
    <t>and WR CR0</t>
  </si>
  <si>
    <t>Step</t>
  </si>
  <si>
    <t>V</t>
  </si>
  <si>
    <t>DN</t>
  </si>
  <si>
    <t>V/DN</t>
  </si>
  <si>
    <t>DN/V</t>
  </si>
  <si>
    <t>A</t>
  </si>
  <si>
    <t>A/DN</t>
  </si>
  <si>
    <t>DN/A</t>
  </si>
  <si>
    <t>I_dn</t>
  </si>
  <si>
    <t>I Amps</t>
  </si>
  <si>
    <t>V dn</t>
  </si>
  <si>
    <t>V Volts</t>
  </si>
  <si>
    <t>dV</t>
  </si>
  <si>
    <t>dI Amps = dv * k &gt;&gt; 30</t>
  </si>
  <si>
    <t>I Acc Amps</t>
  </si>
  <si>
    <t xml:space="preserve">K </t>
  </si>
  <si>
    <t>K&gt;&gt;30</t>
  </si>
  <si>
    <t>Decimal pt</t>
  </si>
  <si>
    <t>voltage DN</t>
  </si>
  <si>
    <t>iAcc * 41</t>
  </si>
  <si>
    <t>ohm</t>
  </si>
  <si>
    <t>nf</t>
  </si>
  <si>
    <t>pf</t>
  </si>
  <si>
    <t>nSec</t>
  </si>
  <si>
    <t>380K</t>
  </si>
  <si>
    <t>uF</t>
  </si>
  <si>
    <t>mJ</t>
  </si>
  <si>
    <t>019</t>
  </si>
  <si>
    <t>01A2</t>
  </si>
  <si>
    <t>Divide</t>
  </si>
  <si>
    <t>I</t>
  </si>
  <si>
    <t>Cycle</t>
  </si>
  <si>
    <t>Numerr</t>
  </si>
  <si>
    <t>Denom</t>
  </si>
  <si>
    <t>Rem0</t>
  </si>
  <si>
    <t>Rem1</t>
  </si>
  <si>
    <t>Rem2</t>
  </si>
  <si>
    <t>Rem3</t>
  </si>
  <si>
    <t>N_msb14</t>
  </si>
  <si>
    <t>Q2</t>
  </si>
  <si>
    <t>Rem</t>
  </si>
  <si>
    <t>Qotient</t>
  </si>
  <si>
    <t>2'bQ2</t>
  </si>
  <si>
    <t>Qpos</t>
  </si>
  <si>
    <t>a</t>
  </si>
  <si>
    <t>shift</t>
  </si>
  <si>
    <t>expect R=2.5 ohm</t>
  </si>
  <si>
    <t>rem calc</t>
  </si>
  <si>
    <t>1001_1101_0101</t>
  </si>
  <si>
    <t>1_0011_1010_1010</t>
  </si>
  <si>
    <t>9D5</t>
  </si>
  <si>
    <t>13AA</t>
  </si>
  <si>
    <t>0273</t>
  </si>
  <si>
    <t>1c1</t>
  </si>
  <si>
    <t>expect R=30 ohm</t>
  </si>
  <si>
    <t>3ad</t>
  </si>
  <si>
    <t>phm</t>
  </si>
  <si>
    <t>ns</t>
  </si>
  <si>
    <t>Mhz</t>
  </si>
  <si>
    <t>Energy</t>
  </si>
  <si>
    <t>nJ</t>
  </si>
  <si>
    <t>uH</t>
  </si>
  <si>
    <t>Bit shift</t>
  </si>
  <si>
    <t>bit shift</t>
  </si>
  <si>
    <t>Bit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</si>
</sst>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5" fontId="0" fillId="0" borderId="0" xfId="1" applyNumberFormat="1" applyFont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quotePrefix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3813-4D6C-4688-8A35-BD7C3FDD40C7}">
  <dimension ref="A2:O92"/>
  <sheetViews>
    <sheetView tabSelected="1" topLeftCell="A61" workbookViewId="0">
      <selection activeCell="F81" sqref="F81"/>
    </sheetView>
  </sheetViews>
  <sheetFormatPr defaultRowHeight="15" x14ac:dyDescent="0.25"/>
  <cols>
    <col min="4" max="4" width="10.5703125" bestFit="1" customWidth="1"/>
    <col min="6" max="6" width="12" bestFit="1" customWidth="1"/>
    <col min="8" max="8" width="25" bestFit="1" customWidth="1"/>
    <col min="11" max="11" width="25" bestFit="1" customWidth="1"/>
    <col min="12" max="12" width="12" bestFit="1" customWidth="1"/>
    <col min="13" max="13" width="15.28515625" bestFit="1" customWidth="1"/>
  </cols>
  <sheetData>
    <row r="2" spans="1:14" x14ac:dyDescent="0.25">
      <c r="A2" t="s">
        <v>7</v>
      </c>
      <c r="B2" t="s">
        <v>8</v>
      </c>
      <c r="C2">
        <v>30</v>
      </c>
      <c r="G2">
        <v>48</v>
      </c>
      <c r="H2" t="s">
        <v>13</v>
      </c>
    </row>
    <row r="3" spans="1:14" x14ac:dyDescent="0.25">
      <c r="G3">
        <v>24</v>
      </c>
      <c r="H3" t="s">
        <v>14</v>
      </c>
    </row>
    <row r="4" spans="1:14" x14ac:dyDescent="0.25">
      <c r="G4">
        <f>G2*G3</f>
        <v>1152</v>
      </c>
      <c r="H4" t="s">
        <v>15</v>
      </c>
    </row>
    <row r="5" spans="1:14" x14ac:dyDescent="0.25">
      <c r="A5" t="s">
        <v>0</v>
      </c>
      <c r="B5" t="s">
        <v>6</v>
      </c>
      <c r="C5" t="s">
        <v>9</v>
      </c>
      <c r="D5" t="s">
        <v>10</v>
      </c>
      <c r="F5" t="s">
        <v>16</v>
      </c>
      <c r="G5">
        <v>6</v>
      </c>
      <c r="H5">
        <f>$G$4/G5</f>
        <v>192</v>
      </c>
      <c r="I5" t="s">
        <v>22</v>
      </c>
    </row>
    <row r="6" spans="1:14" x14ac:dyDescent="0.25">
      <c r="A6" t="s">
        <v>1</v>
      </c>
      <c r="B6">
        <v>0.14499999999999999</v>
      </c>
      <c r="C6">
        <f>$C$2*$C$2*B6</f>
        <v>130.5</v>
      </c>
      <c r="D6" s="1">
        <f>C6/SUM($C$6:$C$10)%</f>
        <v>5.2403324900614381</v>
      </c>
      <c r="F6" t="s">
        <v>17</v>
      </c>
      <c r="G6">
        <v>24</v>
      </c>
      <c r="H6">
        <f>$G$4/G6</f>
        <v>48</v>
      </c>
      <c r="I6" t="s">
        <v>21</v>
      </c>
      <c r="M6">
        <v>60</v>
      </c>
    </row>
    <row r="7" spans="1:14" x14ac:dyDescent="0.25">
      <c r="A7" t="s">
        <v>2</v>
      </c>
      <c r="B7">
        <v>0.05</v>
      </c>
      <c r="C7">
        <f>$C$2*$C$2*B7</f>
        <v>45</v>
      </c>
      <c r="D7" s="1">
        <f>C7/SUM($C$6:$C$10)%</f>
        <v>1.8070112034694614</v>
      </c>
      <c r="F7" t="s">
        <v>18</v>
      </c>
      <c r="G7">
        <v>6</v>
      </c>
      <c r="H7">
        <f>$G$4/G7</f>
        <v>192</v>
      </c>
      <c r="I7" t="s">
        <v>23</v>
      </c>
      <c r="M7">
        <v>525</v>
      </c>
    </row>
    <row r="8" spans="1:14" x14ac:dyDescent="0.25">
      <c r="A8" t="s">
        <v>3</v>
      </c>
      <c r="B8">
        <v>7.1999999999999995E-2</v>
      </c>
      <c r="C8">
        <f>$C$2*$C$2*B8</f>
        <v>64.8</v>
      </c>
      <c r="D8" s="1">
        <f>C8/SUM($C$6:$C$10)%</f>
        <v>2.6020961329960244</v>
      </c>
      <c r="F8" t="s">
        <v>19</v>
      </c>
      <c r="G8">
        <v>45</v>
      </c>
      <c r="H8">
        <f>$G$4/G8</f>
        <v>25.6</v>
      </c>
      <c r="I8" t="s">
        <v>24</v>
      </c>
      <c r="M8">
        <v>800</v>
      </c>
    </row>
    <row r="9" spans="1:14" x14ac:dyDescent="0.25">
      <c r="A9" t="s">
        <v>4</v>
      </c>
      <c r="B9">
        <v>0.5</v>
      </c>
      <c r="C9">
        <f>$C$2*$C$2*B9</f>
        <v>450</v>
      </c>
      <c r="D9" s="1">
        <f>C9/SUM($C$6:$C$10)%</f>
        <v>18.070112034694613</v>
      </c>
      <c r="F9" t="s">
        <v>20</v>
      </c>
      <c r="G9">
        <v>9</v>
      </c>
      <c r="H9">
        <f>$G$4/G9</f>
        <v>128</v>
      </c>
      <c r="I9" t="s">
        <v>25</v>
      </c>
      <c r="M9" s="3">
        <f>M8*M7*M6</f>
        <v>25200000</v>
      </c>
    </row>
    <row r="10" spans="1:14" x14ac:dyDescent="0.25">
      <c r="A10" t="s">
        <v>5</v>
      </c>
      <c r="B10">
        <v>2</v>
      </c>
      <c r="C10">
        <f>$C$2*$C$2*B10</f>
        <v>1800</v>
      </c>
      <c r="D10" s="2">
        <f>C10/SUM($C$6:$C$10)%</f>
        <v>72.280448138778453</v>
      </c>
    </row>
    <row r="12" spans="1:14" x14ac:dyDescent="0.25">
      <c r="A12" t="s">
        <v>11</v>
      </c>
    </row>
    <row r="13" spans="1:14" x14ac:dyDescent="0.25">
      <c r="A13" t="s">
        <v>3</v>
      </c>
      <c r="B13">
        <v>7.1999999999999995E-2</v>
      </c>
      <c r="C13">
        <f>$C$2*$C$2*B13</f>
        <v>64.8</v>
      </c>
      <c r="D13" s="1">
        <f>C13/SUM($C$13:$C$16)%</f>
        <v>2.7582684203805385</v>
      </c>
      <c r="M13">
        <v>480</v>
      </c>
    </row>
    <row r="14" spans="1:14" x14ac:dyDescent="0.25">
      <c r="A14" t="s">
        <v>4</v>
      </c>
      <c r="B14">
        <v>0.5</v>
      </c>
      <c r="C14">
        <f>$C$2*$C$2*B14</f>
        <v>450</v>
      </c>
      <c r="D14" s="1">
        <f>C14/SUM($C$13:$C$16)%</f>
        <v>19.154641808198186</v>
      </c>
      <c r="J14">
        <f>480/8</f>
        <v>60</v>
      </c>
      <c r="M14">
        <v>256</v>
      </c>
    </row>
    <row r="15" spans="1:14" x14ac:dyDescent="0.25">
      <c r="A15" t="s">
        <v>5</v>
      </c>
      <c r="B15">
        <v>2</v>
      </c>
      <c r="C15">
        <f>$C$2*$C$2*B15</f>
        <v>1800</v>
      </c>
      <c r="D15" s="2">
        <f>C15/SUM($C$13:$C$16)%</f>
        <v>76.618567232792742</v>
      </c>
      <c r="J15">
        <f>640/6</f>
        <v>106.66666666666667</v>
      </c>
      <c r="M15">
        <f>M13-M14</f>
        <v>224</v>
      </c>
      <c r="N15" t="str">
        <f>DEC2BIN(M15)</f>
        <v>11100000</v>
      </c>
    </row>
    <row r="16" spans="1:14" x14ac:dyDescent="0.25">
      <c r="A16" t="s">
        <v>12</v>
      </c>
      <c r="B16">
        <v>1.1499999999999999</v>
      </c>
      <c r="C16">
        <f>B16*C2</f>
        <v>34.5</v>
      </c>
      <c r="D16" s="1">
        <f>C16/SUM($C$13:$C$16)%</f>
        <v>1.4685225386285274</v>
      </c>
      <c r="M16">
        <f>224/32</f>
        <v>7</v>
      </c>
    </row>
    <row r="30" spans="11:12" x14ac:dyDescent="0.25">
      <c r="L30" t="s">
        <v>143</v>
      </c>
    </row>
    <row r="31" spans="11:12" x14ac:dyDescent="0.25">
      <c r="K31">
        <v>0</v>
      </c>
      <c r="L31">
        <f>POWER(2,K31)*0.2005/(205*3000000)*100</f>
        <v>3.2601626016260164E-8</v>
      </c>
    </row>
    <row r="32" spans="11:12" x14ac:dyDescent="0.25">
      <c r="K32">
        <v>40</v>
      </c>
      <c r="L32">
        <f t="shared" ref="L32" si="0">POWER(2,K32)*0.2005/(205*3000000)*100</f>
        <v>35845.866889282603</v>
      </c>
    </row>
    <row r="33" spans="2:13" x14ac:dyDescent="0.25">
      <c r="D33">
        <v>800</v>
      </c>
      <c r="E33">
        <v>840</v>
      </c>
    </row>
    <row r="34" spans="2:13" x14ac:dyDescent="0.25">
      <c r="D34">
        <v>480</v>
      </c>
      <c r="E34">
        <v>660</v>
      </c>
    </row>
    <row r="35" spans="2:13" x14ac:dyDescent="0.25">
      <c r="D35">
        <v>60</v>
      </c>
      <c r="E35">
        <v>60</v>
      </c>
    </row>
    <row r="36" spans="2:13" x14ac:dyDescent="0.25">
      <c r="D36">
        <f>D35*D34*D33/1000000</f>
        <v>23.04</v>
      </c>
      <c r="E36">
        <f>E35*E34*E33/1000000</f>
        <v>33.264000000000003</v>
      </c>
    </row>
    <row r="37" spans="2:13" x14ac:dyDescent="0.25">
      <c r="E37">
        <f>E36*5</f>
        <v>166.32000000000002</v>
      </c>
      <c r="J37">
        <f>25.4*0.75</f>
        <v>19.049999999999997</v>
      </c>
    </row>
    <row r="38" spans="2:13" x14ac:dyDescent="0.25">
      <c r="K38">
        <v>15</v>
      </c>
      <c r="L38">
        <f>POWER(2,K38)*200.5/205/3</f>
        <v>10682.900813008129</v>
      </c>
      <c r="M38" t="s">
        <v>144</v>
      </c>
    </row>
    <row r="39" spans="2:13" x14ac:dyDescent="0.25">
      <c r="K39">
        <f>K38+1</f>
        <v>16</v>
      </c>
      <c r="L39">
        <f t="shared" ref="L39:L42" si="1">POWER(2,K39)*200.5/205/3</f>
        <v>21365.801626016259</v>
      </c>
    </row>
    <row r="40" spans="2:13" x14ac:dyDescent="0.25">
      <c r="K40">
        <f t="shared" ref="K40:K42" si="2">K39+1</f>
        <v>17</v>
      </c>
      <c r="L40">
        <f t="shared" si="1"/>
        <v>42731.603252032517</v>
      </c>
    </row>
    <row r="41" spans="2:13" x14ac:dyDescent="0.25">
      <c r="K41">
        <f t="shared" si="2"/>
        <v>18</v>
      </c>
      <c r="L41">
        <f t="shared" si="1"/>
        <v>85463.206504065034</v>
      </c>
    </row>
    <row r="42" spans="2:13" x14ac:dyDescent="0.25">
      <c r="B42" t="s">
        <v>84</v>
      </c>
      <c r="D42">
        <v>800</v>
      </c>
      <c r="G42">
        <v>800</v>
      </c>
      <c r="K42">
        <f t="shared" si="2"/>
        <v>19</v>
      </c>
      <c r="L42">
        <f t="shared" si="1"/>
        <v>170926.41300813007</v>
      </c>
    </row>
    <row r="43" spans="2:13" x14ac:dyDescent="0.25">
      <c r="D43">
        <v>40</v>
      </c>
      <c r="G43">
        <v>88</v>
      </c>
    </row>
    <row r="44" spans="2:13" x14ac:dyDescent="0.25">
      <c r="D44">
        <v>48</v>
      </c>
      <c r="G44">
        <v>128</v>
      </c>
      <c r="M44">
        <f>390*48</f>
        <v>18720</v>
      </c>
    </row>
    <row r="45" spans="2:13" x14ac:dyDescent="0.25">
      <c r="D45">
        <v>40</v>
      </c>
      <c r="E45">
        <f>SUM(D42:D45)</f>
        <v>928</v>
      </c>
      <c r="G45">
        <v>40</v>
      </c>
      <c r="H45">
        <f>SUM(G42:G45)</f>
        <v>1056</v>
      </c>
      <c r="M45">
        <f>1/M44*POWER(2,30)</f>
        <v>57358.003418803419</v>
      </c>
    </row>
    <row r="46" spans="2:13" x14ac:dyDescent="0.25">
      <c r="D46">
        <v>480</v>
      </c>
      <c r="G46">
        <v>480</v>
      </c>
    </row>
    <row r="47" spans="2:13" x14ac:dyDescent="0.25">
      <c r="D47">
        <v>13</v>
      </c>
      <c r="G47">
        <v>33</v>
      </c>
      <c r="M47">
        <v>57358</v>
      </c>
    </row>
    <row r="48" spans="2:13" x14ac:dyDescent="0.25">
      <c r="D48">
        <v>3</v>
      </c>
      <c r="G48">
        <v>2</v>
      </c>
    </row>
    <row r="49" spans="4:15" x14ac:dyDescent="0.25">
      <c r="D49">
        <v>29</v>
      </c>
      <c r="E49">
        <f>SUM(D46:D49)</f>
        <v>525</v>
      </c>
      <c r="G49">
        <v>10</v>
      </c>
      <c r="H49">
        <f>SUM(G46:G49)</f>
        <v>525</v>
      </c>
    </row>
    <row r="50" spans="4:15" x14ac:dyDescent="0.25">
      <c r="E50">
        <f>E49*E45*60</f>
        <v>29232000</v>
      </c>
      <c r="H50">
        <f>H49*H45*60</f>
        <v>33264000</v>
      </c>
    </row>
    <row r="51" spans="4:15" x14ac:dyDescent="0.25">
      <c r="H51">
        <v>1</v>
      </c>
      <c r="I51" t="s">
        <v>89</v>
      </c>
      <c r="K51">
        <v>401</v>
      </c>
      <c r="L51" t="s">
        <v>85</v>
      </c>
    </row>
    <row r="52" spans="4:15" x14ac:dyDescent="0.25">
      <c r="H52">
        <v>205</v>
      </c>
      <c r="I52" t="s">
        <v>86</v>
      </c>
      <c r="K52">
        <v>2000</v>
      </c>
      <c r="L52" t="s">
        <v>86</v>
      </c>
    </row>
    <row r="54" spans="4:15" x14ac:dyDescent="0.25">
      <c r="D54">
        <v>5</v>
      </c>
      <c r="E54">
        <f t="shared" ref="E54:E59" si="3">LOG(D54,2)</f>
        <v>2.3219280948873622</v>
      </c>
      <c r="H54" s="9">
        <f>H51/H52</f>
        <v>4.8780487804878049E-3</v>
      </c>
      <c r="I54" t="s">
        <v>90</v>
      </c>
      <c r="K54">
        <f>K51/K52</f>
        <v>0.20050000000000001</v>
      </c>
      <c r="L54" t="s">
        <v>87</v>
      </c>
    </row>
    <row r="55" spans="4:15" x14ac:dyDescent="0.25">
      <c r="D55">
        <v>200</v>
      </c>
      <c r="E55">
        <f t="shared" si="3"/>
        <v>7.6438561897747244</v>
      </c>
      <c r="H55" s="11">
        <f>H52/H51</f>
        <v>205</v>
      </c>
      <c r="I55" t="s">
        <v>91</v>
      </c>
      <c r="K55" s="10">
        <f>K52/K51</f>
        <v>4.9875311720698257</v>
      </c>
      <c r="L55" t="s">
        <v>88</v>
      </c>
      <c r="O55">
        <f>189/9</f>
        <v>21</v>
      </c>
    </row>
    <row r="56" spans="4:15" x14ac:dyDescent="0.25">
      <c r="D56">
        <v>4.9874999999999998</v>
      </c>
      <c r="E56">
        <f t="shared" si="3"/>
        <v>2.3183168413349837</v>
      </c>
    </row>
    <row r="57" spans="4:15" x14ac:dyDescent="0.25">
      <c r="D57">
        <v>205</v>
      </c>
      <c r="E57">
        <f t="shared" si="3"/>
        <v>7.6794800995054464</v>
      </c>
      <c r="H57">
        <f>H55*K54</f>
        <v>41.102499999999999</v>
      </c>
    </row>
    <row r="58" spans="4:15" x14ac:dyDescent="0.25">
      <c r="D58">
        <f>D55/D54</f>
        <v>40</v>
      </c>
      <c r="E58">
        <f t="shared" si="3"/>
        <v>5.3219280948873626</v>
      </c>
      <c r="H58">
        <v>1024</v>
      </c>
      <c r="K58">
        <v>10000</v>
      </c>
      <c r="L58">
        <v>10</v>
      </c>
      <c r="M58" t="s">
        <v>140</v>
      </c>
    </row>
    <row r="59" spans="4:15" x14ac:dyDescent="0.25">
      <c r="D59">
        <f>D57/D56</f>
        <v>41.10275689223058</v>
      </c>
      <c r="E59">
        <f t="shared" si="3"/>
        <v>5.3611632581704631</v>
      </c>
      <c r="H59" s="1">
        <f>H57*H58</f>
        <v>42088.959999999999</v>
      </c>
      <c r="K59">
        <v>0.01</v>
      </c>
      <c r="L59">
        <v>10</v>
      </c>
      <c r="M59" t="s">
        <v>105</v>
      </c>
    </row>
    <row r="60" spans="4:15" x14ac:dyDescent="0.25">
      <c r="K60">
        <f>K59*K58</f>
        <v>100</v>
      </c>
      <c r="L60">
        <f>L59*L58</f>
        <v>100</v>
      </c>
      <c r="M60" t="s">
        <v>141</v>
      </c>
    </row>
    <row r="61" spans="4:15" x14ac:dyDescent="0.25">
      <c r="K61">
        <f>1/(2*PI()*K60*0.001)</f>
        <v>1.5915494309189535</v>
      </c>
      <c r="L61">
        <f>1/(2*PI()*L60*0.001)</f>
        <v>1.5915494309189535</v>
      </c>
      <c r="M61" t="s">
        <v>142</v>
      </c>
    </row>
    <row r="62" spans="4:15" x14ac:dyDescent="0.25">
      <c r="E62">
        <f>384/16</f>
        <v>24</v>
      </c>
    </row>
    <row r="63" spans="4:15" x14ac:dyDescent="0.25">
      <c r="I63">
        <v>0.5</v>
      </c>
      <c r="M63" s="4" t="s">
        <v>112</v>
      </c>
      <c r="N63">
        <f>HEX2DEC(M63)</f>
        <v>418</v>
      </c>
    </row>
    <row r="64" spans="4:15" x14ac:dyDescent="0.25">
      <c r="D64" t="s">
        <v>7</v>
      </c>
      <c r="I64">
        <f>33</f>
        <v>33</v>
      </c>
      <c r="J64" t="s">
        <v>109</v>
      </c>
      <c r="M64" s="4" t="s">
        <v>111</v>
      </c>
      <c r="N64">
        <f>HEX2DEC(M64)</f>
        <v>25</v>
      </c>
    </row>
    <row r="65" spans="4:14" x14ac:dyDescent="0.25">
      <c r="I65">
        <v>30</v>
      </c>
      <c r="J65" t="s">
        <v>85</v>
      </c>
      <c r="N65">
        <v>42089</v>
      </c>
    </row>
    <row r="66" spans="4:14" x14ac:dyDescent="0.25">
      <c r="I66">
        <f>I63*I64*0.000001*I65*I65*1000</f>
        <v>14.849999999999996</v>
      </c>
      <c r="J66" t="s">
        <v>110</v>
      </c>
      <c r="M66" t="str">
        <f>DEC2HEX(N66)</f>
        <v>100E41</v>
      </c>
      <c r="N66">
        <f>N65*N64</f>
        <v>1052225</v>
      </c>
    </row>
    <row r="67" spans="4:14" x14ac:dyDescent="0.25">
      <c r="D67">
        <v>42089</v>
      </c>
      <c r="E67">
        <f>LOG(D67,2)</f>
        <v>15.361155612388803</v>
      </c>
    </row>
    <row r="68" spans="4:14" x14ac:dyDescent="0.25">
      <c r="D68">
        <f>D67/1024</f>
        <v>41.1025390625</v>
      </c>
      <c r="E68">
        <f>LOG(D68,2)</f>
        <v>5.3611556123888038</v>
      </c>
      <c r="M68" t="str">
        <f>DEC2HEX(N68)</f>
        <v>9D5</v>
      </c>
      <c r="N68">
        <f>INT(N66/N63)</f>
        <v>2517</v>
      </c>
    </row>
    <row r="69" spans="4:14" x14ac:dyDescent="0.25">
      <c r="N69">
        <f>N68*N63</f>
        <v>1052106</v>
      </c>
    </row>
    <row r="70" spans="4:14" x14ac:dyDescent="0.25">
      <c r="F70">
        <f>36-19</f>
        <v>17</v>
      </c>
      <c r="H70" t="s">
        <v>108</v>
      </c>
      <c r="M70" t="str">
        <f>DEC2HEX(N70)</f>
        <v>77</v>
      </c>
      <c r="N70">
        <f>N66-N69</f>
        <v>119</v>
      </c>
    </row>
    <row r="71" spans="4:14" x14ac:dyDescent="0.25">
      <c r="H71">
        <v>37.5</v>
      </c>
      <c r="I71" t="s">
        <v>104</v>
      </c>
      <c r="J71">
        <v>100</v>
      </c>
      <c r="K71">
        <v>22</v>
      </c>
      <c r="L71">
        <v>68</v>
      </c>
    </row>
    <row r="72" spans="4:14" x14ac:dyDescent="0.25">
      <c r="H72">
        <v>3900</v>
      </c>
      <c r="I72" t="s">
        <v>106</v>
      </c>
      <c r="J72">
        <v>470</v>
      </c>
      <c r="K72">
        <v>2200</v>
      </c>
      <c r="L72">
        <v>2200</v>
      </c>
    </row>
    <row r="73" spans="4:14" x14ac:dyDescent="0.25">
      <c r="H73">
        <f>H71*H72*0.001</f>
        <v>146.25</v>
      </c>
      <c r="I73" t="s">
        <v>107</v>
      </c>
      <c r="J73">
        <f>J71*J72*0.001</f>
        <v>47</v>
      </c>
      <c r="K73">
        <f>K71*K72*0.001</f>
        <v>48.4</v>
      </c>
      <c r="L73">
        <f>L71*L72*0.001</f>
        <v>149.6</v>
      </c>
    </row>
    <row r="79" spans="4:14" x14ac:dyDescent="0.25">
      <c r="E79" t="s">
        <v>142</v>
      </c>
      <c r="F79">
        <v>48</v>
      </c>
    </row>
    <row r="80" spans="4:14" x14ac:dyDescent="0.25">
      <c r="E80" t="s">
        <v>145</v>
      </c>
      <c r="F80">
        <v>390</v>
      </c>
    </row>
    <row r="81" spans="5:9" x14ac:dyDescent="0.25">
      <c r="E81" t="s">
        <v>146</v>
      </c>
      <c r="F81">
        <v>30</v>
      </c>
    </row>
    <row r="82" spans="5:9" x14ac:dyDescent="0.25">
      <c r="F82">
        <f>POWER(2,F81)/(F79*F80)</f>
        <v>57358.003418803419</v>
      </c>
    </row>
    <row r="84" spans="5:9" x14ac:dyDescent="0.25">
      <c r="E84" t="s">
        <v>87</v>
      </c>
      <c r="F84">
        <v>0.20050000000000001</v>
      </c>
    </row>
    <row r="85" spans="5:9" x14ac:dyDescent="0.25">
      <c r="E85" t="s">
        <v>91</v>
      </c>
      <c r="F85">
        <v>205</v>
      </c>
    </row>
    <row r="86" spans="5:9" x14ac:dyDescent="0.25">
      <c r="E86" t="s">
        <v>147</v>
      </c>
      <c r="F86">
        <v>10</v>
      </c>
    </row>
    <row r="87" spans="5:9" x14ac:dyDescent="0.25">
      <c r="F87">
        <f>POWER(2,F86)*F85*F84</f>
        <v>42088.959999999999</v>
      </c>
    </row>
    <row r="90" spans="5:9" x14ac:dyDescent="0.25">
      <c r="E90" t="s">
        <v>148</v>
      </c>
      <c r="F90">
        <v>24</v>
      </c>
    </row>
    <row r="91" spans="5:9" x14ac:dyDescent="0.25">
      <c r="F91">
        <f>POWER(2,F90)*F85*F84/(F79*F80)</f>
        <v>36836.833367521365</v>
      </c>
      <c r="G91">
        <v>36837</v>
      </c>
      <c r="H91">
        <v>37806</v>
      </c>
      <c r="I91">
        <v>35915</v>
      </c>
    </row>
    <row r="92" spans="5:9" x14ac:dyDescent="0.25">
      <c r="F92">
        <f>LOG(F91,2)</f>
        <v>15.168861426827512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1D90-BC16-4F66-B43D-A0ECD3016448}">
  <dimension ref="A1:T32"/>
  <sheetViews>
    <sheetView workbookViewId="0">
      <selection activeCell="U12" sqref="U12"/>
    </sheetView>
  </sheetViews>
  <sheetFormatPr defaultRowHeight="15" x14ac:dyDescent="0.25"/>
  <cols>
    <col min="1" max="1" width="5.5703125" customWidth="1"/>
    <col min="4" max="4" width="17.140625" customWidth="1"/>
    <col min="7" max="7" width="6" customWidth="1"/>
    <col min="10" max="10" width="12" bestFit="1" customWidth="1"/>
    <col min="13" max="13" width="13" customWidth="1"/>
    <col min="15" max="15" width="17.85546875" customWidth="1"/>
  </cols>
  <sheetData>
    <row r="1" spans="1:20" x14ac:dyDescent="0.25">
      <c r="A1" t="s">
        <v>113</v>
      </c>
    </row>
    <row r="4" spans="1:20" x14ac:dyDescent="0.25">
      <c r="A4">
        <f>2* 209</f>
        <v>418</v>
      </c>
      <c r="B4" t="s">
        <v>114</v>
      </c>
      <c r="D4" s="26" t="s">
        <v>112</v>
      </c>
      <c r="E4">
        <f>HEX2DEC(D4)</f>
        <v>418</v>
      </c>
      <c r="J4">
        <f>3* 209</f>
        <v>627</v>
      </c>
      <c r="L4" s="26" t="s">
        <v>136</v>
      </c>
      <c r="M4">
        <f>HEX2DEC(L4)</f>
        <v>627</v>
      </c>
    </row>
    <row r="5" spans="1:20" x14ac:dyDescent="0.25">
      <c r="A5">
        <f>5/0.2005</f>
        <v>24.937655860349125</v>
      </c>
      <c r="B5" t="s">
        <v>85</v>
      </c>
      <c r="D5" s="26" t="s">
        <v>111</v>
      </c>
      <c r="E5">
        <f>HEX2DEC(D5)</f>
        <v>25</v>
      </c>
      <c r="J5">
        <f>90/0.2005</f>
        <v>448.87780548628427</v>
      </c>
      <c r="L5" s="26" t="s">
        <v>137</v>
      </c>
      <c r="M5">
        <f>HEX2DEC(L5)</f>
        <v>449</v>
      </c>
    </row>
    <row r="6" spans="1:20" x14ac:dyDescent="0.25">
      <c r="A6" t="s">
        <v>130</v>
      </c>
      <c r="E6">
        <v>42089</v>
      </c>
      <c r="J6" t="s">
        <v>138</v>
      </c>
      <c r="M6">
        <v>42089</v>
      </c>
    </row>
    <row r="7" spans="1:20" x14ac:dyDescent="0.25">
      <c r="D7" t="str">
        <f>DEC2HEX(E7)</f>
        <v>100E41</v>
      </c>
      <c r="E7">
        <f>E6*E5</f>
        <v>1052225</v>
      </c>
      <c r="L7" t="str">
        <f>DEC2HEX(M7)</f>
        <v>1205C29</v>
      </c>
      <c r="M7">
        <f>M6*M5</f>
        <v>18897961</v>
      </c>
    </row>
    <row r="9" spans="1:20" x14ac:dyDescent="0.25">
      <c r="D9" t="str">
        <f>DEC2HEX(E9)</f>
        <v>9D5</v>
      </c>
      <c r="E9">
        <f>INT(E7/E4)</f>
        <v>2517</v>
      </c>
      <c r="G9">
        <f>E9/1024</f>
        <v>2.4580078125</v>
      </c>
      <c r="L9" t="str">
        <f>DEC2HEX(M9)</f>
        <v>75BC</v>
      </c>
      <c r="M9">
        <f>INT(M7/M4)</f>
        <v>30140</v>
      </c>
      <c r="O9">
        <f>M9/1024</f>
        <v>29.43359375</v>
      </c>
    </row>
    <row r="10" spans="1:20" x14ac:dyDescent="0.25">
      <c r="E10">
        <f>E9*E4</f>
        <v>1052106</v>
      </c>
      <c r="M10">
        <f>M9*M4</f>
        <v>18897780</v>
      </c>
    </row>
    <row r="11" spans="1:20" x14ac:dyDescent="0.25">
      <c r="D11" t="str">
        <f>DEC2HEX(E11)</f>
        <v>77</v>
      </c>
      <c r="E11">
        <f>E7-E10</f>
        <v>119</v>
      </c>
      <c r="L11" t="str">
        <f>DEC2HEX(M11)</f>
        <v>B5</v>
      </c>
      <c r="M11">
        <f>M7-M10</f>
        <v>181</v>
      </c>
      <c r="S11" s="4" t="s">
        <v>139</v>
      </c>
      <c r="T11">
        <f>HEX2DEC(S11)/32</f>
        <v>29.40625</v>
      </c>
    </row>
    <row r="14" spans="1:20" x14ac:dyDescent="0.25">
      <c r="B14" t="s">
        <v>115</v>
      </c>
      <c r="C14" t="s">
        <v>129</v>
      </c>
      <c r="D14" t="s">
        <v>116</v>
      </c>
      <c r="E14" t="s">
        <v>117</v>
      </c>
      <c r="F14" t="s">
        <v>122</v>
      </c>
      <c r="H14" t="s">
        <v>118</v>
      </c>
      <c r="I14" t="s">
        <v>119</v>
      </c>
      <c r="J14" t="s">
        <v>120</v>
      </c>
      <c r="K14" t="s">
        <v>121</v>
      </c>
      <c r="L14" t="s">
        <v>123</v>
      </c>
      <c r="M14" t="s">
        <v>126</v>
      </c>
      <c r="N14" t="s">
        <v>124</v>
      </c>
      <c r="O14" t="s">
        <v>131</v>
      </c>
      <c r="P14" t="s">
        <v>127</v>
      </c>
      <c r="S14" t="s">
        <v>125</v>
      </c>
    </row>
    <row r="15" spans="1:20" x14ac:dyDescent="0.25">
      <c r="B15">
        <v>0</v>
      </c>
      <c r="C15">
        <v>25</v>
      </c>
      <c r="D15">
        <f>E7</f>
        <v>1052225</v>
      </c>
      <c r="E15">
        <f>E4</f>
        <v>418</v>
      </c>
      <c r="F15">
        <f t="shared" ref="F15:F29" si="0">INT(D15/POWER(2,25))</f>
        <v>0</v>
      </c>
      <c r="H15">
        <f t="shared" ref="H15:H29" si="1">F15-0*E15</f>
        <v>0</v>
      </c>
      <c r="I15">
        <f t="shared" ref="I15:I29" si="2">F15-E15</f>
        <v>-418</v>
      </c>
      <c r="J15">
        <f t="shared" ref="J15:J29" si="3">F15-2*E15</f>
        <v>-836</v>
      </c>
      <c r="K15">
        <f t="shared" ref="K15:K29" si="4">F15-3*E15</f>
        <v>-1254</v>
      </c>
      <c r="L15">
        <f t="shared" ref="L15:L29" si="5">IF(K15&lt;0,IF(J15&lt;0, IF(I15&lt;0,0,1),2),3)</f>
        <v>0</v>
      </c>
      <c r="M15" t="str">
        <f t="shared" ref="M15:M29" si="6">IF(K15&lt;0,IF(J15&lt;0, IF(I15&lt;0,"00 ","01 "),"10 "),"11 ")</f>
        <v xml:space="preserve">00 </v>
      </c>
      <c r="N15">
        <f t="shared" ref="N15:N29" si="7">IF(K15&lt;0,IF(J15&lt;0,IF(I15&lt;0,H15,I15),J15),K15)</f>
        <v>0</v>
      </c>
      <c r="O15">
        <f t="shared" ref="O15:O29" si="8">D15-L15*E15*POWER(2,25)</f>
        <v>1052225</v>
      </c>
      <c r="P15">
        <v>26</v>
      </c>
      <c r="Q15">
        <v>25</v>
      </c>
    </row>
    <row r="16" spans="1:20" x14ac:dyDescent="0.25">
      <c r="B16">
        <f>B15+1</f>
        <v>1</v>
      </c>
      <c r="C16">
        <f>C15-2</f>
        <v>23</v>
      </c>
      <c r="D16">
        <f t="shared" ref="D16:D29" si="9">O15*4</f>
        <v>4208900</v>
      </c>
      <c r="E16">
        <f t="shared" ref="E16:E29" si="10">E15</f>
        <v>418</v>
      </c>
      <c r="F16">
        <f t="shared" si="0"/>
        <v>0</v>
      </c>
      <c r="H16">
        <f t="shared" si="1"/>
        <v>0</v>
      </c>
      <c r="I16">
        <f t="shared" si="2"/>
        <v>-418</v>
      </c>
      <c r="J16">
        <f t="shared" si="3"/>
        <v>-836</v>
      </c>
      <c r="K16">
        <f t="shared" si="4"/>
        <v>-1254</v>
      </c>
      <c r="L16">
        <f t="shared" si="5"/>
        <v>0</v>
      </c>
      <c r="M16" t="str">
        <f t="shared" si="6"/>
        <v xml:space="preserve">00 </v>
      </c>
      <c r="N16">
        <f t="shared" si="7"/>
        <v>0</v>
      </c>
      <c r="O16">
        <f t="shared" si="8"/>
        <v>4208900</v>
      </c>
      <c r="P16">
        <f>P15-2</f>
        <v>24</v>
      </c>
      <c r="Q16">
        <f>Q15-2</f>
        <v>23</v>
      </c>
      <c r="S16" t="str">
        <f t="shared" ref="S16:S30" si="11">CONCATENATE(S15,M15)</f>
        <v xml:space="preserve">00 </v>
      </c>
    </row>
    <row r="17" spans="2:19" x14ac:dyDescent="0.25">
      <c r="B17">
        <f t="shared" ref="B17:B28" si="12">B16+1</f>
        <v>2</v>
      </c>
      <c r="C17">
        <f t="shared" ref="C17:C28" si="13">C16-2</f>
        <v>21</v>
      </c>
      <c r="D17">
        <f t="shared" si="9"/>
        <v>16835600</v>
      </c>
      <c r="E17">
        <f t="shared" si="10"/>
        <v>418</v>
      </c>
      <c r="F17">
        <f t="shared" si="0"/>
        <v>0</v>
      </c>
      <c r="H17">
        <f t="shared" si="1"/>
        <v>0</v>
      </c>
      <c r="I17">
        <f t="shared" si="2"/>
        <v>-418</v>
      </c>
      <c r="J17">
        <f t="shared" si="3"/>
        <v>-836</v>
      </c>
      <c r="K17">
        <f t="shared" si="4"/>
        <v>-1254</v>
      </c>
      <c r="L17">
        <f t="shared" si="5"/>
        <v>0</v>
      </c>
      <c r="M17" t="str">
        <f t="shared" si="6"/>
        <v xml:space="preserve">00 </v>
      </c>
      <c r="N17">
        <f t="shared" si="7"/>
        <v>0</v>
      </c>
      <c r="O17">
        <f t="shared" si="8"/>
        <v>16835600</v>
      </c>
      <c r="P17">
        <f t="shared" ref="P17:P28" si="14">P16-2</f>
        <v>22</v>
      </c>
      <c r="Q17">
        <f t="shared" ref="Q17:Q28" si="15">Q16-2</f>
        <v>21</v>
      </c>
      <c r="S17" t="str">
        <f t="shared" si="11"/>
        <v xml:space="preserve">00 00 </v>
      </c>
    </row>
    <row r="18" spans="2:19" x14ac:dyDescent="0.25">
      <c r="B18">
        <f t="shared" si="12"/>
        <v>3</v>
      </c>
      <c r="C18">
        <f t="shared" si="13"/>
        <v>19</v>
      </c>
      <c r="D18">
        <f t="shared" si="9"/>
        <v>67342400</v>
      </c>
      <c r="E18">
        <f t="shared" si="10"/>
        <v>418</v>
      </c>
      <c r="F18">
        <f t="shared" si="0"/>
        <v>2</v>
      </c>
      <c r="H18">
        <f t="shared" si="1"/>
        <v>2</v>
      </c>
      <c r="I18">
        <f t="shared" si="2"/>
        <v>-416</v>
      </c>
      <c r="J18">
        <f t="shared" si="3"/>
        <v>-834</v>
      </c>
      <c r="K18">
        <f t="shared" si="4"/>
        <v>-1252</v>
      </c>
      <c r="L18">
        <f t="shared" si="5"/>
        <v>0</v>
      </c>
      <c r="M18" t="str">
        <f t="shared" si="6"/>
        <v xml:space="preserve">00 </v>
      </c>
      <c r="N18">
        <f t="shared" si="7"/>
        <v>2</v>
      </c>
      <c r="O18">
        <f t="shared" si="8"/>
        <v>67342400</v>
      </c>
      <c r="P18">
        <f t="shared" si="14"/>
        <v>20</v>
      </c>
      <c r="Q18">
        <f t="shared" si="15"/>
        <v>19</v>
      </c>
      <c r="S18" t="str">
        <f t="shared" si="11"/>
        <v xml:space="preserve">00 00 00 </v>
      </c>
    </row>
    <row r="19" spans="2:19" x14ac:dyDescent="0.25">
      <c r="B19">
        <f t="shared" si="12"/>
        <v>4</v>
      </c>
      <c r="C19">
        <f t="shared" si="13"/>
        <v>17</v>
      </c>
      <c r="D19">
        <f t="shared" si="9"/>
        <v>269369600</v>
      </c>
      <c r="E19">
        <f t="shared" si="10"/>
        <v>418</v>
      </c>
      <c r="F19">
        <f t="shared" si="0"/>
        <v>8</v>
      </c>
      <c r="H19">
        <f t="shared" si="1"/>
        <v>8</v>
      </c>
      <c r="I19">
        <f t="shared" si="2"/>
        <v>-410</v>
      </c>
      <c r="J19">
        <f t="shared" si="3"/>
        <v>-828</v>
      </c>
      <c r="K19">
        <f t="shared" si="4"/>
        <v>-1246</v>
      </c>
      <c r="L19">
        <f t="shared" si="5"/>
        <v>0</v>
      </c>
      <c r="M19" t="str">
        <f t="shared" si="6"/>
        <v xml:space="preserve">00 </v>
      </c>
      <c r="N19">
        <f t="shared" si="7"/>
        <v>8</v>
      </c>
      <c r="O19">
        <f t="shared" si="8"/>
        <v>269369600</v>
      </c>
      <c r="P19">
        <f t="shared" si="14"/>
        <v>18</v>
      </c>
      <c r="Q19">
        <f t="shared" si="15"/>
        <v>17</v>
      </c>
      <c r="S19" t="str">
        <f t="shared" si="11"/>
        <v xml:space="preserve">00 00 00 00 </v>
      </c>
    </row>
    <row r="20" spans="2:19" x14ac:dyDescent="0.25">
      <c r="B20">
        <f t="shared" si="12"/>
        <v>5</v>
      </c>
      <c r="C20">
        <f t="shared" si="13"/>
        <v>15</v>
      </c>
      <c r="D20">
        <f t="shared" si="9"/>
        <v>1077478400</v>
      </c>
      <c r="E20">
        <f t="shared" si="10"/>
        <v>418</v>
      </c>
      <c r="F20">
        <f t="shared" si="0"/>
        <v>32</v>
      </c>
      <c r="H20">
        <f t="shared" si="1"/>
        <v>32</v>
      </c>
      <c r="I20">
        <f t="shared" si="2"/>
        <v>-386</v>
      </c>
      <c r="J20">
        <f t="shared" si="3"/>
        <v>-804</v>
      </c>
      <c r="K20">
        <f t="shared" si="4"/>
        <v>-1222</v>
      </c>
      <c r="L20">
        <f t="shared" si="5"/>
        <v>0</v>
      </c>
      <c r="M20" t="str">
        <f t="shared" si="6"/>
        <v xml:space="preserve">00 </v>
      </c>
      <c r="N20">
        <f t="shared" si="7"/>
        <v>32</v>
      </c>
      <c r="O20">
        <f t="shared" si="8"/>
        <v>1077478400</v>
      </c>
      <c r="P20">
        <f t="shared" si="14"/>
        <v>16</v>
      </c>
      <c r="Q20">
        <f t="shared" si="15"/>
        <v>15</v>
      </c>
      <c r="S20" t="str">
        <f t="shared" si="11"/>
        <v xml:space="preserve">00 00 00 00 00 </v>
      </c>
    </row>
    <row r="21" spans="2:19" x14ac:dyDescent="0.25">
      <c r="B21">
        <f t="shared" si="12"/>
        <v>6</v>
      </c>
      <c r="C21">
        <f t="shared" si="13"/>
        <v>13</v>
      </c>
      <c r="D21">
        <f t="shared" si="9"/>
        <v>4309913600</v>
      </c>
      <c r="E21">
        <f t="shared" si="10"/>
        <v>418</v>
      </c>
      <c r="F21">
        <f t="shared" si="0"/>
        <v>128</v>
      </c>
      <c r="H21">
        <f t="shared" si="1"/>
        <v>128</v>
      </c>
      <c r="I21">
        <f t="shared" si="2"/>
        <v>-290</v>
      </c>
      <c r="J21">
        <f t="shared" si="3"/>
        <v>-708</v>
      </c>
      <c r="K21">
        <f t="shared" si="4"/>
        <v>-1126</v>
      </c>
      <c r="L21">
        <f t="shared" si="5"/>
        <v>0</v>
      </c>
      <c r="M21" t="str">
        <f t="shared" si="6"/>
        <v xml:space="preserve">00 </v>
      </c>
      <c r="N21">
        <f t="shared" si="7"/>
        <v>128</v>
      </c>
      <c r="O21">
        <f t="shared" si="8"/>
        <v>4309913600</v>
      </c>
      <c r="P21">
        <f t="shared" si="14"/>
        <v>14</v>
      </c>
      <c r="Q21">
        <f t="shared" si="15"/>
        <v>13</v>
      </c>
      <c r="R21" t="s">
        <v>128</v>
      </c>
      <c r="S21" t="str">
        <f t="shared" si="11"/>
        <v xml:space="preserve">00 00 00 00 00 00 </v>
      </c>
    </row>
    <row r="22" spans="2:19" x14ac:dyDescent="0.25">
      <c r="B22">
        <f t="shared" si="12"/>
        <v>7</v>
      </c>
      <c r="C22">
        <f t="shared" si="13"/>
        <v>11</v>
      </c>
      <c r="D22">
        <f t="shared" si="9"/>
        <v>17239654400</v>
      </c>
      <c r="E22">
        <f t="shared" si="10"/>
        <v>418</v>
      </c>
      <c r="F22">
        <f t="shared" si="0"/>
        <v>513</v>
      </c>
      <c r="H22">
        <f t="shared" si="1"/>
        <v>513</v>
      </c>
      <c r="I22">
        <f t="shared" si="2"/>
        <v>95</v>
      </c>
      <c r="J22">
        <f t="shared" si="3"/>
        <v>-323</v>
      </c>
      <c r="K22">
        <f t="shared" si="4"/>
        <v>-741</v>
      </c>
      <c r="L22">
        <f t="shared" si="5"/>
        <v>1</v>
      </c>
      <c r="M22" t="str">
        <f t="shared" si="6"/>
        <v xml:space="preserve">01 </v>
      </c>
      <c r="N22">
        <f t="shared" si="7"/>
        <v>95</v>
      </c>
      <c r="O22">
        <f t="shared" si="8"/>
        <v>3213901824</v>
      </c>
      <c r="P22">
        <f t="shared" si="14"/>
        <v>12</v>
      </c>
      <c r="Q22">
        <f t="shared" si="15"/>
        <v>11</v>
      </c>
      <c r="S22" t="str">
        <f t="shared" si="11"/>
        <v xml:space="preserve">00 00 00 00 00 00 00 </v>
      </c>
    </row>
    <row r="23" spans="2:19" x14ac:dyDescent="0.25">
      <c r="B23">
        <f t="shared" si="12"/>
        <v>8</v>
      </c>
      <c r="C23">
        <f t="shared" si="13"/>
        <v>9</v>
      </c>
      <c r="D23">
        <f t="shared" si="9"/>
        <v>12855607296</v>
      </c>
      <c r="E23">
        <f t="shared" si="10"/>
        <v>418</v>
      </c>
      <c r="F23">
        <f t="shared" si="0"/>
        <v>383</v>
      </c>
      <c r="H23">
        <f t="shared" si="1"/>
        <v>383</v>
      </c>
      <c r="I23">
        <f t="shared" si="2"/>
        <v>-35</v>
      </c>
      <c r="J23">
        <f t="shared" si="3"/>
        <v>-453</v>
      </c>
      <c r="K23">
        <f t="shared" si="4"/>
        <v>-871</v>
      </c>
      <c r="L23">
        <f t="shared" si="5"/>
        <v>0</v>
      </c>
      <c r="M23" t="str">
        <f t="shared" si="6"/>
        <v xml:space="preserve">00 </v>
      </c>
      <c r="N23">
        <f t="shared" si="7"/>
        <v>383</v>
      </c>
      <c r="O23">
        <f t="shared" si="8"/>
        <v>12855607296</v>
      </c>
      <c r="P23">
        <f t="shared" si="14"/>
        <v>10</v>
      </c>
      <c r="Q23">
        <f t="shared" si="15"/>
        <v>9</v>
      </c>
      <c r="S23" t="str">
        <f t="shared" si="11"/>
        <v xml:space="preserve">00 00 00 00 00 00 00 01 </v>
      </c>
    </row>
    <row r="24" spans="2:19" x14ac:dyDescent="0.25">
      <c r="B24">
        <f t="shared" si="12"/>
        <v>9</v>
      </c>
      <c r="C24">
        <f t="shared" si="13"/>
        <v>7</v>
      </c>
      <c r="D24">
        <f t="shared" si="9"/>
        <v>51422429184</v>
      </c>
      <c r="E24">
        <f t="shared" si="10"/>
        <v>418</v>
      </c>
      <c r="F24">
        <f t="shared" si="0"/>
        <v>1532</v>
      </c>
      <c r="H24">
        <f t="shared" si="1"/>
        <v>1532</v>
      </c>
      <c r="I24">
        <f t="shared" si="2"/>
        <v>1114</v>
      </c>
      <c r="J24">
        <f t="shared" si="3"/>
        <v>696</v>
      </c>
      <c r="K24">
        <f t="shared" si="4"/>
        <v>278</v>
      </c>
      <c r="L24">
        <f t="shared" si="5"/>
        <v>3</v>
      </c>
      <c r="M24" t="str">
        <f t="shared" si="6"/>
        <v xml:space="preserve">11 </v>
      </c>
      <c r="N24">
        <f t="shared" si="7"/>
        <v>278</v>
      </c>
      <c r="O24">
        <f t="shared" si="8"/>
        <v>9345171456</v>
      </c>
      <c r="P24">
        <f t="shared" si="14"/>
        <v>8</v>
      </c>
      <c r="Q24">
        <f t="shared" si="15"/>
        <v>7</v>
      </c>
      <c r="S24" t="str">
        <f t="shared" si="11"/>
        <v xml:space="preserve">00 00 00 00 00 00 00 01 00 </v>
      </c>
    </row>
    <row r="25" spans="2:19" x14ac:dyDescent="0.25">
      <c r="B25">
        <f t="shared" si="12"/>
        <v>10</v>
      </c>
      <c r="C25">
        <f t="shared" si="13"/>
        <v>5</v>
      </c>
      <c r="D25">
        <f t="shared" si="9"/>
        <v>37380685824</v>
      </c>
      <c r="E25">
        <f t="shared" si="10"/>
        <v>418</v>
      </c>
      <c r="F25">
        <f t="shared" si="0"/>
        <v>1114</v>
      </c>
      <c r="H25">
        <f t="shared" si="1"/>
        <v>1114</v>
      </c>
      <c r="I25">
        <f t="shared" si="2"/>
        <v>696</v>
      </c>
      <c r="J25">
        <f t="shared" si="3"/>
        <v>278</v>
      </c>
      <c r="K25">
        <f t="shared" si="4"/>
        <v>-140</v>
      </c>
      <c r="L25">
        <f t="shared" si="5"/>
        <v>2</v>
      </c>
      <c r="M25" t="str">
        <f t="shared" si="6"/>
        <v xml:space="preserve">10 </v>
      </c>
      <c r="N25">
        <f t="shared" si="7"/>
        <v>278</v>
      </c>
      <c r="O25">
        <f t="shared" si="8"/>
        <v>9329180672</v>
      </c>
      <c r="P25">
        <f t="shared" si="14"/>
        <v>6</v>
      </c>
      <c r="Q25">
        <f t="shared" si="15"/>
        <v>5</v>
      </c>
      <c r="S25" t="str">
        <f t="shared" si="11"/>
        <v xml:space="preserve">00 00 00 00 00 00 00 01 00 11 </v>
      </c>
    </row>
    <row r="26" spans="2:19" x14ac:dyDescent="0.25">
      <c r="B26">
        <f t="shared" si="12"/>
        <v>11</v>
      </c>
      <c r="C26">
        <f t="shared" si="13"/>
        <v>3</v>
      </c>
      <c r="D26">
        <f t="shared" si="9"/>
        <v>37316722688</v>
      </c>
      <c r="E26">
        <f t="shared" si="10"/>
        <v>418</v>
      </c>
      <c r="F26">
        <f t="shared" si="0"/>
        <v>1112</v>
      </c>
      <c r="H26">
        <f t="shared" si="1"/>
        <v>1112</v>
      </c>
      <c r="I26">
        <f t="shared" si="2"/>
        <v>694</v>
      </c>
      <c r="J26">
        <f t="shared" si="3"/>
        <v>276</v>
      </c>
      <c r="K26">
        <f t="shared" si="4"/>
        <v>-142</v>
      </c>
      <c r="L26">
        <f t="shared" si="5"/>
        <v>2</v>
      </c>
      <c r="M26" t="str">
        <f t="shared" si="6"/>
        <v xml:space="preserve">10 </v>
      </c>
      <c r="N26">
        <f t="shared" si="7"/>
        <v>276</v>
      </c>
      <c r="O26">
        <f t="shared" si="8"/>
        <v>9265217536</v>
      </c>
      <c r="P26">
        <f t="shared" si="14"/>
        <v>4</v>
      </c>
      <c r="Q26">
        <f t="shared" si="15"/>
        <v>3</v>
      </c>
      <c r="S26" t="str">
        <f t="shared" si="11"/>
        <v xml:space="preserve">00 00 00 00 00 00 00 01 00 11 10 </v>
      </c>
    </row>
    <row r="27" spans="2:19" x14ac:dyDescent="0.25">
      <c r="B27">
        <f t="shared" si="12"/>
        <v>12</v>
      </c>
      <c r="C27">
        <f t="shared" si="13"/>
        <v>1</v>
      </c>
      <c r="D27">
        <f t="shared" si="9"/>
        <v>37060870144</v>
      </c>
      <c r="E27">
        <f t="shared" si="10"/>
        <v>418</v>
      </c>
      <c r="F27">
        <f t="shared" si="0"/>
        <v>1104</v>
      </c>
      <c r="H27">
        <f t="shared" si="1"/>
        <v>1104</v>
      </c>
      <c r="I27">
        <f t="shared" si="2"/>
        <v>686</v>
      </c>
      <c r="J27">
        <f t="shared" si="3"/>
        <v>268</v>
      </c>
      <c r="K27">
        <f t="shared" si="4"/>
        <v>-150</v>
      </c>
      <c r="L27">
        <f t="shared" si="5"/>
        <v>2</v>
      </c>
      <c r="M27" t="str">
        <f t="shared" si="6"/>
        <v xml:space="preserve">10 </v>
      </c>
      <c r="N27">
        <f t="shared" si="7"/>
        <v>268</v>
      </c>
      <c r="O27">
        <f t="shared" si="8"/>
        <v>9009364992</v>
      </c>
      <c r="P27">
        <f t="shared" si="14"/>
        <v>2</v>
      </c>
      <c r="Q27">
        <f t="shared" si="15"/>
        <v>1</v>
      </c>
      <c r="S27" t="str">
        <f t="shared" si="11"/>
        <v xml:space="preserve">00 00 00 00 00 00 00 01 00 11 10 10 </v>
      </c>
    </row>
    <row r="28" spans="2:19" x14ac:dyDescent="0.25">
      <c r="B28">
        <f t="shared" si="12"/>
        <v>13</v>
      </c>
      <c r="C28">
        <f t="shared" si="13"/>
        <v>-1</v>
      </c>
      <c r="D28">
        <f t="shared" si="9"/>
        <v>36037459968</v>
      </c>
      <c r="E28">
        <f t="shared" si="10"/>
        <v>418</v>
      </c>
      <c r="F28">
        <f t="shared" si="0"/>
        <v>1074</v>
      </c>
      <c r="H28">
        <f t="shared" si="1"/>
        <v>1074</v>
      </c>
      <c r="I28">
        <f t="shared" si="2"/>
        <v>656</v>
      </c>
      <c r="J28">
        <f t="shared" si="3"/>
        <v>238</v>
      </c>
      <c r="K28">
        <f t="shared" si="4"/>
        <v>-180</v>
      </c>
      <c r="L28">
        <f t="shared" si="5"/>
        <v>2</v>
      </c>
      <c r="M28" t="str">
        <f t="shared" si="6"/>
        <v xml:space="preserve">10 </v>
      </c>
      <c r="N28">
        <f t="shared" si="7"/>
        <v>238</v>
      </c>
      <c r="O28">
        <f t="shared" si="8"/>
        <v>7985954816</v>
      </c>
      <c r="P28">
        <f t="shared" si="14"/>
        <v>0</v>
      </c>
      <c r="Q28">
        <f t="shared" si="15"/>
        <v>-1</v>
      </c>
      <c r="S28" t="str">
        <f t="shared" si="11"/>
        <v xml:space="preserve">00 00 00 00 00 00 00 01 00 11 10 10 10 </v>
      </c>
    </row>
    <row r="29" spans="2:19" x14ac:dyDescent="0.25">
      <c r="B29">
        <f t="shared" ref="B29" si="16">B28+1</f>
        <v>14</v>
      </c>
      <c r="C29">
        <f t="shared" ref="C29" si="17">C28-2</f>
        <v>-3</v>
      </c>
      <c r="D29">
        <f t="shared" si="9"/>
        <v>31943819264</v>
      </c>
      <c r="E29">
        <f t="shared" si="10"/>
        <v>418</v>
      </c>
      <c r="F29">
        <f t="shared" si="0"/>
        <v>952</v>
      </c>
      <c r="H29">
        <f t="shared" si="1"/>
        <v>952</v>
      </c>
      <c r="I29">
        <f t="shared" si="2"/>
        <v>534</v>
      </c>
      <c r="J29">
        <f t="shared" si="3"/>
        <v>116</v>
      </c>
      <c r="K29">
        <f t="shared" si="4"/>
        <v>-302</v>
      </c>
      <c r="L29">
        <f t="shared" si="5"/>
        <v>2</v>
      </c>
      <c r="M29" t="str">
        <f t="shared" si="6"/>
        <v xml:space="preserve">10 </v>
      </c>
      <c r="N29">
        <f t="shared" si="7"/>
        <v>116</v>
      </c>
      <c r="O29">
        <f t="shared" si="8"/>
        <v>3892314112</v>
      </c>
      <c r="P29">
        <f t="shared" ref="P29" si="18">P28-2</f>
        <v>-2</v>
      </c>
      <c r="Q29">
        <f t="shared" ref="Q29" si="19">Q28-2</f>
        <v>-3</v>
      </c>
      <c r="S29" t="str">
        <f t="shared" si="11"/>
        <v xml:space="preserve">00 00 00 00 00 00 00 01 00 11 10 10 10 10 </v>
      </c>
    </row>
    <row r="30" spans="2:19" x14ac:dyDescent="0.25">
      <c r="S30" t="str">
        <f t="shared" si="11"/>
        <v xml:space="preserve">00 00 00 00 00 00 00 01 00 11 10 10 10 10 10 </v>
      </c>
    </row>
    <row r="31" spans="2:19" x14ac:dyDescent="0.25">
      <c r="R31" s="4" t="s">
        <v>134</v>
      </c>
      <c r="S31" s="4" t="s">
        <v>132</v>
      </c>
    </row>
    <row r="32" spans="2:19" x14ac:dyDescent="0.25">
      <c r="R32" s="4" t="s">
        <v>135</v>
      </c>
      <c r="S32" s="4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3588-72A8-4669-A392-4A7F483C1BD4}">
  <dimension ref="B6:BC23"/>
  <sheetViews>
    <sheetView zoomScaleNormal="100" workbookViewId="0">
      <selection activeCell="B33" sqref="B33"/>
    </sheetView>
  </sheetViews>
  <sheetFormatPr defaultRowHeight="15" x14ac:dyDescent="0.25"/>
  <cols>
    <col min="2" max="2" width="33.140625" customWidth="1"/>
    <col min="3" max="3" width="9.42578125" customWidth="1"/>
    <col min="4" max="11" width="4.5703125" style="6" customWidth="1"/>
    <col min="12" max="17" width="3.85546875" customWidth="1"/>
    <col min="18" max="18" width="6.7109375" customWidth="1"/>
    <col min="19" max="21" width="3.85546875" customWidth="1"/>
    <col min="22" max="22" width="6.7109375" customWidth="1"/>
    <col min="23" max="23" width="3.85546875" style="12" customWidth="1"/>
    <col min="24" max="24" width="5.42578125" customWidth="1"/>
    <col min="25" max="25" width="3.85546875" style="15" customWidth="1"/>
    <col min="26" max="26" width="4.42578125" customWidth="1"/>
    <col min="27" max="27" width="5.140625" customWidth="1"/>
    <col min="28" max="32" width="4.42578125" customWidth="1"/>
    <col min="33" max="33" width="7.85546875" customWidth="1"/>
    <col min="34" max="46" width="4.42578125" customWidth="1"/>
    <col min="47" max="47" width="7.28515625" customWidth="1"/>
    <col min="48" max="53" width="4.42578125" customWidth="1"/>
    <col min="54" max="54" width="6.85546875" customWidth="1"/>
    <col min="55" max="55" width="4.42578125" customWidth="1"/>
  </cols>
  <sheetData>
    <row r="6" spans="2:31" x14ac:dyDescent="0.25">
      <c r="B6">
        <f>36-19+1</f>
        <v>18</v>
      </c>
    </row>
    <row r="7" spans="2:31" x14ac:dyDescent="0.25">
      <c r="U7" t="s">
        <v>101</v>
      </c>
      <c r="Z7" t="s">
        <v>102</v>
      </c>
    </row>
    <row r="12" spans="2:31" x14ac:dyDescent="0.25">
      <c r="P12" s="18"/>
      <c r="Q12" s="18"/>
      <c r="R12" s="18"/>
      <c r="S12" s="18"/>
      <c r="T12" s="18"/>
      <c r="U12" s="18"/>
      <c r="V12" s="18"/>
      <c r="W12" s="19"/>
      <c r="X12" s="18"/>
      <c r="Y12" s="20"/>
      <c r="Z12" s="18"/>
      <c r="AA12" s="18"/>
      <c r="AB12" s="18"/>
      <c r="AC12" s="18"/>
    </row>
    <row r="13" spans="2:31" x14ac:dyDescent="0.25">
      <c r="P13" s="18"/>
      <c r="Q13" s="18"/>
      <c r="R13" s="18"/>
      <c r="S13" s="18"/>
      <c r="T13" s="18"/>
      <c r="U13" s="18"/>
      <c r="V13" s="18"/>
      <c r="W13" s="19"/>
      <c r="X13" s="18"/>
      <c r="Y13" s="20"/>
      <c r="Z13" s="18"/>
      <c r="AA13" s="18"/>
      <c r="AB13" s="18"/>
      <c r="AC13" s="18"/>
    </row>
    <row r="14" spans="2:31" x14ac:dyDescent="0.25">
      <c r="B14" t="s">
        <v>92</v>
      </c>
      <c r="C14">
        <f t="shared" ref="C14:C16" si="0">SUM(E14:BF14)</f>
        <v>12</v>
      </c>
      <c r="D14" s="6">
        <v>12</v>
      </c>
      <c r="L14" s="13"/>
      <c r="M14" s="13"/>
      <c r="N14" s="13"/>
      <c r="O14" s="13"/>
      <c r="P14" s="21"/>
      <c r="Q14" s="21"/>
      <c r="R14" s="21">
        <v>12</v>
      </c>
      <c r="S14" s="21"/>
      <c r="T14" s="21"/>
      <c r="U14" s="21"/>
      <c r="V14" s="21"/>
      <c r="W14" s="22"/>
      <c r="X14" s="18"/>
      <c r="Y14" s="20"/>
      <c r="Z14" s="18"/>
      <c r="AA14" s="18"/>
      <c r="AB14" s="18"/>
      <c r="AC14" s="18"/>
    </row>
    <row r="15" spans="2:31" x14ac:dyDescent="0.25">
      <c r="B15" t="s">
        <v>93</v>
      </c>
      <c r="C15">
        <f t="shared" si="0"/>
        <v>12</v>
      </c>
      <c r="D15" s="6">
        <v>12</v>
      </c>
      <c r="P15" s="18"/>
      <c r="Q15" s="18"/>
      <c r="R15" s="18"/>
      <c r="S15" s="18"/>
      <c r="T15" s="21"/>
      <c r="U15" s="21"/>
      <c r="V15" s="21">
        <v>4.3</v>
      </c>
      <c r="W15" s="22"/>
      <c r="X15" s="21">
        <v>2.2999999999999998</v>
      </c>
      <c r="Y15" s="23"/>
      <c r="Z15" s="24"/>
      <c r="AA15" s="25">
        <v>5.4</v>
      </c>
      <c r="AB15" s="21"/>
      <c r="AC15" s="21"/>
      <c r="AD15" s="13"/>
      <c r="AE15" s="13"/>
    </row>
    <row r="16" spans="2:31" x14ac:dyDescent="0.25">
      <c r="B16" t="s">
        <v>94</v>
      </c>
      <c r="C16">
        <f t="shared" si="0"/>
        <v>12</v>
      </c>
      <c r="D16" s="6">
        <v>12</v>
      </c>
      <c r="L16" s="13"/>
      <c r="M16" s="13"/>
      <c r="N16" s="13"/>
      <c r="O16" s="13"/>
      <c r="P16" s="21"/>
      <c r="Q16" s="21"/>
      <c r="R16" s="21">
        <v>12</v>
      </c>
      <c r="S16" s="21"/>
      <c r="T16" s="21"/>
      <c r="U16" s="21"/>
      <c r="V16" s="21"/>
      <c r="W16" s="22"/>
      <c r="X16" s="18"/>
      <c r="Y16" s="20"/>
      <c r="Z16" s="18"/>
      <c r="AA16" s="18"/>
      <c r="AB16" s="18"/>
      <c r="AC16" s="18"/>
    </row>
    <row r="17" spans="2:55" x14ac:dyDescent="0.25">
      <c r="B17" t="s">
        <v>95</v>
      </c>
      <c r="C17">
        <f t="shared" ref="C17:C23" si="1">SUM(E17:BF17)</f>
        <v>12</v>
      </c>
      <c r="D17" s="6">
        <v>12</v>
      </c>
      <c r="N17" s="13"/>
      <c r="O17" s="13"/>
      <c r="P17" s="21"/>
      <c r="Q17" s="21"/>
      <c r="R17" s="21">
        <v>9.6999999999999993</v>
      </c>
      <c r="S17" s="21"/>
      <c r="T17" s="21"/>
      <c r="U17" s="21"/>
      <c r="V17" s="21"/>
      <c r="W17" s="22"/>
      <c r="X17" s="21">
        <v>2.2999999999999998</v>
      </c>
      <c r="Y17" s="23"/>
      <c r="Z17" s="18"/>
      <c r="AA17" s="18"/>
      <c r="AB17" s="18"/>
      <c r="AC17" s="18"/>
    </row>
    <row r="18" spans="2:55" x14ac:dyDescent="0.25">
      <c r="B18" t="s">
        <v>96</v>
      </c>
      <c r="C18">
        <f t="shared" si="1"/>
        <v>13</v>
      </c>
      <c r="D18" s="6">
        <v>13</v>
      </c>
      <c r="M18" s="13"/>
      <c r="N18" s="13"/>
      <c r="O18" s="13"/>
      <c r="P18" s="21"/>
      <c r="Q18" s="21"/>
      <c r="R18" s="21">
        <v>10.7</v>
      </c>
      <c r="S18" s="21"/>
      <c r="T18" s="21"/>
      <c r="U18" s="21"/>
      <c r="V18" s="21"/>
      <c r="W18" s="22"/>
      <c r="X18" s="21">
        <v>2.2999999999999998</v>
      </c>
      <c r="Y18" s="23"/>
      <c r="Z18" s="18"/>
      <c r="AA18" s="18"/>
      <c r="AB18" s="18"/>
      <c r="AC18" s="18"/>
    </row>
    <row r="19" spans="2:55" x14ac:dyDescent="0.25">
      <c r="B19" t="s">
        <v>99</v>
      </c>
      <c r="C19">
        <f t="shared" si="1"/>
        <v>16</v>
      </c>
      <c r="D19" s="6">
        <v>16</v>
      </c>
      <c r="H19" s="8"/>
      <c r="I19" s="8"/>
      <c r="J19" s="8"/>
      <c r="K19" s="8"/>
      <c r="L19" s="13"/>
      <c r="M19" s="13"/>
      <c r="N19" s="13"/>
      <c r="O19" s="13"/>
      <c r="P19" s="13"/>
      <c r="Q19" s="13"/>
      <c r="R19" s="13">
        <v>16</v>
      </c>
      <c r="S19" s="13"/>
      <c r="T19" s="13"/>
      <c r="U19" s="13"/>
      <c r="V19" s="13"/>
      <c r="W19" s="14"/>
    </row>
    <row r="20" spans="2:55" x14ac:dyDescent="0.25">
      <c r="B20" t="s">
        <v>100</v>
      </c>
      <c r="C20">
        <f t="shared" si="1"/>
        <v>30</v>
      </c>
      <c r="X20">
        <v>2.2999999999999998</v>
      </c>
      <c r="AG20">
        <v>11.7</v>
      </c>
      <c r="AL20" s="13"/>
      <c r="AM20" s="13"/>
      <c r="AN20" s="13"/>
      <c r="AO20" s="13"/>
      <c r="AP20" s="13"/>
      <c r="AQ20" s="13"/>
      <c r="AR20" s="13"/>
      <c r="AS20" s="13"/>
      <c r="AT20" s="13"/>
      <c r="AU20" s="13">
        <v>16</v>
      </c>
      <c r="AV20" s="13"/>
      <c r="AW20" s="13"/>
      <c r="AX20" s="13"/>
      <c r="AY20" s="13"/>
      <c r="AZ20" s="13"/>
      <c r="BA20" s="13"/>
    </row>
    <row r="21" spans="2:55" x14ac:dyDescent="0.25">
      <c r="B21" t="s">
        <v>97</v>
      </c>
      <c r="C21">
        <f t="shared" si="1"/>
        <v>30</v>
      </c>
      <c r="D21" s="6">
        <v>30</v>
      </c>
      <c r="P21" s="18"/>
      <c r="Q21" s="18"/>
      <c r="R21" s="18"/>
      <c r="S21" s="18"/>
      <c r="T21" s="18"/>
      <c r="U21" s="18"/>
      <c r="V21" s="18"/>
      <c r="W21" s="19"/>
      <c r="Z21" s="17">
        <v>1</v>
      </c>
      <c r="AA21" s="13"/>
      <c r="AB21" s="13"/>
      <c r="AC21" s="13"/>
      <c r="AD21" s="13"/>
      <c r="AE21" s="13"/>
      <c r="AF21" s="13"/>
      <c r="AG21" s="13">
        <v>10.7</v>
      </c>
      <c r="AH21" s="13"/>
      <c r="AI21" s="13"/>
      <c r="AJ21" s="13"/>
      <c r="AK21" s="13"/>
      <c r="AL21" s="17"/>
      <c r="AM21" s="17"/>
      <c r="AN21" s="17"/>
      <c r="AO21" s="17"/>
      <c r="AP21" s="17"/>
      <c r="AQ21" s="17"/>
      <c r="AR21" s="17"/>
      <c r="AS21" s="17"/>
      <c r="AT21" s="17"/>
      <c r="AU21" s="17">
        <v>16</v>
      </c>
      <c r="AV21" s="17"/>
      <c r="AW21" s="17"/>
      <c r="AX21" s="17"/>
      <c r="AY21" s="17"/>
      <c r="AZ21" s="17"/>
      <c r="BA21" s="17"/>
      <c r="BB21" s="13">
        <v>2.2999999999999998</v>
      </c>
      <c r="BC21" s="13"/>
    </row>
    <row r="22" spans="2:55" x14ac:dyDescent="0.25">
      <c r="B22" t="s">
        <v>98</v>
      </c>
      <c r="C22">
        <f t="shared" si="1"/>
        <v>37</v>
      </c>
      <c r="T22" s="13"/>
      <c r="U22" s="13"/>
      <c r="V22" s="13">
        <v>4.7</v>
      </c>
      <c r="W22" s="14"/>
      <c r="X22" s="13">
        <v>2.2999999999999998</v>
      </c>
      <c r="Y22" s="16"/>
      <c r="Z22" s="13"/>
      <c r="AA22" s="13"/>
      <c r="AB22" s="13"/>
      <c r="AC22" s="13"/>
      <c r="AD22" s="13"/>
      <c r="AE22" s="13"/>
      <c r="AF22" s="13"/>
      <c r="AG22" s="13">
        <v>11.7</v>
      </c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>
        <v>16</v>
      </c>
      <c r="AV22" s="13"/>
      <c r="AW22" s="13"/>
      <c r="AX22" s="13"/>
      <c r="AY22" s="13"/>
      <c r="AZ22" s="13"/>
      <c r="BA22" s="13"/>
      <c r="BB22" s="13">
        <v>2.2999999999999998</v>
      </c>
      <c r="BC22" s="13"/>
    </row>
    <row r="23" spans="2:55" x14ac:dyDescent="0.25">
      <c r="B23" t="s">
        <v>103</v>
      </c>
      <c r="C23">
        <f t="shared" si="1"/>
        <v>12.399999999999999</v>
      </c>
      <c r="N23" s="13"/>
      <c r="O23" s="13"/>
      <c r="P23" s="13"/>
      <c r="Q23" s="13"/>
      <c r="R23" s="13">
        <v>10.1</v>
      </c>
      <c r="S23" s="13"/>
      <c r="T23" s="13"/>
      <c r="U23" s="13"/>
      <c r="V23" s="13"/>
      <c r="W23" s="14"/>
      <c r="X23" s="13">
        <v>2.2999999999999998</v>
      </c>
      <c r="Y23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419C-19F2-4C91-9E0B-49FA11CA5FE1}">
  <dimension ref="A1:AE57"/>
  <sheetViews>
    <sheetView workbookViewId="0">
      <selection activeCell="S25" sqref="S25"/>
    </sheetView>
  </sheetViews>
  <sheetFormatPr defaultRowHeight="15" x14ac:dyDescent="0.25"/>
  <cols>
    <col min="4" max="20" width="4.85546875" style="6" customWidth="1"/>
    <col min="21" max="21" width="4.85546875" customWidth="1"/>
    <col min="22" max="31" width="4.28515625" customWidth="1"/>
  </cols>
  <sheetData>
    <row r="1" spans="1:31" x14ac:dyDescent="0.25">
      <c r="A1" t="s">
        <v>81</v>
      </c>
      <c r="C1" t="s">
        <v>33</v>
      </c>
      <c r="D1" s="6" t="s">
        <v>26</v>
      </c>
      <c r="E1" s="6" t="s">
        <v>34</v>
      </c>
      <c r="F1" s="6" t="s">
        <v>26</v>
      </c>
      <c r="G1" s="6" t="s">
        <v>34</v>
      </c>
      <c r="H1" s="6">
        <v>0</v>
      </c>
      <c r="I1" s="6">
        <v>1</v>
      </c>
      <c r="J1" s="6">
        <v>2</v>
      </c>
      <c r="K1" s="6">
        <v>3</v>
      </c>
      <c r="L1" s="6">
        <v>4</v>
      </c>
      <c r="M1" s="6">
        <v>5</v>
      </c>
      <c r="N1" s="6">
        <v>6</v>
      </c>
      <c r="O1" s="6">
        <v>7</v>
      </c>
      <c r="P1" s="6">
        <v>8</v>
      </c>
      <c r="Q1" s="6">
        <v>9</v>
      </c>
      <c r="R1" s="6">
        <v>10</v>
      </c>
      <c r="S1" s="6">
        <v>11</v>
      </c>
      <c r="T1" s="6">
        <v>12</v>
      </c>
      <c r="U1" s="6">
        <v>13</v>
      </c>
      <c r="V1" s="6">
        <v>14</v>
      </c>
      <c r="W1" s="6">
        <v>15</v>
      </c>
      <c r="X1" s="6">
        <v>16</v>
      </c>
      <c r="Y1" s="6">
        <v>17</v>
      </c>
      <c r="Z1" s="6">
        <v>18</v>
      </c>
      <c r="AA1" s="6">
        <v>19</v>
      </c>
      <c r="AB1" s="6">
        <v>20</v>
      </c>
    </row>
    <row r="2" spans="1:31" x14ac:dyDescent="0.25">
      <c r="C2" t="s">
        <v>30</v>
      </c>
      <c r="D2" s="6">
        <v>0</v>
      </c>
      <c r="E2" s="6">
        <v>1</v>
      </c>
      <c r="F2" s="6">
        <v>0</v>
      </c>
      <c r="G2" s="6">
        <v>1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</row>
    <row r="3" spans="1:31" x14ac:dyDescent="0.25">
      <c r="C3" t="s">
        <v>27</v>
      </c>
      <c r="D3" s="6">
        <v>1</v>
      </c>
      <c r="E3" s="6">
        <v>0</v>
      </c>
      <c r="F3" s="6">
        <v>1</v>
      </c>
      <c r="G3" s="6">
        <v>0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</row>
    <row r="4" spans="1:31" x14ac:dyDescent="0.25">
      <c r="C4" t="s">
        <v>31</v>
      </c>
      <c r="E4" s="6">
        <v>1</v>
      </c>
      <c r="G4" s="6">
        <v>1</v>
      </c>
      <c r="P4" s="6" t="s">
        <v>82</v>
      </c>
    </row>
    <row r="5" spans="1:31" x14ac:dyDescent="0.25">
      <c r="C5" t="s">
        <v>28</v>
      </c>
      <c r="E5" s="7">
        <v>66</v>
      </c>
      <c r="G5" s="7">
        <v>99</v>
      </c>
    </row>
    <row r="6" spans="1:31" x14ac:dyDescent="0.25">
      <c r="C6" t="s">
        <v>51</v>
      </c>
    </row>
    <row r="7" spans="1:31" x14ac:dyDescent="0.25">
      <c r="C7" t="s">
        <v>32</v>
      </c>
    </row>
    <row r="8" spans="1:31" x14ac:dyDescent="0.25">
      <c r="C8" t="s">
        <v>49</v>
      </c>
    </row>
    <row r="11" spans="1:31" x14ac:dyDescent="0.25">
      <c r="A11" t="s">
        <v>46</v>
      </c>
      <c r="C11" t="s">
        <v>33</v>
      </c>
      <c r="D11" s="5" t="s">
        <v>26</v>
      </c>
      <c r="E11" s="5" t="s">
        <v>34</v>
      </c>
      <c r="F11" s="5" t="s">
        <v>35</v>
      </c>
      <c r="G11" s="5" t="s">
        <v>36</v>
      </c>
      <c r="H11" s="5" t="s">
        <v>37</v>
      </c>
      <c r="I11" s="5" t="s">
        <v>38</v>
      </c>
      <c r="J11" s="5" t="s">
        <v>39</v>
      </c>
      <c r="K11" s="5" t="s">
        <v>40</v>
      </c>
      <c r="L11" s="5" t="s">
        <v>41</v>
      </c>
      <c r="M11" s="5" t="s">
        <v>42</v>
      </c>
      <c r="N11" s="5" t="s">
        <v>43</v>
      </c>
      <c r="O11" s="5" t="s">
        <v>37</v>
      </c>
      <c r="P11" s="5" t="s">
        <v>38</v>
      </c>
      <c r="Q11" s="5" t="s">
        <v>39</v>
      </c>
      <c r="R11" s="5" t="s">
        <v>40</v>
      </c>
      <c r="S11" s="5" t="s">
        <v>41</v>
      </c>
      <c r="T11" s="5" t="s">
        <v>42</v>
      </c>
      <c r="U11" s="5" t="s">
        <v>43</v>
      </c>
      <c r="V11" s="5" t="s">
        <v>52</v>
      </c>
      <c r="W11" s="5" t="s">
        <v>53</v>
      </c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A12" t="s">
        <v>54</v>
      </c>
      <c r="C12" t="s">
        <v>30</v>
      </c>
      <c r="D12" s="5">
        <v>0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0</v>
      </c>
      <c r="Y12" s="4"/>
      <c r="Z12" s="4"/>
      <c r="AA12" s="4"/>
      <c r="AB12" s="4"/>
      <c r="AC12" s="4"/>
      <c r="AD12" s="4"/>
      <c r="AE12" s="4"/>
    </row>
    <row r="13" spans="1:31" x14ac:dyDescent="0.25">
      <c r="C13" t="s">
        <v>27</v>
      </c>
      <c r="D13" s="6">
        <v>1</v>
      </c>
      <c r="X13">
        <v>1</v>
      </c>
    </row>
    <row r="14" spans="1:31" x14ac:dyDescent="0.25">
      <c r="C14" t="s">
        <v>31</v>
      </c>
      <c r="E14" s="6">
        <v>1</v>
      </c>
      <c r="F14" s="6">
        <v>1</v>
      </c>
      <c r="G14" s="6">
        <v>1</v>
      </c>
    </row>
    <row r="15" spans="1:31" x14ac:dyDescent="0.25">
      <c r="C15" t="s">
        <v>28</v>
      </c>
      <c r="D15" s="5"/>
      <c r="E15" s="7" t="s">
        <v>29</v>
      </c>
      <c r="F15" s="5">
        <v>0</v>
      </c>
      <c r="G15" s="6">
        <v>0</v>
      </c>
      <c r="V15" t="s">
        <v>44</v>
      </c>
      <c r="W15" t="s">
        <v>45</v>
      </c>
    </row>
    <row r="16" spans="1:31" x14ac:dyDescent="0.25">
      <c r="C16" t="s">
        <v>51</v>
      </c>
      <c r="D16" s="5"/>
      <c r="E16" s="5"/>
      <c r="F16" s="5"/>
      <c r="V16" s="5">
        <v>1</v>
      </c>
      <c r="W16" s="6">
        <v>1</v>
      </c>
    </row>
    <row r="17" spans="1:23" x14ac:dyDescent="0.25">
      <c r="C17" t="s">
        <v>32</v>
      </c>
      <c r="F17" s="5"/>
      <c r="G17" s="5"/>
      <c r="H17" s="5"/>
      <c r="I17" s="5"/>
    </row>
    <row r="18" spans="1:23" x14ac:dyDescent="0.25">
      <c r="C18" t="s">
        <v>49</v>
      </c>
      <c r="V18" s="4"/>
      <c r="W18" s="4"/>
    </row>
    <row r="21" spans="1:23" x14ac:dyDescent="0.25">
      <c r="A21" t="s">
        <v>47</v>
      </c>
      <c r="C21" t="s">
        <v>33</v>
      </c>
      <c r="D21" s="6" t="s">
        <v>26</v>
      </c>
      <c r="E21" s="6" t="s">
        <v>34</v>
      </c>
      <c r="F21" s="5" t="s">
        <v>26</v>
      </c>
      <c r="G21" s="5" t="s">
        <v>34</v>
      </c>
      <c r="H21" s="5" t="s">
        <v>35</v>
      </c>
      <c r="I21" s="5" t="s">
        <v>36</v>
      </c>
      <c r="J21" s="5" t="s">
        <v>55</v>
      </c>
      <c r="K21" s="5"/>
    </row>
    <row r="22" spans="1:23" x14ac:dyDescent="0.25">
      <c r="A22" t="s">
        <v>83</v>
      </c>
      <c r="C22" t="s">
        <v>30</v>
      </c>
      <c r="D22" s="6">
        <v>0</v>
      </c>
      <c r="E22" s="6">
        <v>1</v>
      </c>
      <c r="F22" s="6">
        <v>0</v>
      </c>
      <c r="G22" s="6">
        <v>1</v>
      </c>
      <c r="H22" s="6">
        <v>1</v>
      </c>
      <c r="I22" s="6">
        <v>1</v>
      </c>
      <c r="J22" s="6">
        <v>1</v>
      </c>
      <c r="K22" s="6">
        <v>0</v>
      </c>
    </row>
    <row r="23" spans="1:23" x14ac:dyDescent="0.25">
      <c r="C23" t="s">
        <v>27</v>
      </c>
      <c r="D23" s="6">
        <v>1</v>
      </c>
      <c r="E23" s="6">
        <v>0</v>
      </c>
      <c r="F23" s="6">
        <v>1</v>
      </c>
      <c r="G23" s="6">
        <v>0</v>
      </c>
      <c r="H23" s="6">
        <v>0</v>
      </c>
      <c r="I23" s="6">
        <v>0</v>
      </c>
      <c r="J23" s="6">
        <v>0</v>
      </c>
      <c r="K23" s="6">
        <v>1</v>
      </c>
    </row>
    <row r="24" spans="1:23" x14ac:dyDescent="0.25">
      <c r="C24" t="s">
        <v>31</v>
      </c>
      <c r="E24" s="6">
        <v>1</v>
      </c>
      <c r="G24" s="6">
        <v>1</v>
      </c>
      <c r="H24" s="6">
        <v>1</v>
      </c>
      <c r="I24" s="6">
        <v>1</v>
      </c>
      <c r="J24" s="6">
        <v>1</v>
      </c>
    </row>
    <row r="25" spans="1:23" x14ac:dyDescent="0.25">
      <c r="C25" t="s">
        <v>28</v>
      </c>
      <c r="E25" s="7" t="s">
        <v>48</v>
      </c>
      <c r="G25" s="8">
        <v>71</v>
      </c>
      <c r="H25" s="6">
        <v>0</v>
      </c>
      <c r="I25" s="6">
        <v>0</v>
      </c>
      <c r="J25" s="6" t="s">
        <v>56</v>
      </c>
    </row>
    <row r="26" spans="1:23" x14ac:dyDescent="0.25">
      <c r="C26" t="s">
        <v>51</v>
      </c>
    </row>
    <row r="27" spans="1:23" x14ac:dyDescent="0.25">
      <c r="C27" t="s">
        <v>32</v>
      </c>
    </row>
    <row r="28" spans="1:23" x14ac:dyDescent="0.25">
      <c r="C28" t="s">
        <v>49</v>
      </c>
    </row>
    <row r="30" spans="1:23" x14ac:dyDescent="0.25">
      <c r="A30" t="s">
        <v>50</v>
      </c>
      <c r="C30" t="s">
        <v>33</v>
      </c>
      <c r="D30" s="5" t="s">
        <v>26</v>
      </c>
      <c r="E30" s="5" t="s">
        <v>34</v>
      </c>
      <c r="F30" s="5" t="s">
        <v>35</v>
      </c>
      <c r="G30" s="5" t="s">
        <v>36</v>
      </c>
      <c r="H30" s="5" t="s">
        <v>55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</row>
    <row r="31" spans="1:23" x14ac:dyDescent="0.25">
      <c r="C31" t="s">
        <v>30</v>
      </c>
      <c r="D31" s="6">
        <v>0</v>
      </c>
      <c r="E31" s="6">
        <v>1</v>
      </c>
      <c r="F31" s="6">
        <v>1</v>
      </c>
      <c r="G31" s="6">
        <v>1</v>
      </c>
      <c r="H31" s="6">
        <v>1</v>
      </c>
      <c r="I31" s="6">
        <v>0</v>
      </c>
      <c r="U31" s="6"/>
      <c r="V31" s="6"/>
    </row>
    <row r="32" spans="1:23" x14ac:dyDescent="0.25">
      <c r="C32" t="s">
        <v>27</v>
      </c>
      <c r="D32" s="6">
        <v>1</v>
      </c>
      <c r="E32" s="6">
        <v>0</v>
      </c>
      <c r="F32" s="6">
        <v>0</v>
      </c>
      <c r="G32" s="6">
        <v>0</v>
      </c>
      <c r="H32" s="6">
        <v>0</v>
      </c>
      <c r="I32" s="6">
        <v>1</v>
      </c>
    </row>
    <row r="33" spans="1:18" x14ac:dyDescent="0.25">
      <c r="C33" t="s">
        <v>31</v>
      </c>
      <c r="E33" s="6">
        <v>1</v>
      </c>
      <c r="F33" s="6">
        <v>1</v>
      </c>
      <c r="G33" s="6">
        <v>1</v>
      </c>
      <c r="H33" s="6">
        <v>1</v>
      </c>
    </row>
    <row r="34" spans="1:18" x14ac:dyDescent="0.25">
      <c r="C34" t="s">
        <v>28</v>
      </c>
      <c r="E34" s="8">
        <v>71</v>
      </c>
      <c r="F34" s="6">
        <v>0</v>
      </c>
      <c r="G34" s="6">
        <v>0</v>
      </c>
      <c r="H34" s="6" t="s">
        <v>56</v>
      </c>
    </row>
    <row r="35" spans="1:18" x14ac:dyDescent="0.25">
      <c r="C35" t="s">
        <v>51</v>
      </c>
    </row>
    <row r="36" spans="1:18" x14ac:dyDescent="0.25">
      <c r="C36" t="s">
        <v>32</v>
      </c>
    </row>
    <row r="37" spans="1:18" x14ac:dyDescent="0.25">
      <c r="C37" t="s">
        <v>49</v>
      </c>
    </row>
    <row r="40" spans="1:18" x14ac:dyDescent="0.25">
      <c r="A40" t="s">
        <v>58</v>
      </c>
      <c r="C40" t="s">
        <v>33</v>
      </c>
      <c r="D40" s="5" t="s">
        <v>26</v>
      </c>
      <c r="E40" s="5" t="s">
        <v>34</v>
      </c>
      <c r="F40" s="5" t="s">
        <v>35</v>
      </c>
      <c r="G40" s="5" t="s">
        <v>36</v>
      </c>
      <c r="H40" s="5" t="s">
        <v>37</v>
      </c>
      <c r="I40" s="5" t="s">
        <v>38</v>
      </c>
      <c r="J40" s="5" t="s">
        <v>39</v>
      </c>
      <c r="K40" s="5" t="s">
        <v>37</v>
      </c>
      <c r="L40" s="5" t="s">
        <v>38</v>
      </c>
      <c r="M40" s="5" t="s">
        <v>39</v>
      </c>
      <c r="N40" s="6" t="s">
        <v>52</v>
      </c>
      <c r="O40" s="6" t="s">
        <v>53</v>
      </c>
      <c r="P40" s="6" t="s">
        <v>62</v>
      </c>
      <c r="Q40" s="6" t="s">
        <v>63</v>
      </c>
    </row>
    <row r="41" spans="1:18" x14ac:dyDescent="0.25">
      <c r="A41" t="s">
        <v>57</v>
      </c>
      <c r="C41" t="s">
        <v>30</v>
      </c>
      <c r="D41" s="5">
        <v>0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6">
        <v>1</v>
      </c>
      <c r="O41" s="6">
        <v>1</v>
      </c>
      <c r="P41" s="6">
        <v>1</v>
      </c>
      <c r="Q41" s="6">
        <v>1</v>
      </c>
      <c r="R41" s="6">
        <v>0</v>
      </c>
    </row>
    <row r="42" spans="1:18" x14ac:dyDescent="0.25">
      <c r="C42" t="s">
        <v>27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1</v>
      </c>
    </row>
    <row r="43" spans="1:18" x14ac:dyDescent="0.25">
      <c r="C43" t="s">
        <v>31</v>
      </c>
      <c r="E43" s="6">
        <v>1</v>
      </c>
      <c r="F43" s="6">
        <v>1</v>
      </c>
      <c r="G43" s="6">
        <v>1</v>
      </c>
    </row>
    <row r="44" spans="1:18" x14ac:dyDescent="0.25">
      <c r="C44" t="s">
        <v>28</v>
      </c>
      <c r="D44" s="5"/>
      <c r="E44" s="7" t="s">
        <v>59</v>
      </c>
      <c r="F44" s="5" t="s">
        <v>60</v>
      </c>
      <c r="G44" s="6" t="s">
        <v>61</v>
      </c>
      <c r="N44" s="6" t="s">
        <v>73</v>
      </c>
      <c r="O44" s="6" t="s">
        <v>74</v>
      </c>
      <c r="P44" s="6" t="s">
        <v>75</v>
      </c>
      <c r="Q44" s="6" t="s">
        <v>76</v>
      </c>
    </row>
    <row r="45" spans="1:18" x14ac:dyDescent="0.25">
      <c r="C45" t="s">
        <v>51</v>
      </c>
      <c r="D45" s="5"/>
      <c r="E45" s="5"/>
      <c r="F45" s="5"/>
      <c r="N45" s="6">
        <v>1</v>
      </c>
      <c r="O45" s="6">
        <v>1</v>
      </c>
      <c r="P45" s="6">
        <v>1</v>
      </c>
      <c r="Q45" s="6">
        <v>1</v>
      </c>
    </row>
    <row r="46" spans="1:18" x14ac:dyDescent="0.25">
      <c r="C46" t="s">
        <v>32</v>
      </c>
      <c r="F46" s="5"/>
      <c r="G46" s="5"/>
      <c r="H46" s="5"/>
      <c r="I46" s="5"/>
    </row>
    <row r="47" spans="1:18" x14ac:dyDescent="0.25">
      <c r="C47" t="s">
        <v>49</v>
      </c>
    </row>
    <row r="50" spans="1:22" x14ac:dyDescent="0.25">
      <c r="A50" t="s">
        <v>66</v>
      </c>
      <c r="C50" t="s">
        <v>33</v>
      </c>
      <c r="D50" s="5" t="s">
        <v>26</v>
      </c>
      <c r="E50" s="5" t="s">
        <v>34</v>
      </c>
      <c r="F50" s="5" t="s">
        <v>35</v>
      </c>
      <c r="G50" s="5" t="s">
        <v>36</v>
      </c>
      <c r="H50" s="5" t="s">
        <v>37</v>
      </c>
      <c r="I50" s="5" t="s">
        <v>38</v>
      </c>
      <c r="J50" s="5" t="s">
        <v>39</v>
      </c>
      <c r="K50" s="5" t="s">
        <v>37</v>
      </c>
      <c r="L50" s="5" t="s">
        <v>38</v>
      </c>
      <c r="M50" s="5" t="s">
        <v>39</v>
      </c>
      <c r="N50" s="6" t="s">
        <v>44</v>
      </c>
      <c r="O50" s="6" t="s">
        <v>45</v>
      </c>
      <c r="P50" s="6" t="s">
        <v>64</v>
      </c>
      <c r="Q50" s="6" t="s">
        <v>65</v>
      </c>
      <c r="R50" s="6" t="s">
        <v>69</v>
      </c>
      <c r="S50" s="6" t="s">
        <v>70</v>
      </c>
      <c r="T50" s="6" t="s">
        <v>71</v>
      </c>
      <c r="U50" s="6" t="s">
        <v>72</v>
      </c>
    </row>
    <row r="51" spans="1:22" x14ac:dyDescent="0.25">
      <c r="A51" t="s">
        <v>57</v>
      </c>
      <c r="C51" t="s">
        <v>30</v>
      </c>
      <c r="D51" s="5">
        <v>0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6">
        <v>0</v>
      </c>
    </row>
    <row r="52" spans="1:22" x14ac:dyDescent="0.25">
      <c r="C52" t="s">
        <v>27</v>
      </c>
      <c r="D52" s="6">
        <v>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</v>
      </c>
    </row>
    <row r="53" spans="1:22" x14ac:dyDescent="0.25">
      <c r="C53" t="s">
        <v>31</v>
      </c>
      <c r="E53" s="6">
        <v>1</v>
      </c>
      <c r="F53" s="6">
        <v>1</v>
      </c>
      <c r="G53" s="6">
        <v>1</v>
      </c>
    </row>
    <row r="54" spans="1:22" x14ac:dyDescent="0.25">
      <c r="C54" t="s">
        <v>28</v>
      </c>
      <c r="D54" s="5"/>
      <c r="E54" s="7" t="s">
        <v>68</v>
      </c>
      <c r="F54" s="5" t="s">
        <v>60</v>
      </c>
      <c r="G54" s="6" t="s">
        <v>61</v>
      </c>
      <c r="N54" s="6" t="s">
        <v>73</v>
      </c>
      <c r="O54" s="6" t="s">
        <v>74</v>
      </c>
      <c r="P54" s="6" t="s">
        <v>75</v>
      </c>
      <c r="Q54" s="6" t="s">
        <v>76</v>
      </c>
      <c r="R54" s="6" t="s">
        <v>77</v>
      </c>
      <c r="S54" s="6" t="s">
        <v>78</v>
      </c>
      <c r="T54" s="6" t="s">
        <v>79</v>
      </c>
      <c r="U54" s="6" t="s">
        <v>80</v>
      </c>
    </row>
    <row r="55" spans="1:22" x14ac:dyDescent="0.25">
      <c r="C55" t="s">
        <v>51</v>
      </c>
      <c r="D55" s="5"/>
      <c r="E55" s="5"/>
      <c r="F55" s="5"/>
    </row>
    <row r="56" spans="1:22" x14ac:dyDescent="0.25">
      <c r="C56" t="s">
        <v>32</v>
      </c>
      <c r="F56" s="5"/>
      <c r="G56" s="5"/>
      <c r="H56" s="5" t="s">
        <v>67</v>
      </c>
      <c r="I56" s="5"/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</row>
    <row r="57" spans="1:22" x14ac:dyDescent="0.25">
      <c r="C57" t="s">
        <v>49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Divide</vt:lpstr>
      <vt:lpstr>Model Alignment</vt:lpstr>
      <vt:lpstr>PSRAM 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pearson</dc:creator>
  <cp:lastModifiedBy>eric pearson</cp:lastModifiedBy>
  <dcterms:created xsi:type="dcterms:W3CDTF">2024-10-07T13:11:41Z</dcterms:created>
  <dcterms:modified xsi:type="dcterms:W3CDTF">2025-02-08T16:30:43Z</dcterms:modified>
</cp:coreProperties>
</file>