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8ec18ff40b97154/Desktop/Finance mats/CFA PSM Financial Modeling 24/"/>
    </mc:Choice>
  </mc:AlternateContent>
  <xr:revisionPtr revIDLastSave="1107" documentId="8_{AB2E961D-2FD3-4D1F-904F-0C00A5180B19}" xr6:coauthVersionLast="47" xr6:coauthVersionMax="47" xr10:uidLastSave="{96DE6A57-495B-49C2-BDF9-961DDBDE8C70}"/>
  <bookViews>
    <workbookView xWindow="28680" yWindow="-120" windowWidth="29040" windowHeight="15840" tabRatio="845" xr2:uid="{00000000-000D-0000-FFFF-FFFF00000000}"/>
  </bookViews>
  <sheets>
    <sheet name="Notes" sheetId="15" r:id="rId1"/>
    <sheet name="Cover Page" sheetId="12" r:id="rId2"/>
    <sheet name="Summary" sheetId="14" r:id="rId3"/>
    <sheet name="Assumptions" sheetId="8" r:id="rId4"/>
    <sheet name="Scenarios" sheetId="9" r:id="rId5"/>
    <sheet name="Model" sheetId="6" r:id="rId6"/>
  </sheets>
  <definedNames>
    <definedName name="_xlnm.Print_Area" localSheetId="2">Summary!$A$1:$Q$66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1" i="15" l="1"/>
  <c r="I197" i="15"/>
  <c r="H285" i="15"/>
  <c r="I285" i="15"/>
  <c r="Z22" i="14"/>
  <c r="Z21" i="14"/>
  <c r="Z17" i="14"/>
  <c r="Z16" i="14"/>
  <c r="Z12" i="14"/>
  <c r="J107" i="6"/>
  <c r="I106" i="6"/>
  <c r="J106" i="6"/>
  <c r="H106" i="6"/>
  <c r="I105" i="6"/>
  <c r="J105" i="6"/>
  <c r="H105" i="6"/>
  <c r="I185" i="6"/>
  <c r="J185" i="6"/>
  <c r="H185" i="6"/>
  <c r="K179" i="6"/>
  <c r="N134" i="6"/>
  <c r="L127" i="6"/>
  <c r="M127" i="6"/>
  <c r="N127" i="6"/>
  <c r="O127" i="6"/>
  <c r="K127" i="6"/>
  <c r="K161" i="6" s="1"/>
  <c r="L161" i="6" s="1"/>
  <c r="M161" i="6" s="1"/>
  <c r="N161" i="6" s="1"/>
  <c r="O161" i="6" s="1"/>
  <c r="J343" i="6"/>
  <c r="K340" i="6" s="1"/>
  <c r="K334" i="6"/>
  <c r="L331" i="6"/>
  <c r="L297" i="6" s="1"/>
  <c r="M331" i="6"/>
  <c r="M297" i="6" s="1"/>
  <c r="N331" i="6"/>
  <c r="N297" i="6" s="1"/>
  <c r="O331" i="6"/>
  <c r="O134" i="6" s="1"/>
  <c r="K331" i="6"/>
  <c r="K297" i="6" s="1"/>
  <c r="J332" i="6"/>
  <c r="K330" i="6" s="1"/>
  <c r="K332" i="6" s="1"/>
  <c r="L330" i="6" s="1"/>
  <c r="L332" i="6" s="1"/>
  <c r="M330" i="6" s="1"/>
  <c r="M332" i="6" s="1"/>
  <c r="N330" i="6" s="1"/>
  <c r="N332" i="6" s="1"/>
  <c r="O330" i="6" s="1"/>
  <c r="O332" i="6" s="1"/>
  <c r="K305" i="6"/>
  <c r="L305" i="6" s="1"/>
  <c r="M305" i="6" s="1"/>
  <c r="N305" i="6" s="1"/>
  <c r="O305" i="6" s="1"/>
  <c r="J303" i="6"/>
  <c r="K301" i="6" s="1"/>
  <c r="K314" i="6"/>
  <c r="L314" i="6" s="1"/>
  <c r="L311" i="6"/>
  <c r="L296" i="6" s="1"/>
  <c r="M311" i="6"/>
  <c r="M296" i="6" s="1"/>
  <c r="N311" i="6"/>
  <c r="N296" i="6" s="1"/>
  <c r="O311" i="6"/>
  <c r="O296" i="6" s="1"/>
  <c r="K311" i="6"/>
  <c r="K296" i="6" s="1"/>
  <c r="J312" i="6"/>
  <c r="K310" i="6" s="1"/>
  <c r="K289" i="6"/>
  <c r="L289" i="6" s="1"/>
  <c r="M289" i="6" s="1"/>
  <c r="N289" i="6" s="1"/>
  <c r="O289" i="6" s="1"/>
  <c r="J287" i="6"/>
  <c r="K285" i="6" s="1"/>
  <c r="M134" i="6" l="1"/>
  <c r="L134" i="6"/>
  <c r="O297" i="6"/>
  <c r="K315" i="6"/>
  <c r="K312" i="6"/>
  <c r="M314" i="6"/>
  <c r="N133" i="6"/>
  <c r="K306" i="6"/>
  <c r="O133" i="6"/>
  <c r="M133" i="6"/>
  <c r="K134" i="6"/>
  <c r="K133" i="6"/>
  <c r="L133" i="6"/>
  <c r="L179" i="6"/>
  <c r="K290" i="6"/>
  <c r="K256" i="6"/>
  <c r="L256" i="6"/>
  <c r="M256" i="6"/>
  <c r="N256" i="6"/>
  <c r="O256" i="6"/>
  <c r="K257" i="6"/>
  <c r="L257" i="6"/>
  <c r="M257" i="6"/>
  <c r="N257" i="6"/>
  <c r="O257" i="6"/>
  <c r="K258" i="6"/>
  <c r="L258" i="6"/>
  <c r="M258" i="6"/>
  <c r="N258" i="6"/>
  <c r="O258" i="6"/>
  <c r="K259" i="6"/>
  <c r="L259" i="6"/>
  <c r="M259" i="6"/>
  <c r="N259" i="6"/>
  <c r="O259" i="6"/>
  <c r="K260" i="6"/>
  <c r="L260" i="6"/>
  <c r="M260" i="6"/>
  <c r="N260" i="6"/>
  <c r="O260" i="6"/>
  <c r="L255" i="6"/>
  <c r="M255" i="6"/>
  <c r="N255" i="6"/>
  <c r="O255" i="6"/>
  <c r="K255" i="6"/>
  <c r="I263" i="6"/>
  <c r="J263" i="6"/>
  <c r="I264" i="6"/>
  <c r="J264" i="6"/>
  <c r="I265" i="6"/>
  <c r="J265" i="6"/>
  <c r="I266" i="6"/>
  <c r="J266" i="6"/>
  <c r="I267" i="6"/>
  <c r="J267" i="6"/>
  <c r="I268" i="6"/>
  <c r="J268" i="6"/>
  <c r="H268" i="6"/>
  <c r="H267" i="6"/>
  <c r="H266" i="6"/>
  <c r="H265" i="6"/>
  <c r="H264" i="6"/>
  <c r="H263" i="6"/>
  <c r="I252" i="6"/>
  <c r="J252" i="6"/>
  <c r="H252" i="6"/>
  <c r="L227" i="6"/>
  <c r="M227" i="6"/>
  <c r="N227" i="6"/>
  <c r="O227" i="6"/>
  <c r="K227" i="6"/>
  <c r="E222" i="6"/>
  <c r="M179" i="6" l="1"/>
  <c r="N179" i="6" s="1"/>
  <c r="O179" i="6" s="1"/>
  <c r="N314" i="6"/>
  <c r="J269" i="6"/>
  <c r="I269" i="6"/>
  <c r="L310" i="6"/>
  <c r="K174" i="6"/>
  <c r="K318" i="6"/>
  <c r="K95" i="6" s="1"/>
  <c r="J212" i="6"/>
  <c r="K198" i="6" s="1"/>
  <c r="F196" i="6"/>
  <c r="L126" i="6"/>
  <c r="L128" i="6" s="1"/>
  <c r="L295" i="6" s="1"/>
  <c r="M126" i="6"/>
  <c r="M128" i="6" s="1"/>
  <c r="M295" i="6" s="1"/>
  <c r="N126" i="6"/>
  <c r="N128" i="6" s="1"/>
  <c r="N295" i="6" s="1"/>
  <c r="O126" i="6"/>
  <c r="O128" i="6" s="1"/>
  <c r="O295" i="6" s="1"/>
  <c r="K126" i="6"/>
  <c r="K128" i="6" s="1"/>
  <c r="K295" i="6" s="1"/>
  <c r="F195" i="6"/>
  <c r="K201" i="6" s="1"/>
  <c r="L201" i="6" s="1"/>
  <c r="M201" i="6" s="1"/>
  <c r="N201" i="6" s="1"/>
  <c r="O201" i="6" s="1"/>
  <c r="L334" i="6"/>
  <c r="M334" i="6" s="1"/>
  <c r="N334" i="6" s="1"/>
  <c r="O334" i="6" s="1"/>
  <c r="H246" i="6"/>
  <c r="H193" i="6"/>
  <c r="L89" i="6"/>
  <c r="M89" i="6"/>
  <c r="N89" i="6"/>
  <c r="O89" i="6"/>
  <c r="K89" i="6"/>
  <c r="K86" i="6"/>
  <c r="K199" i="6" l="1"/>
  <c r="K212" i="6" s="1"/>
  <c r="J271" i="6"/>
  <c r="L312" i="6"/>
  <c r="L315" i="6"/>
  <c r="O314" i="6"/>
  <c r="M199" i="6"/>
  <c r="O199" i="6"/>
  <c r="L199" i="6"/>
  <c r="N199" i="6"/>
  <c r="K65" i="6"/>
  <c r="K66" i="6"/>
  <c r="K64" i="6"/>
  <c r="K45" i="6"/>
  <c r="K44" i="6"/>
  <c r="J27" i="6"/>
  <c r="J26" i="6"/>
  <c r="J20" i="6" s="1"/>
  <c r="O17" i="6"/>
  <c r="L17" i="6"/>
  <c r="M17" i="6"/>
  <c r="N17" i="6"/>
  <c r="K17" i="6"/>
  <c r="O2" i="6"/>
  <c r="H150" i="6"/>
  <c r="H116" i="6"/>
  <c r="H78" i="6"/>
  <c r="X7" i="14" s="1"/>
  <c r="H7" i="14" s="1"/>
  <c r="H28" i="14" s="1"/>
  <c r="H49" i="14" s="1"/>
  <c r="N116" i="6"/>
  <c r="O116" i="6"/>
  <c r="K116" i="6"/>
  <c r="L37" i="6"/>
  <c r="M37" i="6"/>
  <c r="I7" i="6"/>
  <c r="D50" i="6"/>
  <c r="D65" i="6" s="1"/>
  <c r="D49" i="6"/>
  <c r="D64" i="6" s="1"/>
  <c r="D45" i="6"/>
  <c r="D60" i="6" s="1"/>
  <c r="D44" i="6"/>
  <c r="D59" i="6" s="1"/>
  <c r="D66" i="6"/>
  <c r="J13" i="6"/>
  <c r="M78" i="6"/>
  <c r="M150" i="6" s="1"/>
  <c r="N78" i="6"/>
  <c r="N150" i="6" s="1"/>
  <c r="O78" i="6"/>
  <c r="AE7" i="14" s="1"/>
  <c r="O7" i="14" s="1"/>
  <c r="O28" i="14" s="1"/>
  <c r="O49" i="14" s="1"/>
  <c r="K78" i="6"/>
  <c r="K150" i="6" s="1"/>
  <c r="K30" i="9"/>
  <c r="O19" i="6" s="1"/>
  <c r="I30" i="9"/>
  <c r="M19" i="6" s="1"/>
  <c r="J30" i="9"/>
  <c r="N19" i="6" s="1"/>
  <c r="H30" i="9"/>
  <c r="L19" i="6" s="1"/>
  <c r="G30" i="9"/>
  <c r="K19" i="6" s="1"/>
  <c r="K23" i="9" a="1"/>
  <c r="K23" i="9" s="1"/>
  <c r="O10" i="6" s="1"/>
  <c r="I23" i="9" a="1"/>
  <c r="I23" i="9" s="1"/>
  <c r="M10" i="6" s="1"/>
  <c r="J23" i="9" a="1"/>
  <c r="J23" i="9" s="1"/>
  <c r="N10" i="6" s="1"/>
  <c r="H23" i="9" a="1"/>
  <c r="H23" i="9" s="1"/>
  <c r="L10" i="6" s="1"/>
  <c r="G23" i="9" a="1"/>
  <c r="G23" i="9" s="1"/>
  <c r="K10" i="6" s="1"/>
  <c r="K12" i="9" a="1"/>
  <c r="K12" i="9" s="1"/>
  <c r="O11" i="6" s="1"/>
  <c r="O40" i="6" s="1"/>
  <c r="J12" i="9" a="1"/>
  <c r="J12" i="9" s="1"/>
  <c r="N11" i="6" s="1"/>
  <c r="N40" i="6" s="1"/>
  <c r="I12" i="9"/>
  <c r="M11" i="6" s="1"/>
  <c r="H12" i="9"/>
  <c r="L11" i="6" s="1"/>
  <c r="L86" i="6" s="1"/>
  <c r="G12" i="9"/>
  <c r="K11" i="6" s="1"/>
  <c r="K12" i="6" s="1"/>
  <c r="K27" i="9"/>
  <c r="K26" i="9"/>
  <c r="I26" i="9"/>
  <c r="J26" i="9"/>
  <c r="H26" i="9"/>
  <c r="C1" i="8"/>
  <c r="B1" i="9" s="1"/>
  <c r="C44" i="8"/>
  <c r="C15" i="9"/>
  <c r="C33" i="9" s="1"/>
  <c r="C16" i="9"/>
  <c r="C14" i="9"/>
  <c r="C32" i="9" s="1"/>
  <c r="T5" i="14"/>
  <c r="B1" i="14"/>
  <c r="E26" i="8"/>
  <c r="A27" i="9"/>
  <c r="J27" i="9" s="1"/>
  <c r="A26" i="9"/>
  <c r="G26" i="9" s="1"/>
  <c r="C34" i="9"/>
  <c r="G6" i="9"/>
  <c r="H6" i="9" s="1"/>
  <c r="I6" i="9" s="1"/>
  <c r="J6" i="9" s="1"/>
  <c r="K6" i="9" s="1"/>
  <c r="O37" i="6" s="1"/>
  <c r="J48" i="8"/>
  <c r="K48" i="8" s="1"/>
  <c r="L48" i="8" s="1"/>
  <c r="M48" i="8" s="1"/>
  <c r="N48" i="8" s="1"/>
  <c r="J9" i="8"/>
  <c r="J8" i="8"/>
  <c r="B73" i="6"/>
  <c r="B2" i="6" s="1"/>
  <c r="L198" i="6" l="1"/>
  <c r="L212" i="6" s="1"/>
  <c r="M310" i="6"/>
  <c r="L174" i="6"/>
  <c r="L12" i="6"/>
  <c r="M198" i="6"/>
  <c r="M212" i="6" s="1"/>
  <c r="L40" i="6"/>
  <c r="K20" i="6"/>
  <c r="K39" i="6" s="1"/>
  <c r="K60" i="6" s="1"/>
  <c r="J28" i="6"/>
  <c r="L44" i="6"/>
  <c r="L45" i="6"/>
  <c r="J7" i="6"/>
  <c r="J78" i="6" s="1"/>
  <c r="I246" i="6"/>
  <c r="I248" i="6" s="1"/>
  <c r="I193" i="6"/>
  <c r="K49" i="6"/>
  <c r="I116" i="6"/>
  <c r="K51" i="6"/>
  <c r="B217" i="6"/>
  <c r="B241" i="6"/>
  <c r="B322" i="6"/>
  <c r="B275" i="6"/>
  <c r="B188" i="6"/>
  <c r="K50" i="6"/>
  <c r="O144" i="6"/>
  <c r="O321" i="6"/>
  <c r="O274" i="6"/>
  <c r="O240" i="6"/>
  <c r="O216" i="6"/>
  <c r="O187" i="6"/>
  <c r="K13" i="6"/>
  <c r="L13" i="6"/>
  <c r="M40" i="6"/>
  <c r="M86" i="6"/>
  <c r="N86" i="6" s="1"/>
  <c r="O86" i="6" s="1"/>
  <c r="I27" i="9"/>
  <c r="L78" i="6"/>
  <c r="M116" i="6"/>
  <c r="L116" i="6"/>
  <c r="K67" i="6"/>
  <c r="L64" i="6"/>
  <c r="G27" i="9"/>
  <c r="L66" i="6"/>
  <c r="L65" i="6"/>
  <c r="H27" i="9"/>
  <c r="K22" i="6"/>
  <c r="AD7" i="14"/>
  <c r="N7" i="14" s="1"/>
  <c r="N28" i="14" s="1"/>
  <c r="N49" i="14" s="1"/>
  <c r="K7" i="6"/>
  <c r="O7" i="6"/>
  <c r="M7" i="6"/>
  <c r="L7" i="6"/>
  <c r="N7" i="6"/>
  <c r="K37" i="6"/>
  <c r="AC7" i="14"/>
  <c r="M7" i="14" s="1"/>
  <c r="M28" i="14" s="1"/>
  <c r="M49" i="14" s="1"/>
  <c r="AA7" i="14"/>
  <c r="K7" i="14" s="1"/>
  <c r="K28" i="14" s="1"/>
  <c r="K49" i="14" s="1"/>
  <c r="K46" i="6"/>
  <c r="N37" i="6"/>
  <c r="M12" i="6"/>
  <c r="I78" i="6"/>
  <c r="I150" i="6"/>
  <c r="O31" i="6"/>
  <c r="O72" i="6"/>
  <c r="O110" i="6"/>
  <c r="O150" i="6"/>
  <c r="B32" i="6"/>
  <c r="J39" i="6"/>
  <c r="C25" i="9"/>
  <c r="H37" i="6"/>
  <c r="B145" i="6"/>
  <c r="B111" i="6"/>
  <c r="J116" i="6" l="1"/>
  <c r="M312" i="6"/>
  <c r="M315" i="6"/>
  <c r="I258" i="6"/>
  <c r="I257" i="6"/>
  <c r="I256" i="6"/>
  <c r="I260" i="6"/>
  <c r="I259" i="6"/>
  <c r="K27" i="6"/>
  <c r="K82" i="6" s="1"/>
  <c r="K26" i="6"/>
  <c r="K81" i="6" s="1"/>
  <c r="L46" i="6"/>
  <c r="L20" i="6"/>
  <c r="M20" i="6" s="1"/>
  <c r="M22" i="6" s="1"/>
  <c r="K59" i="6"/>
  <c r="K61" i="6" s="1"/>
  <c r="K69" i="6" s="1"/>
  <c r="K85" i="6" s="1"/>
  <c r="N198" i="6"/>
  <c r="N212" i="6" s="1"/>
  <c r="L222" i="6"/>
  <c r="L327" i="6"/>
  <c r="L280" i="6"/>
  <c r="L193" i="6"/>
  <c r="L246" i="6"/>
  <c r="L248" i="6" s="1"/>
  <c r="N222" i="6"/>
  <c r="N327" i="6"/>
  <c r="N193" i="6"/>
  <c r="N246" i="6"/>
  <c r="N248" i="6" s="1"/>
  <c r="N280" i="6"/>
  <c r="M193" i="6"/>
  <c r="M246" i="6"/>
  <c r="M327" i="6"/>
  <c r="M222" i="6"/>
  <c r="M280" i="6"/>
  <c r="K327" i="6"/>
  <c r="K222" i="6"/>
  <c r="K246" i="6"/>
  <c r="K280" i="6"/>
  <c r="K193" i="6"/>
  <c r="K52" i="6"/>
  <c r="K54" i="6" s="1"/>
  <c r="J150" i="6"/>
  <c r="J246" i="6"/>
  <c r="J248" i="6" s="1"/>
  <c r="J193" i="6"/>
  <c r="J280" i="6"/>
  <c r="J327" i="6"/>
  <c r="M44" i="6"/>
  <c r="N44" i="6" s="1"/>
  <c r="O222" i="6"/>
  <c r="O327" i="6"/>
  <c r="O246" i="6"/>
  <c r="O280" i="6"/>
  <c r="O193" i="6"/>
  <c r="M45" i="6"/>
  <c r="N45" i="6" s="1"/>
  <c r="O45" i="6" s="1"/>
  <c r="M65" i="6"/>
  <c r="N65" i="6" s="1"/>
  <c r="M64" i="6"/>
  <c r="N64" i="6" s="1"/>
  <c r="M66" i="6"/>
  <c r="N66" i="6" s="1"/>
  <c r="L150" i="6"/>
  <c r="AB7" i="14"/>
  <c r="L7" i="14" s="1"/>
  <c r="L28" i="14" s="1"/>
  <c r="L49" i="14" s="1"/>
  <c r="L67" i="6"/>
  <c r="N12" i="6"/>
  <c r="M13" i="6"/>
  <c r="I37" i="6"/>
  <c r="Y7" i="14"/>
  <c r="I7" i="14" s="1"/>
  <c r="I28" i="14" s="1"/>
  <c r="I49" i="14" s="1"/>
  <c r="K83" i="6" l="1"/>
  <c r="K251" i="6" s="1"/>
  <c r="K87" i="6"/>
  <c r="K252" i="6"/>
  <c r="J260" i="6"/>
  <c r="J258" i="6"/>
  <c r="J259" i="6"/>
  <c r="J257" i="6"/>
  <c r="J256" i="6"/>
  <c r="K28" i="6"/>
  <c r="AA12" i="14" s="1"/>
  <c r="AA13" i="14" s="1"/>
  <c r="K248" i="6"/>
  <c r="K263" i="6" s="1"/>
  <c r="O248" i="6"/>
  <c r="L22" i="6"/>
  <c r="M248" i="6"/>
  <c r="N310" i="6"/>
  <c r="M174" i="6"/>
  <c r="L26" i="6"/>
  <c r="L81" i="6" s="1"/>
  <c r="L39" i="6"/>
  <c r="L60" i="6" s="1"/>
  <c r="L27" i="6"/>
  <c r="L82" i="6" s="1"/>
  <c r="L83" i="6" s="1"/>
  <c r="L251" i="6" s="1"/>
  <c r="L263" i="6" s="1"/>
  <c r="O198" i="6"/>
  <c r="O212" i="6" s="1"/>
  <c r="M46" i="6"/>
  <c r="K90" i="6"/>
  <c r="D204" i="6"/>
  <c r="M67" i="6"/>
  <c r="O66" i="6"/>
  <c r="O65" i="6"/>
  <c r="O64" i="6"/>
  <c r="N67" i="6"/>
  <c r="O44" i="6"/>
  <c r="N46" i="6"/>
  <c r="N20" i="6"/>
  <c r="N22" i="6" s="1"/>
  <c r="M26" i="6"/>
  <c r="M81" i="6" s="1"/>
  <c r="M39" i="6"/>
  <c r="M27" i="6"/>
  <c r="O12" i="6"/>
  <c r="N13" i="6"/>
  <c r="J37" i="6"/>
  <c r="Z7" i="14"/>
  <c r="J7" i="14" s="1"/>
  <c r="J28" i="14" s="1"/>
  <c r="J49" i="14" s="1"/>
  <c r="J162" i="6"/>
  <c r="I162" i="6"/>
  <c r="H162" i="6"/>
  <c r="I181" i="6"/>
  <c r="H181" i="6"/>
  <c r="I175" i="6"/>
  <c r="H175" i="6"/>
  <c r="I171" i="6"/>
  <c r="H171" i="6"/>
  <c r="I158" i="6"/>
  <c r="H158" i="6"/>
  <c r="J136" i="6"/>
  <c r="I136" i="6"/>
  <c r="H136" i="6"/>
  <c r="J83" i="6"/>
  <c r="J251" i="6" s="1"/>
  <c r="J255" i="6" s="1"/>
  <c r="I83" i="6"/>
  <c r="I251" i="6" s="1"/>
  <c r="I255" i="6" s="1"/>
  <c r="H83" i="6"/>
  <c r="H251" i="6" s="1"/>
  <c r="J181" i="6"/>
  <c r="J175" i="6"/>
  <c r="J171" i="6"/>
  <c r="J158" i="6"/>
  <c r="J128" i="6"/>
  <c r="I128" i="6"/>
  <c r="H128" i="6"/>
  <c r="J100" i="6"/>
  <c r="I100" i="6"/>
  <c r="H100" i="6"/>
  <c r="H87" i="6"/>
  <c r="I87" i="6"/>
  <c r="I122" i="6"/>
  <c r="H122" i="6"/>
  <c r="J87" i="6"/>
  <c r="J122" i="6"/>
  <c r="AA16" i="14" l="1"/>
  <c r="AA17" i="14" s="1"/>
  <c r="AA18" i="14" s="1"/>
  <c r="K105" i="6"/>
  <c r="L28" i="6"/>
  <c r="AB12" i="14" s="1"/>
  <c r="AB13" i="14" s="1"/>
  <c r="K154" i="6"/>
  <c r="L154" i="6"/>
  <c r="N312" i="6"/>
  <c r="N315" i="6"/>
  <c r="L51" i="6"/>
  <c r="L59" i="6"/>
  <c r="L61" i="6" s="1"/>
  <c r="L69" i="6" s="1"/>
  <c r="L85" i="6" s="1"/>
  <c r="K264" i="6"/>
  <c r="K155" i="6" s="1"/>
  <c r="K266" i="6"/>
  <c r="K157" i="6" s="1"/>
  <c r="K268" i="6"/>
  <c r="K170" i="6" s="1"/>
  <c r="K265" i="6"/>
  <c r="K156" i="6" s="1"/>
  <c r="K267" i="6"/>
  <c r="K169" i="6" s="1"/>
  <c r="I177" i="6"/>
  <c r="L49" i="6"/>
  <c r="L50" i="6"/>
  <c r="H164" i="6"/>
  <c r="J164" i="6"/>
  <c r="I164" i="6"/>
  <c r="D205" i="6"/>
  <c r="E204" i="6"/>
  <c r="M60" i="6"/>
  <c r="M50" i="6"/>
  <c r="M59" i="6"/>
  <c r="M51" i="6"/>
  <c r="M49" i="6"/>
  <c r="M28" i="6"/>
  <c r="AC12" i="14" s="1"/>
  <c r="AC13" i="14" s="1"/>
  <c r="M82" i="6"/>
  <c r="M83" i="6" s="1"/>
  <c r="M251" i="6" s="1"/>
  <c r="O67" i="6"/>
  <c r="O46" i="6"/>
  <c r="N26" i="6"/>
  <c r="N81" i="6" s="1"/>
  <c r="N39" i="6"/>
  <c r="O20" i="6"/>
  <c r="N27" i="6"/>
  <c r="O13" i="6"/>
  <c r="H139" i="6"/>
  <c r="H141" i="6" s="1"/>
  <c r="I140" i="6" s="1"/>
  <c r="H90" i="6"/>
  <c r="H93" i="6" s="1"/>
  <c r="J177" i="6"/>
  <c r="J183" i="6" s="1"/>
  <c r="I139" i="6"/>
  <c r="I183" i="6"/>
  <c r="H177" i="6"/>
  <c r="H183" i="6" s="1"/>
  <c r="J139" i="6"/>
  <c r="J90" i="6"/>
  <c r="I90" i="6"/>
  <c r="L52" i="6" l="1"/>
  <c r="L54" i="6" s="1"/>
  <c r="K269" i="6"/>
  <c r="L87" i="6"/>
  <c r="L90" i="6" s="1"/>
  <c r="L252" i="6"/>
  <c r="O310" i="6"/>
  <c r="N174" i="6"/>
  <c r="M263" i="6"/>
  <c r="M154" i="6" s="1"/>
  <c r="I141" i="6"/>
  <c r="J140" i="6" s="1"/>
  <c r="J141" i="6" s="1"/>
  <c r="K140" i="6" s="1"/>
  <c r="D206" i="6"/>
  <c r="E205" i="6"/>
  <c r="L205" i="6" s="1"/>
  <c r="M205" i="6" s="1"/>
  <c r="N205" i="6" s="1"/>
  <c r="O205" i="6" s="1"/>
  <c r="K204" i="6"/>
  <c r="M61" i="6"/>
  <c r="M69" i="6" s="1"/>
  <c r="M85" i="6" s="1"/>
  <c r="M52" i="6"/>
  <c r="M54" i="6" s="1"/>
  <c r="O27" i="6"/>
  <c r="O82" i="6" s="1"/>
  <c r="O22" i="6"/>
  <c r="N19" i="8" s="1"/>
  <c r="N60" i="6"/>
  <c r="N51" i="6"/>
  <c r="N59" i="6"/>
  <c r="N50" i="6"/>
  <c r="N49" i="6"/>
  <c r="N28" i="6"/>
  <c r="AD12" i="14" s="1"/>
  <c r="AD13" i="14" s="1"/>
  <c r="N82" i="6"/>
  <c r="N83" i="6" s="1"/>
  <c r="N251" i="6" s="1"/>
  <c r="O39" i="6"/>
  <c r="O26" i="6"/>
  <c r="H96" i="6"/>
  <c r="H102" i="6" s="1"/>
  <c r="I93" i="6"/>
  <c r="J93" i="6"/>
  <c r="AB16" i="14" l="1"/>
  <c r="AB17" i="14" s="1"/>
  <c r="AB18" i="14" s="1"/>
  <c r="L105" i="6"/>
  <c r="K271" i="6"/>
  <c r="K121" i="6" s="1"/>
  <c r="O312" i="6"/>
  <c r="O174" i="6" s="1"/>
  <c r="O315" i="6"/>
  <c r="L268" i="6"/>
  <c r="L170" i="6" s="1"/>
  <c r="L265" i="6"/>
  <c r="L156" i="6" s="1"/>
  <c r="L266" i="6"/>
  <c r="L157" i="6" s="1"/>
  <c r="L264" i="6"/>
  <c r="L267" i="6"/>
  <c r="L169" i="6" s="1"/>
  <c r="N263" i="6"/>
  <c r="N154" i="6" s="1"/>
  <c r="M87" i="6"/>
  <c r="M90" i="6" s="1"/>
  <c r="M252" i="6"/>
  <c r="N61" i="6"/>
  <c r="N69" i="6" s="1"/>
  <c r="N85" i="6" s="1"/>
  <c r="L204" i="6"/>
  <c r="K210" i="6"/>
  <c r="K92" i="6" s="1"/>
  <c r="D207" i="6"/>
  <c r="E206" i="6"/>
  <c r="M206" i="6" s="1"/>
  <c r="N206" i="6" s="1"/>
  <c r="O206" i="6" s="1"/>
  <c r="O28" i="6"/>
  <c r="AE12" i="14" s="1"/>
  <c r="AE13" i="14" s="1"/>
  <c r="O81" i="6"/>
  <c r="O83" i="6" s="1"/>
  <c r="O251" i="6" s="1"/>
  <c r="O60" i="6"/>
  <c r="O51" i="6"/>
  <c r="O49" i="6"/>
  <c r="O50" i="6"/>
  <c r="O59" i="6"/>
  <c r="N52" i="6"/>
  <c r="N54" i="6" s="1"/>
  <c r="J96" i="6"/>
  <c r="J102" i="6" s="1"/>
  <c r="I96" i="6"/>
  <c r="I102" i="6" s="1"/>
  <c r="M105" i="6" l="1"/>
  <c r="AC16" i="14"/>
  <c r="AC17" i="14" s="1"/>
  <c r="AC18" i="14" s="1"/>
  <c r="L155" i="6"/>
  <c r="L269" i="6"/>
  <c r="L271" i="6" s="1"/>
  <c r="L121" i="6" s="1"/>
  <c r="O61" i="6"/>
  <c r="O69" i="6" s="1"/>
  <c r="O85" i="6" s="1"/>
  <c r="O252" i="6" s="1"/>
  <c r="M266" i="6"/>
  <c r="M157" i="6" s="1"/>
  <c r="M267" i="6"/>
  <c r="M169" i="6" s="1"/>
  <c r="M268" i="6"/>
  <c r="M170" i="6" s="1"/>
  <c r="M264" i="6"/>
  <c r="M155" i="6" s="1"/>
  <c r="M265" i="6"/>
  <c r="M156" i="6" s="1"/>
  <c r="O263" i="6"/>
  <c r="O154" i="6" s="1"/>
  <c r="N87" i="6"/>
  <c r="N90" i="6" s="1"/>
  <c r="N252" i="6"/>
  <c r="K119" i="6"/>
  <c r="K160" i="6" s="1"/>
  <c r="K93" i="6"/>
  <c r="D208" i="6"/>
  <c r="E208" i="6" s="1"/>
  <c r="O208" i="6" s="1"/>
  <c r="E207" i="6"/>
  <c r="N207" i="6" s="1"/>
  <c r="M204" i="6"/>
  <c r="L210" i="6"/>
  <c r="L92" i="6" s="1"/>
  <c r="O52" i="6"/>
  <c r="O54" i="6" s="1"/>
  <c r="K162" i="6" l="1"/>
  <c r="N105" i="6"/>
  <c r="AD16" i="14"/>
  <c r="AD17" i="14" s="1"/>
  <c r="AD18" i="14" s="1"/>
  <c r="K96" i="6"/>
  <c r="K106" i="6"/>
  <c r="O87" i="6"/>
  <c r="O90" i="6" s="1"/>
  <c r="K225" i="6"/>
  <c r="M269" i="6"/>
  <c r="O266" i="6"/>
  <c r="O157" i="6" s="1"/>
  <c r="O267" i="6"/>
  <c r="O169" i="6" s="1"/>
  <c r="O268" i="6"/>
  <c r="O170" i="6" s="1"/>
  <c r="N266" i="6"/>
  <c r="N157" i="6" s="1"/>
  <c r="N267" i="6"/>
  <c r="N169" i="6" s="1"/>
  <c r="N268" i="6"/>
  <c r="N170" i="6" s="1"/>
  <c r="O264" i="6"/>
  <c r="O155" i="6" s="1"/>
  <c r="O265" i="6"/>
  <c r="O156" i="6" s="1"/>
  <c r="N264" i="6"/>
  <c r="N155" i="6" s="1"/>
  <c r="N265" i="6"/>
  <c r="N156" i="6" s="1"/>
  <c r="K230" i="6"/>
  <c r="K228" i="6"/>
  <c r="K233" i="6" s="1"/>
  <c r="L119" i="6"/>
  <c r="L160" i="6" s="1"/>
  <c r="L93" i="6"/>
  <c r="L106" i="6" s="1"/>
  <c r="O207" i="6"/>
  <c r="M210" i="6"/>
  <c r="M92" i="6" s="1"/>
  <c r="N204" i="6"/>
  <c r="L162" i="6" l="1"/>
  <c r="O105" i="6"/>
  <c r="AE16" i="14"/>
  <c r="AE17" i="14" s="1"/>
  <c r="AE18" i="14" s="1"/>
  <c r="O269" i="6"/>
  <c r="M271" i="6"/>
  <c r="M121" i="6" s="1"/>
  <c r="N269" i="6"/>
  <c r="K98" i="6"/>
  <c r="K234" i="6"/>
  <c r="M119" i="6"/>
  <c r="M160" i="6" s="1"/>
  <c r="M93" i="6"/>
  <c r="M106" i="6" s="1"/>
  <c r="O204" i="6"/>
  <c r="O210" i="6" s="1"/>
  <c r="O92" i="6" s="1"/>
  <c r="N210" i="6"/>
  <c r="N92" i="6" s="1"/>
  <c r="M162" i="6" l="1"/>
  <c r="K99" i="6"/>
  <c r="K120" i="6" s="1"/>
  <c r="K173" i="6"/>
  <c r="O271" i="6"/>
  <c r="O121" i="6" s="1"/>
  <c r="N271" i="6"/>
  <c r="N121" i="6" s="1"/>
  <c r="K235" i="6"/>
  <c r="K100" i="6"/>
  <c r="K102" i="6" s="1"/>
  <c r="AA21" i="14" s="1"/>
  <c r="AA22" i="14" s="1"/>
  <c r="AA23" i="14" s="1"/>
  <c r="O119" i="6"/>
  <c r="O93" i="6"/>
  <c r="O106" i="6" s="1"/>
  <c r="N119" i="6"/>
  <c r="N160" i="6" s="1"/>
  <c r="N93" i="6"/>
  <c r="N106" i="6" s="1"/>
  <c r="O160" i="6" l="1"/>
  <c r="O162" i="6" s="1"/>
  <c r="N162" i="6"/>
  <c r="K175" i="6"/>
  <c r="K335" i="6"/>
  <c r="K118" i="6"/>
  <c r="K122" i="6" s="1"/>
  <c r="K294" i="6" s="1"/>
  <c r="K336" i="6" l="1"/>
  <c r="K341" i="6"/>
  <c r="K342" i="6" l="1"/>
  <c r="K135" i="6"/>
  <c r="K343" i="6"/>
  <c r="K298" i="6" l="1"/>
  <c r="K299" i="6" s="1"/>
  <c r="K302" i="6" s="1"/>
  <c r="L340" i="6"/>
  <c r="K180" i="6"/>
  <c r="K181" i="6" s="1"/>
  <c r="K107" i="6" s="1"/>
  <c r="K303" i="6" l="1"/>
  <c r="K132" i="6"/>
  <c r="K136" i="6" s="1"/>
  <c r="K139" i="6" s="1"/>
  <c r="L301" i="6"/>
  <c r="L306" i="6" s="1"/>
  <c r="K168" i="6"/>
  <c r="K171" i="6" s="1"/>
  <c r="K177" i="6" s="1"/>
  <c r="K183" i="6" s="1"/>
  <c r="K286" i="6" l="1"/>
  <c r="K287" i="6" s="1"/>
  <c r="L285" i="6" s="1"/>
  <c r="L290" i="6" s="1"/>
  <c r="L318" i="6" s="1"/>
  <c r="L95" i="6" s="1"/>
  <c r="L96" i="6" s="1"/>
  <c r="L225" i="6" s="1"/>
  <c r="L228" i="6" s="1"/>
  <c r="L233" i="6" s="1"/>
  <c r="L98" i="6" s="1"/>
  <c r="K141" i="6"/>
  <c r="L230" i="6" l="1"/>
  <c r="L234" i="6" s="1"/>
  <c r="L99" i="6"/>
  <c r="L120" i="6" s="1"/>
  <c r="L173" i="6"/>
  <c r="L175" i="6" s="1"/>
  <c r="L235" i="6"/>
  <c r="L100" i="6"/>
  <c r="L102" i="6" s="1"/>
  <c r="AB21" i="14" s="1"/>
  <c r="AB22" i="14" s="1"/>
  <c r="AB23" i="14" s="1"/>
  <c r="L118" i="6" l="1"/>
  <c r="L122" i="6" s="1"/>
  <c r="L294" i="6" s="1"/>
  <c r="L335" i="6"/>
  <c r="L341" i="6" l="1"/>
  <c r="L336" i="6"/>
  <c r="L342" i="6" l="1"/>
  <c r="L135" i="6"/>
  <c r="L343" i="6"/>
  <c r="L298" i="6" l="1"/>
  <c r="L299" i="6" s="1"/>
  <c r="L302" i="6" s="1"/>
  <c r="M340" i="6"/>
  <c r="L180" i="6"/>
  <c r="L181" i="6" s="1"/>
  <c r="L107" i="6" s="1"/>
  <c r="L132" i="6" l="1"/>
  <c r="L136" i="6" s="1"/>
  <c r="L139" i="6" s="1"/>
  <c r="L286" i="6" s="1"/>
  <c r="L287" i="6" s="1"/>
  <c r="M285" i="6" s="1"/>
  <c r="M290" i="6" s="1"/>
  <c r="L303" i="6"/>
  <c r="M301" i="6"/>
  <c r="M306" i="6" s="1"/>
  <c r="L168" i="6"/>
  <c r="L171" i="6" s="1"/>
  <c r="L177" i="6" s="1"/>
  <c r="L183" i="6" s="1"/>
  <c r="M318" i="6" l="1"/>
  <c r="M95" i="6" s="1"/>
  <c r="M96" i="6" s="1"/>
  <c r="M225" i="6" s="1"/>
  <c r="M228" i="6" s="1"/>
  <c r="M233" i="6" s="1"/>
  <c r="M98" i="6" s="1"/>
  <c r="M230" i="6" l="1"/>
  <c r="M234" i="6" s="1"/>
  <c r="M99" i="6"/>
  <c r="M120" i="6" s="1"/>
  <c r="M173" i="6"/>
  <c r="M175" i="6" s="1"/>
  <c r="M235" i="6"/>
  <c r="M100" i="6"/>
  <c r="M102" i="6" s="1"/>
  <c r="AC21" i="14" s="1"/>
  <c r="AC22" i="14" s="1"/>
  <c r="AC23" i="14" s="1"/>
  <c r="M118" i="6" l="1"/>
  <c r="M122" i="6" s="1"/>
  <c r="M294" i="6" s="1"/>
  <c r="M335" i="6"/>
  <c r="M341" i="6" l="1"/>
  <c r="M336" i="6"/>
  <c r="M342" i="6" l="1"/>
  <c r="M343" i="6" s="1"/>
  <c r="M135" i="6"/>
  <c r="M298" i="6" l="1"/>
  <c r="M299" i="6" s="1"/>
  <c r="M302" i="6" s="1"/>
  <c r="N340" i="6"/>
  <c r="M180" i="6"/>
  <c r="M181" i="6" s="1"/>
  <c r="M107" i="6" s="1"/>
  <c r="M132" i="6" l="1"/>
  <c r="M136" i="6" s="1"/>
  <c r="M303" i="6"/>
  <c r="N301" i="6" s="1"/>
  <c r="N306" i="6" s="1"/>
  <c r="M139" i="6"/>
  <c r="M168" i="6" l="1"/>
  <c r="M171" i="6" s="1"/>
  <c r="M177" i="6" s="1"/>
  <c r="M183" i="6" s="1"/>
  <c r="M286" i="6"/>
  <c r="M287" i="6" s="1"/>
  <c r="N285" i="6" s="1"/>
  <c r="N290" i="6" s="1"/>
  <c r="N318" i="6" s="1"/>
  <c r="N95" i="6" s="1"/>
  <c r="N96" i="6" s="1"/>
  <c r="N225" i="6" s="1"/>
  <c r="N228" i="6" s="1"/>
  <c r="N233" i="6" s="1"/>
  <c r="N98" i="6" s="1"/>
  <c r="N230" i="6" l="1"/>
  <c r="N234" i="6" s="1"/>
  <c r="N99" i="6" l="1"/>
  <c r="N173" i="6"/>
  <c r="N175" i="6" s="1"/>
  <c r="N120" i="6"/>
  <c r="N100" i="6"/>
  <c r="N102" i="6" s="1"/>
  <c r="AD21" i="14" s="1"/>
  <c r="AD22" i="14" s="1"/>
  <c r="AD23" i="14" s="1"/>
  <c r="N235" i="6"/>
  <c r="N335" i="6" l="1"/>
  <c r="N336" i="6" s="1"/>
  <c r="N118" i="6"/>
  <c r="N122" i="6" s="1"/>
  <c r="N294" i="6" s="1"/>
  <c r="N341" i="6" l="1"/>
  <c r="N135" i="6"/>
  <c r="N342" i="6"/>
  <c r="N343" i="6" s="1"/>
  <c r="N298" i="6" l="1"/>
  <c r="N299" i="6" s="1"/>
  <c r="N302" i="6" s="1"/>
  <c r="O340" i="6"/>
  <c r="N180" i="6"/>
  <c r="N181" i="6" s="1"/>
  <c r="N107" i="6" s="1"/>
  <c r="N132" i="6" l="1"/>
  <c r="N136" i="6" s="1"/>
  <c r="N139" i="6" s="1"/>
  <c r="N303" i="6"/>
  <c r="O301" i="6" s="1"/>
  <c r="O306" i="6" s="1"/>
  <c r="N168" i="6" l="1"/>
  <c r="N171" i="6" s="1"/>
  <c r="N177" i="6" s="1"/>
  <c r="N183" i="6" s="1"/>
  <c r="N286" i="6"/>
  <c r="N287" i="6" s="1"/>
  <c r="O285" i="6" s="1"/>
  <c r="O290" i="6" s="1"/>
  <c r="O318" i="6" s="1"/>
  <c r="O95" i="6" s="1"/>
  <c r="O96" i="6" s="1"/>
  <c r="O225" i="6" s="1"/>
  <c r="O228" i="6" s="1"/>
  <c r="O233" i="6" s="1"/>
  <c r="O98" i="6" s="1"/>
  <c r="O230" i="6" l="1"/>
  <c r="O234" i="6" s="1"/>
  <c r="O99" i="6" l="1"/>
  <c r="O120" i="6" s="1"/>
  <c r="O173" i="6"/>
  <c r="O175" i="6" s="1"/>
  <c r="O100" i="6"/>
  <c r="O102" i="6" s="1"/>
  <c r="AE21" i="14" s="1"/>
  <c r="AE22" i="14" s="1"/>
  <c r="AE23" i="14" s="1"/>
  <c r="O235" i="6"/>
  <c r="O118" i="6" l="1"/>
  <c r="O122" i="6" s="1"/>
  <c r="O294" i="6" s="1"/>
  <c r="O335" i="6"/>
  <c r="O336" i="6" l="1"/>
  <c r="O341" i="6"/>
  <c r="O135" i="6" l="1"/>
  <c r="O342" i="6"/>
  <c r="O343" i="6" s="1"/>
  <c r="O180" i="6" s="1"/>
  <c r="O181" i="6" s="1"/>
  <c r="O107" i="6" s="1"/>
  <c r="O298" i="6" l="1"/>
  <c r="O299" i="6" s="1"/>
  <c r="O302" i="6" s="1"/>
  <c r="L140" i="6"/>
  <c r="L141" i="6" s="1"/>
  <c r="K153" i="6"/>
  <c r="K158" i="6"/>
  <c r="K164" i="6" s="1"/>
  <c r="K185" i="6" s="1"/>
  <c r="O132" i="6" l="1"/>
  <c r="O136" i="6" s="1"/>
  <c r="O139" i="6" s="1"/>
  <c r="O286" i="6" s="1"/>
  <c r="O287" i="6" s="1"/>
  <c r="O303" i="6"/>
  <c r="O168" i="6" s="1"/>
  <c r="O171" i="6" s="1"/>
  <c r="O177" i="6" s="1"/>
  <c r="O183" i="6" s="1"/>
  <c r="M140" i="6"/>
  <c r="M141" i="6" s="1"/>
  <c r="L153" i="6"/>
  <c r="L158" i="6" s="1"/>
  <c r="L164" i="6" s="1"/>
  <c r="L185" i="6" s="1"/>
  <c r="M153" i="6" l="1"/>
  <c r="M158" i="6" s="1"/>
  <c r="M164" i="6" s="1"/>
  <c r="M185" i="6" s="1"/>
  <c r="N140" i="6"/>
  <c r="N141" i="6" s="1"/>
  <c r="N153" i="6" l="1"/>
  <c r="N158" i="6" s="1"/>
  <c r="N164" i="6" s="1"/>
  <c r="N185" i="6" s="1"/>
  <c r="O140" i="6"/>
  <c r="O141" i="6" s="1"/>
  <c r="O153" i="6" s="1"/>
  <c r="O158" i="6" s="1"/>
  <c r="O164" i="6" s="1"/>
  <c r="O185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<sst xmlns="http://schemas.openxmlformats.org/spreadsheetml/2006/main" count="1076" uniqueCount="779">
  <si>
    <t>Net Revenue</t>
  </si>
  <si>
    <t>Cost of Sales</t>
  </si>
  <si>
    <t>EBITDA</t>
  </si>
  <si>
    <t>Depreciation &amp; Amortization</t>
  </si>
  <si>
    <t>EBIT</t>
  </si>
  <si>
    <t>Net Income</t>
  </si>
  <si>
    <t>Operating Activities</t>
  </si>
  <si>
    <t>Other</t>
  </si>
  <si>
    <t>Operating Cash Flow</t>
  </si>
  <si>
    <t>ASSETS</t>
  </si>
  <si>
    <t>Cash</t>
  </si>
  <si>
    <t>Accounts Receivable</t>
  </si>
  <si>
    <t>Inventory</t>
  </si>
  <si>
    <t>Total Current Assets</t>
  </si>
  <si>
    <t>Net PP&amp;E</t>
  </si>
  <si>
    <t>Total Assets</t>
  </si>
  <si>
    <t>LIABILITIES AND EQUITY</t>
  </si>
  <si>
    <t>Accounts Payable</t>
  </si>
  <si>
    <t>Total Current Liabilities</t>
  </si>
  <si>
    <t>Total Long Term Liabilities</t>
  </si>
  <si>
    <t>Total Liabilities</t>
  </si>
  <si>
    <t>Shareholder's Equity</t>
  </si>
  <si>
    <t>Total Liabilities and Equity</t>
  </si>
  <si>
    <t>S,G &amp; A</t>
  </si>
  <si>
    <t>Income Statement</t>
  </si>
  <si>
    <t>Revenue</t>
  </si>
  <si>
    <t>Gross Revenue</t>
  </si>
  <si>
    <t>Total Costs</t>
  </si>
  <si>
    <t>Depreciation</t>
  </si>
  <si>
    <t>Cash Flow Statement</t>
  </si>
  <si>
    <t>Freight &amp; Warehousing</t>
  </si>
  <si>
    <t>CAPEX</t>
  </si>
  <si>
    <t>Change in the Cash Position</t>
  </si>
  <si>
    <t>Beginning Cash</t>
  </si>
  <si>
    <t>Ending Cash</t>
  </si>
  <si>
    <t>Financing Activities</t>
  </si>
  <si>
    <t>Interest Expense</t>
  </si>
  <si>
    <t>EBT</t>
  </si>
  <si>
    <t>Current Income Taxes</t>
  </si>
  <si>
    <t>Total Income Taxes</t>
  </si>
  <si>
    <t>Investing Activities</t>
  </si>
  <si>
    <t>Investing Cash Flow</t>
  </si>
  <si>
    <t>Financing Cash Flow</t>
  </si>
  <si>
    <t>Balance Sheet</t>
  </si>
  <si>
    <t>Common Shares</t>
  </si>
  <si>
    <t>Retained Earnings</t>
  </si>
  <si>
    <t>Common Shares Issuance/ (Buy-Back)</t>
  </si>
  <si>
    <t>Common Dividends</t>
  </si>
  <si>
    <t>Changes in working capital</t>
  </si>
  <si>
    <t>Senior Secured Term Debt</t>
  </si>
  <si>
    <t>Revolver Issuance / (Repayment)</t>
  </si>
  <si>
    <t>Term Debt Issuance / (Repayment)</t>
  </si>
  <si>
    <t>Bank Debt - Revolver</t>
  </si>
  <si>
    <t>Deferred Income Taxes</t>
  </si>
  <si>
    <t>Cost Adjustments - Gain/(Loss)</t>
  </si>
  <si>
    <t>Prepaid Expenses</t>
  </si>
  <si>
    <t>($ Millions)</t>
  </si>
  <si>
    <t>Total Long Term Assets</t>
  </si>
  <si>
    <t>Blu Containers Company</t>
  </si>
  <si>
    <t>Practical Skills Module: Financial Modeling</t>
  </si>
  <si>
    <t>Financial Model Worksheet - Vertical Orientation</t>
  </si>
  <si>
    <t>Summary Outputs</t>
  </si>
  <si>
    <t>Inputs and Assumptions</t>
  </si>
  <si>
    <t>General</t>
  </si>
  <si>
    <t>Equity</t>
  </si>
  <si>
    <t>Product Pricing</t>
  </si>
  <si>
    <t>Operations</t>
  </si>
  <si>
    <t>Costs</t>
  </si>
  <si>
    <t>Interest Rates</t>
  </si>
  <si>
    <t>Raw Materials</t>
  </si>
  <si>
    <t>Utilities</t>
  </si>
  <si>
    <t>Rent</t>
  </si>
  <si>
    <t>Operating Labour</t>
  </si>
  <si>
    <t>SG&amp;A</t>
  </si>
  <si>
    <t>Increases</t>
  </si>
  <si>
    <t>per Unit</t>
  </si>
  <si>
    <t>Inflation on a unit basis</t>
  </si>
  <si>
    <t>MM</t>
  </si>
  <si>
    <t>Inflation on a total basis</t>
  </si>
  <si>
    <t>Annual Factory Capacity (000's units):</t>
  </si>
  <si>
    <t>Interest earned on Cash balances:</t>
  </si>
  <si>
    <t>Interest rate on Bank Revolver:</t>
  </si>
  <si>
    <t>Interest rate on Senior Secured Term Debt:</t>
  </si>
  <si>
    <t>Taxes</t>
  </si>
  <si>
    <t>Offset</t>
  </si>
  <si>
    <t>Index</t>
  </si>
  <si>
    <t>-</t>
  </si>
  <si>
    <t>First year of Forecase in Financial Model:</t>
  </si>
  <si>
    <t>Three Scenarios have been used for Inflations, Product Pricing, and Sales Volume Growth</t>
  </si>
  <si>
    <t>Common Dividend Payout Rate</t>
  </si>
  <si>
    <t>The product pricing cases used in the model are as follows:</t>
  </si>
  <si>
    <t>Pricing Case</t>
  </si>
  <si>
    <t>0 - 4</t>
  </si>
  <si>
    <t>Base Case</t>
  </si>
  <si>
    <t>Research Forecast</t>
  </si>
  <si>
    <t>Best Case</t>
  </si>
  <si>
    <t xml:space="preserve"> </t>
  </si>
  <si>
    <t>Worst Case</t>
  </si>
  <si>
    <t>Cost Item</t>
  </si>
  <si>
    <t>Depreciation Methodology Used:</t>
  </si>
  <si>
    <t>Straight Line</t>
  </si>
  <si>
    <t>Years remaining for depreciation of existing assets:</t>
  </si>
  <si>
    <t>Years used for depreciation of new assets:</t>
  </si>
  <si>
    <t>Tax rate assumed in the model:</t>
  </si>
  <si>
    <t>Additional tax assumptions in "Other Assumptions" box</t>
  </si>
  <si>
    <t>OTHER ASSUMPTIONS</t>
  </si>
  <si>
    <t>Capital Expenditures</t>
  </si>
  <si>
    <t>Income Tax</t>
  </si>
  <si>
    <t>Working Capital Days</t>
  </si>
  <si>
    <t>Change in Debt &amp; Equity</t>
  </si>
  <si>
    <t>Investing Activities - Other</t>
  </si>
  <si>
    <t>Reduction in EBT for timing differences</t>
  </si>
  <si>
    <t>Inventories</t>
  </si>
  <si>
    <t>Other Assets</t>
  </si>
  <si>
    <t>Other Liabilities</t>
  </si>
  <si>
    <t>Senior Term Debt Issuance / (Repayment)</t>
  </si>
  <si>
    <t>Common Stock Issuance / (Buy-back)</t>
  </si>
  <si>
    <t>days</t>
  </si>
  <si>
    <t>Economic and Sales Scenarios</t>
  </si>
  <si>
    <t>SCENARIO SWITCH:</t>
  </si>
  <si>
    <t>ECONOMIC SCENARIOS</t>
  </si>
  <si>
    <t>Cost Inflation</t>
  </si>
  <si>
    <t>SALES SCENARIOS</t>
  </si>
  <si>
    <t>Sales Price - $/Unit</t>
  </si>
  <si>
    <t>Sales Volume Growth</t>
  </si>
  <si>
    <t>SUMMARY VALUES - BASE CASE</t>
  </si>
  <si>
    <t>Projected</t>
  </si>
  <si>
    <t>Trend</t>
  </si>
  <si>
    <t>Income Statement Items</t>
  </si>
  <si>
    <t xml:space="preserve">   Growth</t>
  </si>
  <si>
    <t xml:space="preserve">   Margin</t>
  </si>
  <si>
    <t>(MM)</t>
  </si>
  <si>
    <t>(%)</t>
  </si>
  <si>
    <t>SUMMARY VALUES - BEST CASE</t>
  </si>
  <si>
    <t>SUMMARY VALUES - WORST CASE</t>
  </si>
  <si>
    <t>Best Case: +4.0%</t>
  </si>
  <si>
    <t>Worst Case: +4.0%</t>
  </si>
  <si>
    <t>Live case -&gt;</t>
  </si>
  <si>
    <t xml:space="preserve">Choose </t>
  </si>
  <si>
    <t xml:space="preserve">If </t>
  </si>
  <si>
    <t>Revenue Schedule</t>
  </si>
  <si>
    <t>Units</t>
  </si>
  <si>
    <t>Pricing</t>
  </si>
  <si>
    <t xml:space="preserve">Gross Sales Price </t>
  </si>
  <si>
    <t>($/unit)</t>
  </si>
  <si>
    <t>Net Sales Price</t>
  </si>
  <si>
    <t>Sales Volume</t>
  </si>
  <si>
    <t>Annual Factory Capacity</t>
  </si>
  <si>
    <t>(000's units)</t>
  </si>
  <si>
    <t>Annual Sales Volume</t>
  </si>
  <si>
    <t>Implied Operating Rate</t>
  </si>
  <si>
    <t>($ MM)</t>
  </si>
  <si>
    <t>Cost of Production Schedule</t>
  </si>
  <si>
    <t>COSTS PER UNIT</t>
  </si>
  <si>
    <t>Variable Costs</t>
  </si>
  <si>
    <t>Total Variable Costs</t>
  </si>
  <si>
    <t>Fixed Costs</t>
  </si>
  <si>
    <t>Total Fixed Costs</t>
  </si>
  <si>
    <t>COSTS IN MILLIONS</t>
  </si>
  <si>
    <t>Capacity Constraint - Operating Rate</t>
  </si>
  <si>
    <t>Years Remaining Existing Assets:</t>
  </si>
  <si>
    <t>Depreciation Years on New Assets:</t>
  </si>
  <si>
    <t>Depreciation to Existing Assets</t>
  </si>
  <si>
    <t>Total Depreciation</t>
  </si>
  <si>
    <t>Income Tax Schedule</t>
  </si>
  <si>
    <t>Tax Rate</t>
  </si>
  <si>
    <t xml:space="preserve">Accounting EBT (as is on I/S)   </t>
  </si>
  <si>
    <t>A</t>
  </si>
  <si>
    <r>
      <t xml:space="preserve">Less: Reduction in EBT for timing differences </t>
    </r>
    <r>
      <rPr>
        <vertAlign val="superscript"/>
        <sz val="10"/>
        <rFont val="Arial"/>
        <family val="2"/>
      </rPr>
      <t>(1)</t>
    </r>
  </si>
  <si>
    <t>B</t>
  </si>
  <si>
    <t>Taxes as Appearing on Income Statement</t>
  </si>
  <si>
    <t>Increase (Decrease) in Deferred Income Taxes</t>
  </si>
  <si>
    <t>Total Income Taxes (Same as Accounting Taxes Above)</t>
  </si>
  <si>
    <t>(1) Assumes aggregate reduction in government pre-tax earnings due to timing differences between accounting and government rules.</t>
  </si>
  <si>
    <t>Working Capital Schedule</t>
  </si>
  <si>
    <t>Days per Year</t>
  </si>
  <si>
    <t>(days)</t>
  </si>
  <si>
    <t>Days In</t>
  </si>
  <si>
    <t>Account Balances</t>
  </si>
  <si>
    <t>Net Working Capital</t>
  </si>
  <si>
    <t>Change in Working Capital</t>
  </si>
  <si>
    <t>Debt and Interest Schedule</t>
  </si>
  <si>
    <t>FINANCING COMPONENT</t>
  </si>
  <si>
    <t>Amount Outstanding - Beginning</t>
  </si>
  <si>
    <t>Change in Cash</t>
  </si>
  <si>
    <t>Amount Outstanding - Ending</t>
  </si>
  <si>
    <t>Interest Rate</t>
  </si>
  <si>
    <t>Annual Interest Income</t>
  </si>
  <si>
    <t>Revolver</t>
  </si>
  <si>
    <t>Mandatory Debt Repayments</t>
  </si>
  <si>
    <t>Dividends</t>
  </si>
  <si>
    <t>FCF After Mandatory Debt Repayment and Dividend</t>
  </si>
  <si>
    <t>Revolver Outstanding - Beginning</t>
  </si>
  <si>
    <t>Additions / (Repayments)</t>
  </si>
  <si>
    <t>Revolver Outstanding - Ending</t>
  </si>
  <si>
    <t>Annual Interest Expense</t>
  </si>
  <si>
    <t>Net Interest Expense</t>
  </si>
  <si>
    <t>Shareholders' Equity Schedule</t>
  </si>
  <si>
    <t>New Issuance / (Buy-Back)</t>
  </si>
  <si>
    <t>Dividend Payout Rate</t>
  </si>
  <si>
    <t>Common Dividend</t>
  </si>
  <si>
    <t>Fixed Assets (PP&amp;E) / Depreciation Schedule</t>
  </si>
  <si>
    <t>Fixed Assets (PP&amp;E) - Ending</t>
  </si>
  <si>
    <t>Fixed Assers (PP&amp;E) - Beginning</t>
  </si>
  <si>
    <t>Plus: Capex</t>
  </si>
  <si>
    <t>Government EBT / Taxable income</t>
  </si>
  <si>
    <t>Accounting Taxes</t>
  </si>
  <si>
    <t>Current Tax  (B)</t>
  </si>
  <si>
    <t>Check</t>
  </si>
  <si>
    <t>Margins</t>
  </si>
  <si>
    <t>EBITDA Margin</t>
  </si>
  <si>
    <t>EBIT Margin</t>
  </si>
  <si>
    <t>Return on Equity</t>
  </si>
  <si>
    <t>Whatever you do in one will be done in ALL ACTIVE SHEETS</t>
  </si>
  <si>
    <t>Select multiple sheets using CTRL</t>
  </si>
  <si>
    <t>Warning, must deactivate after printing or you will break the workbook</t>
  </si>
  <si>
    <t>Print selection (active sheets)</t>
  </si>
  <si>
    <t>Prints entire workbook</t>
  </si>
  <si>
    <t>CTRL p</t>
  </si>
  <si>
    <t>Print total model</t>
  </si>
  <si>
    <t>columns to repeat at left</t>
  </si>
  <si>
    <t>Rows to repeat at top</t>
  </si>
  <si>
    <t>can change order of pages when printed. Also can add columns on some pages</t>
  </si>
  <si>
    <t>print area: select range (table), comma, next range, comma, etc</t>
  </si>
  <si>
    <t>Enter each page range, separated by at leaast one blank row</t>
  </si>
  <si>
    <t>Sheet</t>
  </si>
  <si>
    <t>Custom footer. As above</t>
  </si>
  <si>
    <t>Header/footer</t>
  </si>
  <si>
    <t>Center on page horizontally</t>
  </si>
  <si>
    <t>minimize the margins :.25" to .5"</t>
  </si>
  <si>
    <t xml:space="preserve">Letter </t>
  </si>
  <si>
    <t>Scale no less than 80%</t>
  </si>
  <si>
    <t>Landscape</t>
  </si>
  <si>
    <t>Page</t>
  </si>
  <si>
    <t>alt P SP</t>
  </si>
  <si>
    <t>printing</t>
  </si>
  <si>
    <t>Everyline on CFLO stmt not picked up on balance sheet</t>
  </si>
  <si>
    <t>highlight cells, ctrl + /</t>
  </si>
  <si>
    <t>Inconsistent Formulas - fixing and error and forgetting to copy over</t>
  </si>
  <si>
    <t>f5 + special. Look for constants</t>
  </si>
  <si>
    <t>Hard coded formulas</t>
  </si>
  <si>
    <t>Sign issues: dividends</t>
  </si>
  <si>
    <t>Sign issues: working capital</t>
  </si>
  <si>
    <t>Sign issues: capex</t>
  </si>
  <si>
    <t>Defferred tax, dep'n</t>
  </si>
  <si>
    <t>Cumulative issues</t>
  </si>
  <si>
    <t xml:space="preserve"> common: (debt &amp; equity, Working capital,) beg/ending</t>
  </si>
  <si>
    <t>Bad links - Linking to wrong row</t>
  </si>
  <si>
    <t>Use keyboard. Mouse usually causes issues</t>
  </si>
  <si>
    <t>Bad links - linking to wrong column</t>
  </si>
  <si>
    <t>Rows added and the total doesn't capture it</t>
  </si>
  <si>
    <t>Totals are not correct</t>
  </si>
  <si>
    <t>why balance sheet doesn’t balance (10)</t>
  </si>
  <si>
    <t>10 troubleshooting</t>
  </si>
  <si>
    <t>Working capital</t>
  </si>
  <si>
    <t>Cashflow</t>
  </si>
  <si>
    <t>BS should be a check that the model is working properly.</t>
  </si>
  <si>
    <t xml:space="preserve">Problem being it will balance when wrong. </t>
  </si>
  <si>
    <t>No hard coding or formulas referring to the balance sheet</t>
  </si>
  <si>
    <t>Balance sheet</t>
  </si>
  <si>
    <t>Every lin should link to change, not beg or end</t>
  </si>
  <si>
    <t>each piece of debt and equity should have its own line</t>
  </si>
  <si>
    <t>equity</t>
  </si>
  <si>
    <t>debt</t>
  </si>
  <si>
    <t>Revolver Issuance / (Repayment) - Debt schedule</t>
  </si>
  <si>
    <t>never include interest expense, that’s on IS</t>
  </si>
  <si>
    <t>Reflecs changes in the liabilities section not included in income stmt</t>
  </si>
  <si>
    <t>LAST</t>
  </si>
  <si>
    <t>CF from financing</t>
  </si>
  <si>
    <t>outflow (must be negative)</t>
  </si>
  <si>
    <t>CAPEX - Assumptions</t>
  </si>
  <si>
    <t>Reflect changes in balance sheet not included in income statement</t>
  </si>
  <si>
    <t>CF from Investing</t>
  </si>
  <si>
    <t>Shows remaining accruals that were not received/paid in cash</t>
  </si>
  <si>
    <t>Change in WC - WC schedule</t>
  </si>
  <si>
    <t>Deferred Income taxes income statement</t>
  </si>
  <si>
    <t>Depreciation - Income statement add back</t>
  </si>
  <si>
    <t>Net income - Income statement</t>
  </si>
  <si>
    <t>Basically a cash income statement</t>
  </si>
  <si>
    <t>Unwinding the accruals on income statement</t>
  </si>
  <si>
    <t>CF from Operations</t>
  </si>
  <si>
    <t>Indirect method</t>
  </si>
  <si>
    <t>Cash flow</t>
  </si>
  <si>
    <t>No work on financial statements. Just link to schedules</t>
  </si>
  <si>
    <t>Lesson 9.3 - Balance Sheet</t>
  </si>
  <si>
    <t>Lesson 9.2 - Cash Flow Statement</t>
  </si>
  <si>
    <t>Lesson 9.1 - Income Statement</t>
  </si>
  <si>
    <t>Financial Statements</t>
  </si>
  <si>
    <t>capture sign accordingly</t>
  </si>
  <si>
    <t>Common Dividend needs to go to Retained earnings, Cash flow statement, and revolver</t>
  </si>
  <si>
    <t>dividends are usually % of net cash flow or Net Income</t>
  </si>
  <si>
    <t>New issue/buyback comes from assumptions (Usually)</t>
  </si>
  <si>
    <t>each piece of equity get's it's own section. Even preferred equity</t>
  </si>
  <si>
    <t>Equity schedule</t>
  </si>
  <si>
    <t>=Interest expense1+IntExp2-Int Income</t>
  </si>
  <si>
    <t xml:space="preserve">Net Interest Expense </t>
  </si>
  <si>
    <t>Change in revolver -&gt; 4 rules</t>
  </si>
  <si>
    <t>Dividends (cash flow statement</t>
  </si>
  <si>
    <t>Equity- Common stock/ (buy backs)Equity Schedule</t>
  </si>
  <si>
    <t>Mandatory debt repayments (from senior secured debt schedule)</t>
  </si>
  <si>
    <t>Cashflows from CF (Operating, Investing)</t>
  </si>
  <si>
    <t>steps</t>
  </si>
  <si>
    <t>model</t>
  </si>
  <si>
    <t>Negative is important</t>
  </si>
  <si>
    <t>=-min(CFLO + Beg cash, Beg Revolver)</t>
  </si>
  <si>
    <t>We want to use a min function</t>
  </si>
  <si>
    <t>Most people use a bunch of if statements</t>
  </si>
  <si>
    <t>How to buld the four rules in the revolver</t>
  </si>
  <si>
    <t>However, Never pay more than what's outstanding</t>
  </si>
  <si>
    <t>If excess CF, replay revolver / sweep</t>
  </si>
  <si>
    <t>However, first check if company has excess cash in bank account</t>
  </si>
  <si>
    <t>If CF shortfall in year, draw down revolver (borrow)</t>
  </si>
  <si>
    <t>Four rules for every revolver</t>
  </si>
  <si>
    <t>In many revolvers, if excess cash is available they will pay down revolver via Cash sweep</t>
  </si>
  <si>
    <t>Build section</t>
  </si>
  <si>
    <t>Calc every year excess cash/shortfall each year</t>
  </si>
  <si>
    <t>Two steps to build a revolver</t>
  </si>
  <si>
    <t>If you don't include one, you end up showing negative cash on BS</t>
  </si>
  <si>
    <t>In case they need one</t>
  </si>
  <si>
    <t>Should include in models, even if they don't have one</t>
  </si>
  <si>
    <t>Revolver is unique, goes up and down</t>
  </si>
  <si>
    <t>Most pieces of debt only ever go down</t>
  </si>
  <si>
    <t>AKA Bank line, operating line, LOC, etc</t>
  </si>
  <si>
    <t>Short term debt used to fund cash shortfalls</t>
  </si>
  <si>
    <t>Modeling the revolver</t>
  </si>
  <si>
    <t>Assumptions</t>
  </si>
  <si>
    <t>Interest rate</t>
  </si>
  <si>
    <t>Repayments</t>
  </si>
  <si>
    <t>balance sheet</t>
  </si>
  <si>
    <t>ending bal</t>
  </si>
  <si>
    <t>LT debt</t>
  </si>
  <si>
    <t>Cashflow stmt</t>
  </si>
  <si>
    <t>Change in cash f</t>
  </si>
  <si>
    <t>Beginning bal</t>
  </si>
  <si>
    <t>forecasting cash</t>
  </si>
  <si>
    <t>Revolver last</t>
  </si>
  <si>
    <t>Long term debt</t>
  </si>
  <si>
    <t>Build cash first</t>
  </si>
  <si>
    <t>Order of operations</t>
  </si>
  <si>
    <t>Debt schedule</t>
  </si>
  <si>
    <t>Both approaches are used by models globally</t>
  </si>
  <si>
    <t>More realistic, but usually leads to circular reference</t>
  </si>
  <si>
    <t>assumes changes happen evenly throughout period</t>
  </si>
  <si>
    <t>=rate * Average (beg , end)</t>
  </si>
  <si>
    <t>Assums any changes happen at end of period</t>
  </si>
  <si>
    <t>int rate * opening balance</t>
  </si>
  <si>
    <t>How to calc int exp</t>
  </si>
  <si>
    <t>Begin with ending balance</t>
  </si>
  <si>
    <t>How to start</t>
  </si>
  <si>
    <t>=rate * amount</t>
  </si>
  <si>
    <t>Interest expense</t>
  </si>
  <si>
    <t>assumptions</t>
  </si>
  <si>
    <t>=sum beg plus change</t>
  </si>
  <si>
    <t>Ending balance. In balance sheet</t>
  </si>
  <si>
    <t>=assumption or calculation</t>
  </si>
  <si>
    <t>Addition/repayments (change)</t>
  </si>
  <si>
    <t>= end of pervious period</t>
  </si>
  <si>
    <t>Beginning balance</t>
  </si>
  <si>
    <t>Items</t>
  </si>
  <si>
    <t>Should be modeled in a similar way</t>
  </si>
  <si>
    <t>Each piece of Debt and equity should have its own section in the model</t>
  </si>
  <si>
    <t>Tips</t>
  </si>
  <si>
    <t>Fees - Issuance fees, underwriting fees, standby fees</t>
  </si>
  <si>
    <t>Covenants or other restrictions</t>
  </si>
  <si>
    <t>Other concepts like Seniority and options</t>
  </si>
  <si>
    <t>Maturity / repayments. Amort</t>
  </si>
  <si>
    <t>Cost - what is the cost, Interest rate Fixed vs variable; dividends, etc</t>
  </si>
  <si>
    <t>Amounts of each piece of Debt and equity</t>
  </si>
  <si>
    <t>Six questions to underdatand regarding each piee of D&amp;E</t>
  </si>
  <si>
    <t>Make a plan for Debt and equity</t>
  </si>
  <si>
    <t>Step 1</t>
  </si>
  <si>
    <t>Numbers won't be correct until finished</t>
  </si>
  <si>
    <t>Most companies have debt; all companies have equity (even if neg)</t>
  </si>
  <si>
    <t>Capital Structure</t>
  </si>
  <si>
    <t>Forecasting Debt and Equity</t>
  </si>
  <si>
    <t>Lesson 8.7 - The Equity Schedule</t>
  </si>
  <si>
    <t>Lesson 8.6 - Modeling the Revolver</t>
  </si>
  <si>
    <t>Lesson 8.5 - Revolving Credit Facility</t>
  </si>
  <si>
    <t>Lesson 8.4 - Long-Term Debt</t>
  </si>
  <si>
    <t>Lesson 8.3 - Forecasting Cash</t>
  </si>
  <si>
    <t>Lesson 8.2 - The Debt Schedule</t>
  </si>
  <si>
    <t>Lesson 8.1 - Forecasting Debt and Equity</t>
  </si>
  <si>
    <t>THIS GOES IN BALANCE SHEET</t>
  </si>
  <si>
    <t>Increase in Change in NWC = spending more money, so negative value</t>
  </si>
  <si>
    <t>=prior year - current year</t>
  </si>
  <si>
    <t>Change in NWC</t>
  </si>
  <si>
    <t>=CA - CL</t>
  </si>
  <si>
    <t>Expenses</t>
  </si>
  <si>
    <t>=COGS / DAYS * AP DAYS</t>
  </si>
  <si>
    <t>AR</t>
  </si>
  <si>
    <t>=REV / DAYS * AR Days</t>
  </si>
  <si>
    <t>Step 4</t>
  </si>
  <si>
    <t>Use assumptions</t>
  </si>
  <si>
    <t>Step 3</t>
  </si>
  <si>
    <t>=AR / REV * Days in year</t>
  </si>
  <si>
    <t>Historical days</t>
  </si>
  <si>
    <t>Step 2</t>
  </si>
  <si>
    <t>Get future dollar balances; calculations</t>
  </si>
  <si>
    <t>Get days in future: from assumptions</t>
  </si>
  <si>
    <t xml:space="preserve">Calculate historical days </t>
  </si>
  <si>
    <t>grab historical dollar balances "repeat from balance sheet"</t>
  </si>
  <si>
    <t>clock like order</t>
  </si>
  <si>
    <t>4 steps for WC</t>
  </si>
  <si>
    <t>Common lines on WC</t>
  </si>
  <si>
    <t>eg 50 days inventory "before needing to reorder"</t>
  </si>
  <si>
    <t>eg 30 days before collecting receivable "vendor financed"</t>
  </si>
  <si>
    <t>Cash tied up and unavailable to use</t>
  </si>
  <si>
    <t>WC days</t>
  </si>
  <si>
    <t>"capital items needed to run their day to day operations"</t>
  </si>
  <si>
    <t>change in WE for the CFS</t>
  </si>
  <si>
    <t>Future balances for the balance sheet</t>
  </si>
  <si>
    <t>On WC calc</t>
  </si>
  <si>
    <t>Non int are forecasted on working capital schedule WCS</t>
  </si>
  <si>
    <t>Interest bearing CA and CL are forecast on debt schedule</t>
  </si>
  <si>
    <t>Model schedules</t>
  </si>
  <si>
    <t>If says "Non-cash WC", they are specifically excluding cash and int bearing accts</t>
  </si>
  <si>
    <t>Aggregate change in all non-interest bearing curr assets and curr liab during period</t>
  </si>
  <si>
    <t>CFS has line, Change in WC</t>
  </si>
  <si>
    <t>Excluding Ca like Cash, ST investments, and CL like ST debt</t>
  </si>
  <si>
    <t>In the model we are talking about non-interest bearing CA and CL</t>
  </si>
  <si>
    <t>Some CA and CL are interest bearing</t>
  </si>
  <si>
    <t>In a model</t>
  </si>
  <si>
    <t>All have some WC</t>
  </si>
  <si>
    <t>AP</t>
  </si>
  <si>
    <t>common items</t>
  </si>
  <si>
    <t>Settled within one year</t>
  </si>
  <si>
    <t>Current assets and current liabilities on a balance sheet</t>
  </si>
  <si>
    <t>WC</t>
  </si>
  <si>
    <t>Forecasting working capital</t>
  </si>
  <si>
    <t>Lesson 7.6 - Calculating Working Capital Balances</t>
  </si>
  <si>
    <t>Lesson 7.5 - Deriving Working Capital Days</t>
  </si>
  <si>
    <t>Lesson 7.4 - Automating Days per Year</t>
  </si>
  <si>
    <t>Lesson 7.3 - Working Capital Schedule</t>
  </si>
  <si>
    <t>Lesson 7.2 - Working Capital Days</t>
  </si>
  <si>
    <t>Lesson 7.1 - Forecasting Working Capital</t>
  </si>
  <si>
    <t>Working Capital</t>
  </si>
  <si>
    <t>tax</t>
  </si>
  <si>
    <t>rate</t>
  </si>
  <si>
    <t>ebt</t>
  </si>
  <si>
    <t>Taxable Income (Gov't)</t>
  </si>
  <si>
    <t>2023f</t>
  </si>
  <si>
    <t>EBT (accounting)</t>
  </si>
  <si>
    <t>tax example</t>
  </si>
  <si>
    <t>Applies primarily to high leverage LBO situations</t>
  </si>
  <si>
    <t>Not all interest charges will be a deductible expense</t>
  </si>
  <si>
    <t>Used to discourage companies from having too much debt</t>
  </si>
  <si>
    <t>some govt's limit how much interest can be deducted</t>
  </si>
  <si>
    <t>Interest deductibility</t>
  </si>
  <si>
    <t>In some countries, can be applied retrospectively</t>
  </si>
  <si>
    <t>Govt allows company to use historic losses to shelter future earnings</t>
  </si>
  <si>
    <t>Tax Losses : NOL, tax loss carry forward (TLCF</t>
  </si>
  <si>
    <t>govt - Allow to accelerate depreciation.
Effect being stimulates economy</t>
  </si>
  <si>
    <t>Accounting - Dep over expected "useful life"</t>
  </si>
  <si>
    <t>Three big diff</t>
  </si>
  <si>
    <t>Many differences between the two sets of rules</t>
  </si>
  <si>
    <t>Incentive to make look BAD AS POSSIBLE</t>
  </si>
  <si>
    <t>Government rules: IRS, CRA, HMRC, ATO</t>
  </si>
  <si>
    <t>Incentive to make look GOOD AS POSSIBLE</t>
  </si>
  <si>
    <t>Accounting statements: investors, creditors, regulators, etc</t>
  </si>
  <si>
    <t>Accounting rules, US GAAP, IFRS</t>
  </si>
  <si>
    <t>All companies create two sets of rules</t>
  </si>
  <si>
    <t>Why do taxes get deffered?</t>
  </si>
  <si>
    <t>Needed to forecast CFS</t>
  </si>
  <si>
    <t>Huge impact on CASH FLOW</t>
  </si>
  <si>
    <t>net income</t>
  </si>
  <si>
    <t>Deffered Tax - may get paid in future (way out)</t>
  </si>
  <si>
    <t>ii</t>
  </si>
  <si>
    <t>income tax</t>
  </si>
  <si>
    <t>Current Tax - taxes paid as cash</t>
  </si>
  <si>
    <t>i</t>
  </si>
  <si>
    <t>Multiply earning by tax*</t>
  </si>
  <si>
    <t>All companies have two lines on their income statement for taxes</t>
  </si>
  <si>
    <t>Not all corporate income taxes are paid out in the current period as cash</t>
  </si>
  <si>
    <t>Reasons</t>
  </si>
  <si>
    <t>Tax rate</t>
  </si>
  <si>
    <t>flawed method</t>
  </si>
  <si>
    <t>2022a</t>
  </si>
  <si>
    <t>Forecasting Income Tax</t>
  </si>
  <si>
    <t>Ending Fixed assets  = Beg Fixed assets + Capex - Dep'n</t>
  </si>
  <si>
    <t>tl;dr</t>
  </si>
  <si>
    <t>PP&amp;E</t>
  </si>
  <si>
    <t>how to fully depreciate the assets within the life of the model</t>
  </si>
  <si>
    <t>technical</t>
  </si>
  <si>
    <t>Skills we will review</t>
  </si>
  <si>
    <t>sum of the years digits</t>
  </si>
  <si>
    <t>double declining balance</t>
  </si>
  <si>
    <t>declining balance</t>
  </si>
  <si>
    <t>Straight line (most common)</t>
  </si>
  <si>
    <t>Methods to depreciate assets</t>
  </si>
  <si>
    <t>2. deprecaition on new assets</t>
  </si>
  <si>
    <t>1 spreciation to existing assets</t>
  </si>
  <si>
    <t>Two steps</t>
  </si>
  <si>
    <t>intangible assets</t>
  </si>
  <si>
    <t>Goodwill</t>
  </si>
  <si>
    <t>fixed assets forecast</t>
  </si>
  <si>
    <t>depreciation</t>
  </si>
  <si>
    <t>Capex</t>
  </si>
  <si>
    <t>things to include:</t>
  </si>
  <si>
    <t>fixed asset sch</t>
  </si>
  <si>
    <t>Capex and depreciations sch</t>
  </si>
  <si>
    <t>Depreciation schedule</t>
  </si>
  <si>
    <t>Names of this schedule</t>
  </si>
  <si>
    <t>different ways - this is waterfall approach</t>
  </si>
  <si>
    <t>build it, link it</t>
  </si>
  <si>
    <t>We also don’t want to build big formulas on income statements</t>
  </si>
  <si>
    <t>Why do we need it? Bc most companies have fixed assets and depreciation</t>
  </si>
  <si>
    <t>Forecasting depreciation</t>
  </si>
  <si>
    <t>Minimized errors and makes models much easier to check and audit</t>
  </si>
  <si>
    <t>2. Do all linking at end ( build schedules then link them in)</t>
  </si>
  <si>
    <t>1. Do it as you go (build rev, then costs, then link)</t>
  </si>
  <si>
    <t>Options to link the financial statements</t>
  </si>
  <si>
    <t>2. Build it, then link it</t>
  </si>
  <si>
    <t>1. Repeat and link</t>
  </si>
  <si>
    <t>Two common sayings</t>
  </si>
  <si>
    <t>Build it then link it</t>
  </si>
  <si>
    <t>For every additional 25k units etc</t>
  </si>
  <si>
    <t>beyond 150k units, you need to add a third shift or 50 people</t>
  </si>
  <si>
    <t>at that level you run two shifts</t>
  </si>
  <si>
    <t>Operating labor, 100 people up to 150k units</t>
  </si>
  <si>
    <t>ex</t>
  </si>
  <si>
    <t>Act like fixed cost within a range of sales volumes</t>
  </si>
  <si>
    <t>Semi-variable (step function)</t>
  </si>
  <si>
    <t>no connection to sales volume</t>
  </si>
  <si>
    <t>Fixed</t>
  </si>
  <si>
    <t>directly correlated to sales volume</t>
  </si>
  <si>
    <t>Variable</t>
  </si>
  <si>
    <t>Types of costs</t>
  </si>
  <si>
    <t>Step function costs</t>
  </si>
  <si>
    <t>Semi-variable costs</t>
  </si>
  <si>
    <t>2. So we can see the impact of operating leverage - if a company is expereincing leverage, their FC/ unit will come down.</t>
  </si>
  <si>
    <t>1. So we can see total cost per unit</t>
  </si>
  <si>
    <t>Why calc fixed cost schedule</t>
  </si>
  <si>
    <t>Fixed cost per unit falls, even as costs increase because the number of units is growing faster than the costs</t>
  </si>
  <si>
    <t>how do you know if a company is experencing op leverge, its in the fixed section</t>
  </si>
  <si>
    <t>due to fixed costs</t>
  </si>
  <si>
    <t>The idea that as revenue increases, the profit increases even faster.</t>
  </si>
  <si>
    <t>What is operating leverage?</t>
  </si>
  <si>
    <t>All companies have some fixed costs</t>
  </si>
  <si>
    <t>You assume that all company cost is variable!</t>
  </si>
  <si>
    <t>If you forecast margin and keep it constant, what have you actually assumed about the costs?</t>
  </si>
  <si>
    <t>Capturing op leverage</t>
  </si>
  <si>
    <t>Operating Leverage</t>
  </si>
  <si>
    <t>Price - $/unit</t>
  </si>
  <si>
    <t>What percent of total costs were the variable costs</t>
  </si>
  <si>
    <t>*</t>
  </si>
  <si>
    <t>75% of total</t>
  </si>
  <si>
    <t>Variable = 75%</t>
  </si>
  <si>
    <t>All you need to know is:</t>
  </si>
  <si>
    <t xml:space="preserve">Example fixed / variable cost schedule </t>
  </si>
  <si>
    <t>What to do if you don't have the breakout of fixed and variable</t>
  </si>
  <si>
    <t>Backing into Costs</t>
  </si>
  <si>
    <t>We know the total fixed expenses for the year, so we bring them back into units by multiplying by 1000 and dividing by sales volume</t>
  </si>
  <si>
    <t>Total Fixed $ / units</t>
  </si>
  <si>
    <t>Calculate fixed cost per unit</t>
  </si>
  <si>
    <t>Can back into this</t>
  </si>
  <si>
    <t>Fixed cost in aggreagate (total $)</t>
  </si>
  <si>
    <t>Variable $/unit * Units</t>
  </si>
  <si>
    <t>Caculate variable cost in aggreagate</t>
  </si>
  <si>
    <t>All you need is Variable % to back in</t>
  </si>
  <si>
    <t>Calculate (variable/Fixed) costs per unit</t>
  </si>
  <si>
    <t>Must do in this order</t>
  </si>
  <si>
    <t>Cost Schedule</t>
  </si>
  <si>
    <t>Understand the dynamics bet fixed and variable costs</t>
  </si>
  <si>
    <t>Forecasted in aggregate (total dollars), grow in the future in aggregate</t>
  </si>
  <si>
    <t>Salaries, rent, property taxes, insurance</t>
  </si>
  <si>
    <t>Have nothing to do with sales volume</t>
  </si>
  <si>
    <t>Fixed Cost</t>
  </si>
  <si>
    <t>Forecasted on per unit basis (per unit), the grow in the future with sales volume</t>
  </si>
  <si>
    <t>Raw mats, selling cots, freight charges, etc</t>
  </si>
  <si>
    <t>Increases in direct proportion to sales volume</t>
  </si>
  <si>
    <t>Variable cost</t>
  </si>
  <si>
    <t>Fixed costs remain the same</t>
  </si>
  <si>
    <t>In real life, if company doubles it's revenue the profits should more than double</t>
  </si>
  <si>
    <t>Very imp to understand the relationship between the fixed and variable costs</t>
  </si>
  <si>
    <t>profit</t>
  </si>
  <si>
    <t>All companies have two major types of costs: Fixed and Variable</t>
  </si>
  <si>
    <t>costs</t>
  </si>
  <si>
    <t>Business issues with costs</t>
  </si>
  <si>
    <t>rev</t>
  </si>
  <si>
    <t>Problem is, we don't understand the company. It's a guess</t>
  </si>
  <si>
    <t>g</t>
  </si>
  <si>
    <t>Estimating costs based on last year's margin</t>
  </si>
  <si>
    <t>Forecasting the margin</t>
  </si>
  <si>
    <t>A very common way to forecast costs in a model</t>
  </si>
  <si>
    <t>in many models, the forecast for operating costs is much too simple</t>
  </si>
  <si>
    <t>Follows the flow of an income statement</t>
  </si>
  <si>
    <t>Why do we model costs after revenues</t>
  </si>
  <si>
    <t>Very important to understand costs and cost structure</t>
  </si>
  <si>
    <t>Forecasting costs</t>
  </si>
  <si>
    <t>Operating Costs</t>
  </si>
  <si>
    <t>Sales and marketing teams provide info they think they can sell. Not always reliable.</t>
  </si>
  <si>
    <t>Smaller of formula or company capacity</t>
  </si>
  <si>
    <t>Best way to impose constraints are with Min or Max function</t>
  </si>
  <si>
    <t xml:space="preserve">Can use an If statement, but not optimal. </t>
  </si>
  <si>
    <t>BY THE 5TH YEAR YOU EXCEED CAPACITY. Need to simulate reality.</t>
  </si>
  <si>
    <t>Almost all companies sales volume constraints. Here it was given at 420k units</t>
  </si>
  <si>
    <t>All companies have some constraints</t>
  </si>
  <si>
    <t>Sales volume growth * 2022a volume</t>
  </si>
  <si>
    <t>2022A volume = gross revenue * Gross sales price</t>
  </si>
  <si>
    <t xml:space="preserve">provided historical values, but not historical volume. </t>
  </si>
  <si>
    <t>Historical column</t>
  </si>
  <si>
    <t>Third color to signify repearting an assumption. *Linked on assumption*</t>
  </si>
  <si>
    <t>Black font is for calculations</t>
  </si>
  <si>
    <t>Blue font for inputs</t>
  </si>
  <si>
    <t>Text colors</t>
  </si>
  <si>
    <t>Capacity Constraints</t>
  </si>
  <si>
    <t>Next capacity constraints</t>
  </si>
  <si>
    <t>If v v v large, mayve just show the main items and have an other revenue for smaller items with it's own growth/inflation rates</t>
  </si>
  <si>
    <t>It just becomes longer, Each price would be broken out by product. Each volume would be by product.</t>
  </si>
  <si>
    <t>If a company has a large number of products.</t>
  </si>
  <si>
    <t>Also works for: Technology, Service, banks, insurance</t>
  </si>
  <si>
    <t>Real estate: SQFT x avg Price per foot</t>
  </si>
  <si>
    <t>Resource: Commodity price x volume (oz, barrels,)</t>
  </si>
  <si>
    <t>Coffee shop: expect price x daily units</t>
  </si>
  <si>
    <t>Other industries</t>
  </si>
  <si>
    <t>For all companies: Revenue = Price * volume</t>
  </si>
  <si>
    <t>You don't actually understand the business when you approach it this way</t>
  </si>
  <si>
    <t>Many people simply forecast by multiplying the revenue by the growth rate</t>
  </si>
  <si>
    <t>In many models, the forecast for revenue is too simple</t>
  </si>
  <si>
    <t>Critical to understand every aspect of a company's business</t>
  </si>
  <si>
    <t>Forecasting</t>
  </si>
  <si>
    <t>Simply a concatenate</t>
  </si>
  <si>
    <t>Scenerio tag</t>
  </si>
  <si>
    <t>No work on the financial statements</t>
  </si>
  <si>
    <t>Build it, then link it…</t>
  </si>
  <si>
    <t>repeat the assumptions before using them on the model tab</t>
  </si>
  <si>
    <t>Repeat and link…</t>
  </si>
  <si>
    <t>Technical Skills</t>
  </si>
  <si>
    <t>Design Issues</t>
  </si>
  <si>
    <t>Business issues</t>
  </si>
  <si>
    <t>Themes</t>
  </si>
  <si>
    <t>Ratios, valuations: DCF, IRR</t>
  </si>
  <si>
    <t>Output calculations</t>
  </si>
  <si>
    <t>Pages 6 - 15 of blu containers model</t>
  </si>
  <si>
    <t>All schedules, calculations, and financial statements</t>
  </si>
  <si>
    <t>The Engine</t>
  </si>
  <si>
    <t>pages 1-5 of blu containers model</t>
  </si>
  <si>
    <t>Front end - Cover, summary, assumptions, scenarios</t>
  </si>
  <si>
    <t>The switch controls all variables in the formula by referencing that switch cell</t>
  </si>
  <si>
    <t>=index(Array of the input cells, which row to pull from = Scenario cell) 
no need to enter third argument if selecting a single argument.</t>
  </si>
  <si>
    <t>=offset('anchor' reference cell, rows "down", columns "over")</t>
  </si>
  <si>
    <t>Offset. Use the switch for the rows and columns offset.</t>
  </si>
  <si>
    <t>=choose(switch, base case, best case, worst case)</t>
  </si>
  <si>
    <t>Choose function. If that number is #1 it grabs the first number in the list. Etc
The order you choose in the fuction determines the number order. You can't select a range)
Not optimal for many cases. Best for 3-4 cases</t>
  </si>
  <si>
    <t>=if(switch = 1, then Grab base case,(if switch = 2, grab second case))</t>
  </si>
  <si>
    <t>Nested (embedded) if statement. Can be long.</t>
  </si>
  <si>
    <t>option</t>
  </si>
  <si>
    <t>The live case needs to link to the scenario case. When you change the scenario the live case will change</t>
  </si>
  <si>
    <t xml:space="preserve">The formulas are </t>
  </si>
  <si>
    <t>Apply and build a combo box to change those values</t>
  </si>
  <si>
    <t>The real switch is just a number in the cell. 1 = base case, etc</t>
  </si>
  <si>
    <t>The Live Case</t>
  </si>
  <si>
    <t>Demonstrate the live case above the case scenarios</t>
  </si>
  <si>
    <t>Create a switch</t>
  </si>
  <si>
    <t>Cost Inflation, sales scenarios ($/unit, volume growth)</t>
  </si>
  <si>
    <t>Enter the data inputs into the large box for base, best, and worse</t>
  </si>
  <si>
    <t>After identifying the drivers</t>
  </si>
  <si>
    <t>3 steps</t>
  </si>
  <si>
    <t>Having a scenarios page prevents you from saving as a bunch of different files with slightly diff names</t>
  </si>
  <si>
    <t>These are the key drivers that are hard to control. When you identify them you add them to this tab</t>
  </si>
  <si>
    <t>Assumptions have one input; scenarios have multiple because these are the main drivers</t>
  </si>
  <si>
    <t>Can have more cases, management case, super worst, etc. 2 to 5</t>
  </si>
  <si>
    <t>Every model should have a scenarios page, simply more assumptions</t>
  </si>
  <si>
    <t>Notes</t>
  </si>
  <si>
    <t>Sales Scenarios - Sales price per unit, sales volume (base, best, worst)</t>
  </si>
  <si>
    <t>Economic Scenarios - (Cost inflation best, base, worst)</t>
  </si>
  <si>
    <t>Scenario page</t>
  </si>
  <si>
    <t>Model Scenarios</t>
  </si>
  <si>
    <t>Pos : Neg : Zero : Text (either explicit text in quotes or use @ for open text)       (In this order)</t>
  </si>
  <si>
    <t>Every cell can be formatted 4 ways using the format cells dialog box</t>
  </si>
  <si>
    <t>&lt;0.0x</t>
  </si>
  <si>
    <t>Can use these in formulas-&gt;</t>
  </si>
  <si>
    <t>Format</t>
  </si>
  <si>
    <t>Number</t>
  </si>
  <si>
    <t>Best: with 0, # and text characters</t>
  </si>
  <si>
    <t>dep'n</t>
  </si>
  <si>
    <t>covenant</t>
  </si>
  <si>
    <t>Numbers, not clear though -&gt;</t>
  </si>
  <si>
    <t>better:</t>
  </si>
  <si>
    <t>25 years</t>
  </si>
  <si>
    <t>These are all text cells; can't be used in formulas.</t>
  </si>
  <si>
    <t>Example</t>
  </si>
  <si>
    <t>Often helpful for values to have text at beg/end so they are clear</t>
  </si>
  <si>
    <t>Custom formatting</t>
  </si>
  <si>
    <t>Custom Formatting</t>
  </si>
  <si>
    <t>One time adjustments to IS, CF, Tax, Working capital days, Debt &amp; Equity</t>
  </si>
  <si>
    <t>Other assumptions (multiple pages)</t>
  </si>
  <si>
    <t>Every category of assumption in a box with a title</t>
  </si>
  <si>
    <t>Assumptions tab</t>
  </si>
  <si>
    <t>Calc are black</t>
  </si>
  <si>
    <t>Input cells are blue</t>
  </si>
  <si>
    <t>Industry convention for color coding</t>
  </si>
  <si>
    <t>In a real model, you would build your assumption sheet after you make your model plan</t>
  </si>
  <si>
    <t>Very easy if you have a plan first</t>
  </si>
  <si>
    <t>Having a assum tab makes it very easy to change assumptions and read</t>
  </si>
  <si>
    <t>Many models do not have an assumption tab, this makes it hard for the reviewer</t>
  </si>
  <si>
    <t>Right after the Executive Summary to answer "How did you get there"</t>
  </si>
  <si>
    <t>Should include ALL the inputs / Assumptions in the model</t>
  </si>
  <si>
    <t>Assumption notes</t>
  </si>
  <si>
    <t>Model Assumptions</t>
  </si>
  <si>
    <t>Don't set up the same way because it isn't dynamic based on scenerio.</t>
  </si>
  <si>
    <t>Header</t>
  </si>
  <si>
    <t xml:space="preserve">Custom footer </t>
  </si>
  <si>
    <t>CTRL + H to open Headers &amp; footers</t>
  </si>
  <si>
    <t>ALT P S P to open the box</t>
  </si>
  <si>
    <t>File path to model, pages, date and time</t>
  </si>
  <si>
    <t>Footer</t>
  </si>
  <si>
    <t>Headers and Footers</t>
  </si>
  <si>
    <t>Recommendation is to Centre Across Selection instead</t>
  </si>
  <si>
    <t>Very common for people to merger cells, not optimal</t>
  </si>
  <si>
    <t>Centering Titles</t>
  </si>
  <si>
    <t>Choice to automate this later in video</t>
  </si>
  <si>
    <t xml:space="preserve">Live cases on the side, outside of the print area. Copy and paste them into the tables as values. </t>
  </si>
  <si>
    <t>Income, net rev, growth, ebitda, margin, growth</t>
  </si>
  <si>
    <t>Summary values , base, best worst</t>
  </si>
  <si>
    <t>First thing to show people, but last thing to build</t>
  </si>
  <si>
    <t>Can include tables, charts, graphs, other visuals</t>
  </si>
  <si>
    <t>Should also include three cases (base, best, worst)</t>
  </si>
  <si>
    <t>Common items: Revenue, EBITDA, CFLO, Margins, Growth rates, NPV, IRR, Ratios</t>
  </si>
  <si>
    <t>Must be customized</t>
  </si>
  <si>
    <t>It's always the first thing end user wants to know: whats the answer?</t>
  </si>
  <si>
    <t>Summary Page</t>
  </si>
  <si>
    <t>Executive Summary</t>
  </si>
  <si>
    <t>Dates: two ways</t>
  </si>
  <si>
    <t>Calculations are in black</t>
  </si>
  <si>
    <t>Company name should only be entered once in a model, then linked everywhere else</t>
  </si>
  <si>
    <t>Company name, Logo, Your name, dates, "Confidential"</t>
  </si>
  <si>
    <t>Should be custom</t>
  </si>
  <si>
    <t>Feels like a presentation</t>
  </si>
  <si>
    <t>Cover Page</t>
  </si>
  <si>
    <t>Output Calculations</t>
  </si>
  <si>
    <t>Engine</t>
  </si>
  <si>
    <t>Front end</t>
  </si>
  <si>
    <t>Three main sections to every model</t>
  </si>
  <si>
    <t>Output calculations (Ratios, Valuations: DCF, IRR - not included in this model)</t>
  </si>
  <si>
    <t>Back</t>
  </si>
  <si>
    <t>Supporting Schedules - Depreciations, tax, wc, debt, equity</t>
  </si>
  <si>
    <t>Operating Schedules - Revenues and Costs</t>
  </si>
  <si>
    <t>Scenarios</t>
  </si>
  <si>
    <t>Front</t>
  </si>
  <si>
    <t>Either should require us to think about optimal flow</t>
  </si>
  <si>
    <t>When looking on paper, we don’t know if it was built horizontally or vertically</t>
  </si>
  <si>
    <t xml:space="preserve">No perfect answer that's one size fits all </t>
  </si>
  <si>
    <t>How the model should feel in PDF or paper</t>
  </si>
  <si>
    <t>Optimal Model Flow</t>
  </si>
  <si>
    <t>Warning: fewer errors on vertical models because there is less cross linking</t>
  </si>
  <si>
    <t>Can also be effective when modeling a company with multiple divisions</t>
  </si>
  <si>
    <t>Cover, exec summary, assumpt, scenarios, financial stmts, all schedules</t>
  </si>
  <si>
    <t>Something in the middle</t>
  </si>
  <si>
    <t>3. Hybrid Approach</t>
  </si>
  <si>
    <t>Usually, each financial statement has its own sheet</t>
  </si>
  <si>
    <t>Each component is on its own sheet in the model</t>
  </si>
  <si>
    <t>2. Horizontal Orientation</t>
  </si>
  <si>
    <t>Income statement -&gt; Cash flow - &gt; Balance sheet</t>
  </si>
  <si>
    <t>Most calcs in the forecast are on one sheet (schedules and financial statements)</t>
  </si>
  <si>
    <t>Limited number of sheets in the file</t>
  </si>
  <si>
    <t>1. Vertical Orientation</t>
  </si>
  <si>
    <t>Perferences vary by company and region</t>
  </si>
  <si>
    <t>Both are used extensively around the world</t>
  </si>
  <si>
    <t>Two major approches to tab structure in model</t>
  </si>
  <si>
    <t>Model Tab Structure</t>
  </si>
  <si>
    <t>3. Model Flow</t>
  </si>
  <si>
    <t>2. Model Tab Structure</t>
  </si>
  <si>
    <t>1. Model Planning</t>
  </si>
  <si>
    <t>Tab Structure</t>
  </si>
  <si>
    <t>Optimal order to present the model</t>
  </si>
  <si>
    <t>Optimal model flow</t>
  </si>
  <si>
    <t>3. What will it look like on paper when finished</t>
  </si>
  <si>
    <t>Ask good questions. How does capex work, how does depn work</t>
  </si>
  <si>
    <t>Revs (prices and vol), cost, capex, depn, debt equty, tax, wc, etc</t>
  </si>
  <si>
    <t>Make a list of all the assums, all the data provided</t>
  </si>
  <si>
    <t>2. Assumptions</t>
  </si>
  <si>
    <t>Companies usually have 2 or 3 key drivers, not 50</t>
  </si>
  <si>
    <t>Often economic variables like commodity prices, inflation, FX rates, etc</t>
  </si>
  <si>
    <t>We herefor want to fun a few cases in the model (best, worst)</t>
  </si>
  <si>
    <t>Critical Assums,hard to forecase, hard for management to contril</t>
  </si>
  <si>
    <t>1. Major Issues / Key Drivers</t>
  </si>
  <si>
    <t>Model Planning - Three Steps</t>
  </si>
  <si>
    <t>Lesson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</si>
</sst>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#,##0.0_);\(#,##0.0\)"/>
    <numFmt numFmtId="166" formatCode="&quot;$&quot;#,##0.0_);\(&quot;$&quot;#,##0.0\)"/>
    <numFmt numFmtId="167" formatCode="#,##0.000_);\(#,##0.000\)"/>
    <numFmt numFmtId="168" formatCode="0\A"/>
    <numFmt numFmtId="169" formatCode="_-* #,##0_-;\-* #,##0_-;_-* &quot;-&quot;??_-;_-@_-"/>
    <numFmt numFmtId="170" formatCode="0.0\ \x"/>
    <numFmt numFmtId="171" formatCode="&quot;$&quot;#,##0.000_);\(&quot;$&quot;#,##0.000\)"/>
    <numFmt numFmtId="172" formatCode="[&gt;-0.000001]\ 0.0_);\ \(0.0\)_)"/>
    <numFmt numFmtId="173" formatCode="&quot;- Opening UCC pool of &quot;&quot;$&quot;#,###.0&quot; million as of January 1, 1999&quot;"/>
    <numFmt numFmtId="174" formatCode="0\ &quot;Years&quot;"/>
    <numFmt numFmtId="175" formatCode="0.0%"/>
    <numFmt numFmtId="176" formatCode="\+0%;\(0%\)"/>
    <numFmt numFmtId="177" formatCode="&quot;$&quot;#,##0.0"/>
    <numFmt numFmtId="178" formatCode="0.0_);\(0.0\)"/>
    <numFmt numFmtId="179" formatCode="0_);\(0\)"/>
    <numFmt numFmtId="180" formatCode="0\F"/>
    <numFmt numFmtId="181" formatCode="0.0%;\(0.0%\)"/>
    <numFmt numFmtId="182" formatCode="_(* #,##0.0_);_(* \(#,##0.0\);_(* &quot;-&quot;??_);_(@_)"/>
    <numFmt numFmtId="183" formatCode="0.0%\ ;\(0.0%\)"/>
    <numFmt numFmtId="184" formatCode="#,##0.0000_);\(#,##0.0000\)"/>
    <numFmt numFmtId="185" formatCode="&quot;$&quot;#,##0.000000_);\(&quot;$&quot;#,##0.000000\)"/>
    <numFmt numFmtId="186" formatCode="&quot;$&quot;#,##0.0000_);\(&quot;$&quot;#,##0.0000\)"/>
    <numFmt numFmtId="187" formatCode="_(&quot;$&quot;* #,##0.0_);_(&quot;$&quot;* \(#,##0.0\);_(&quot;$&quot;* &quot;-&quot;??_);_(@_)"/>
    <numFmt numFmtId="188" formatCode="_(&quot;$&quot;* #,##0_);_(&quot;$&quot;* \(#,##0\);_(&quot;$&quot;* &quot;-&quot;??_);_(@_)"/>
    <numFmt numFmtId="189" formatCode="\+0.0;\(0.0\);\-;&quot;This cell should contain a value&quot;"/>
    <numFmt numFmtId="190" formatCode="\&lt;0.0\x"/>
  </numFmts>
  <fonts count="73">
    <font>
      <sz val="10"/>
      <name val="Arial"/>
      <family val="2"/>
    </font>
    <font>
      <sz val="10"/>
      <name val="Book Antiqua"/>
      <family val="1"/>
    </font>
    <font>
      <sz val="10"/>
      <name val="Aldine401 BT"/>
    </font>
    <font>
      <sz val="11"/>
      <color indexed="12"/>
      <name val="Book Antiqua"/>
      <family val="1"/>
    </font>
    <font>
      <sz val="8"/>
      <name val="Arial"/>
      <family val="2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i/>
      <sz val="14"/>
      <color indexed="10"/>
      <name val="Arial"/>
      <family val="2"/>
    </font>
    <font>
      <b/>
      <i/>
      <sz val="9"/>
      <color indexed="10"/>
      <name val="Arial"/>
      <family val="2"/>
    </font>
    <font>
      <b/>
      <i/>
      <sz val="10"/>
      <name val="Arial"/>
      <family val="2"/>
    </font>
    <font>
      <sz val="10"/>
      <color rgb="FF0000FF"/>
      <name val="Arial"/>
      <family val="2"/>
    </font>
    <font>
      <vertAlign val="superscript"/>
      <sz val="7"/>
      <name val="Arial"/>
      <family val="2"/>
    </font>
    <font>
      <u/>
      <sz val="10"/>
      <color rgb="FF0000FF"/>
      <name val="Arial"/>
      <family val="2"/>
    </font>
    <font>
      <sz val="8"/>
      <color indexed="12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  <font>
      <b/>
      <sz val="16"/>
      <color theme="3"/>
      <name val="Arial"/>
      <family val="2"/>
    </font>
    <font>
      <sz val="16"/>
      <name val="Arial"/>
      <family val="2"/>
    </font>
    <font>
      <b/>
      <sz val="10"/>
      <color theme="0"/>
      <name val="Arial"/>
      <family val="2"/>
    </font>
    <font>
      <sz val="10"/>
      <name val="Times New Roman"/>
      <family val="1"/>
    </font>
    <font>
      <b/>
      <sz val="10"/>
      <color indexed="12"/>
      <name val="Arial"/>
      <family val="2"/>
    </font>
    <font>
      <b/>
      <sz val="11"/>
      <name val="Arial"/>
      <family val="2"/>
    </font>
    <font>
      <sz val="9"/>
      <color indexed="12"/>
      <name val="Arial"/>
      <family val="2"/>
    </font>
    <font>
      <b/>
      <sz val="10"/>
      <color indexed="8"/>
      <name val="Arial"/>
      <family val="2"/>
    </font>
    <font>
      <sz val="10"/>
      <color rgb="FF002F6C"/>
      <name val="Arial"/>
      <family val="2"/>
    </font>
    <font>
      <b/>
      <sz val="12"/>
      <name val="Arial"/>
      <family val="2"/>
    </font>
    <font>
      <b/>
      <i/>
      <sz val="14"/>
      <name val="Arial"/>
      <family val="2"/>
    </font>
    <font>
      <sz val="10"/>
      <color theme="0"/>
      <name val="Arial"/>
      <family val="2"/>
    </font>
    <font>
      <b/>
      <i/>
      <sz val="10"/>
      <color theme="0"/>
      <name val="Arial"/>
      <family val="2"/>
    </font>
    <font>
      <i/>
      <sz val="10"/>
      <color theme="0"/>
      <name val="Arial"/>
      <family val="2"/>
    </font>
    <font>
      <b/>
      <sz val="8"/>
      <color rgb="FF008ED6"/>
      <name val="Arial"/>
      <family val="2"/>
    </font>
    <font>
      <i/>
      <sz val="9"/>
      <name val="Arial"/>
      <family val="2"/>
    </font>
    <font>
      <i/>
      <sz val="9"/>
      <color rgb="FF002F6C"/>
      <name val="Arial"/>
      <family val="2"/>
    </font>
    <font>
      <sz val="10"/>
      <color rgb="FF4586BB"/>
      <name val="Arial"/>
      <family val="2"/>
    </font>
    <font>
      <sz val="9"/>
      <color rgb="FF002F6C"/>
      <name val="Arial"/>
      <family val="2"/>
    </font>
    <font>
      <b/>
      <sz val="16"/>
      <name val="Arial"/>
      <family val="2"/>
    </font>
    <font>
      <sz val="10"/>
      <color indexed="9"/>
      <name val="Arial"/>
      <family val="2"/>
    </font>
    <font>
      <sz val="10"/>
      <color rgb="FF009B73"/>
      <name val="Arial"/>
      <family val="2"/>
    </font>
    <font>
      <i/>
      <sz val="10"/>
      <color indexed="12"/>
      <name val="Arial"/>
      <family val="2"/>
    </font>
    <font>
      <i/>
      <sz val="10"/>
      <color rgb="FF009B73"/>
      <name val="Arial"/>
      <family val="2"/>
    </font>
    <font>
      <b/>
      <sz val="10"/>
      <color indexed="9"/>
      <name val="Arial"/>
      <family val="2"/>
    </font>
    <font>
      <b/>
      <sz val="10"/>
      <color rgb="FF0000FF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sz val="10"/>
      <color theme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9"/>
      <color indexed="12"/>
      <name val="Arial"/>
      <family val="2"/>
    </font>
    <font>
      <b/>
      <sz val="20"/>
      <name val="Arial"/>
      <family val="2"/>
    </font>
    <font>
      <b/>
      <u/>
      <sz val="9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2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rgb="FF009B73"/>
      <name val="Arial"/>
      <family val="2"/>
    </font>
    <font>
      <b/>
      <sz val="9"/>
      <color indexed="8"/>
      <name val="Arial"/>
      <family val="2"/>
    </font>
    <font>
      <vertAlign val="superscript"/>
      <sz val="10"/>
      <name val="Arial"/>
      <family val="2"/>
    </font>
    <font>
      <sz val="10"/>
      <color indexed="61"/>
      <name val="Arial"/>
      <family val="2"/>
    </font>
    <font>
      <b/>
      <sz val="10"/>
      <color theme="8"/>
      <name val="Arial"/>
      <family val="2"/>
    </font>
    <font>
      <b/>
      <i/>
      <sz val="8"/>
      <name val="Arial"/>
      <family val="2"/>
    </font>
    <font>
      <sz val="10"/>
      <color theme="3"/>
      <name val="Arial"/>
      <family val="2"/>
    </font>
    <font>
      <b/>
      <sz val="10"/>
      <color theme="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F6C"/>
        <bgColor indexed="64"/>
      </patternFill>
    </fill>
    <fill>
      <patternFill patternType="solid">
        <fgColor rgb="FF009966"/>
        <bgColor indexed="64"/>
      </patternFill>
    </fill>
    <fill>
      <patternFill patternType="solid">
        <fgColor rgb="FF5B77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4586BB"/>
      </left>
      <right/>
      <top/>
      <bottom/>
      <diagonal/>
    </border>
    <border>
      <left style="thin">
        <color rgb="FF4586BB"/>
      </left>
      <right/>
      <top/>
      <bottom style="thin">
        <color rgb="FF4586BB"/>
      </bottom>
      <diagonal/>
    </border>
    <border>
      <left/>
      <right/>
      <top/>
      <bottom style="thin">
        <color rgb="FF4586BB"/>
      </bottom>
      <diagonal/>
    </border>
    <border>
      <left style="thin">
        <color rgb="FF4586BB"/>
      </left>
      <right/>
      <top style="thin">
        <color rgb="FF4586BB"/>
      </top>
      <bottom/>
      <diagonal/>
    </border>
    <border>
      <left/>
      <right/>
      <top style="thin">
        <color rgb="FF4586BB"/>
      </top>
      <bottom/>
      <diagonal/>
    </border>
    <border>
      <left/>
      <right style="thin">
        <color rgb="FF4586BB"/>
      </right>
      <top style="thin">
        <color rgb="FF4586BB"/>
      </top>
      <bottom/>
      <diagonal/>
    </border>
    <border>
      <left/>
      <right style="thin">
        <color rgb="FF4586BB"/>
      </right>
      <top/>
      <bottom/>
      <diagonal/>
    </border>
    <border>
      <left/>
      <right/>
      <top style="thin">
        <color rgb="FF5B77CC"/>
      </top>
      <bottom/>
      <diagonal/>
    </border>
    <border>
      <left/>
      <right style="thin">
        <color rgb="FF4586BB"/>
      </right>
      <top/>
      <bottom style="thin">
        <color rgb="FF4586BB"/>
      </bottom>
      <diagonal/>
    </border>
    <border>
      <left/>
      <right style="thin">
        <color rgb="FF4586BB"/>
      </right>
      <top style="thin">
        <color rgb="FF5B77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rgb="FF002F6C"/>
      </left>
      <right/>
      <top style="thin">
        <color rgb="FF002F6C"/>
      </top>
      <bottom/>
      <diagonal/>
    </border>
    <border>
      <left/>
      <right/>
      <top style="thin">
        <color rgb="FF002F6C"/>
      </top>
      <bottom/>
      <diagonal/>
    </border>
    <border>
      <left/>
      <right/>
      <top style="thin">
        <color rgb="FF002F6C"/>
      </top>
      <bottom style="thin">
        <color theme="0"/>
      </bottom>
      <diagonal/>
    </border>
    <border>
      <left/>
      <right style="thin">
        <color rgb="FF002F6C"/>
      </right>
      <top style="thin">
        <color rgb="FF002F6C"/>
      </top>
      <bottom/>
      <diagonal/>
    </border>
    <border>
      <left style="thin">
        <color rgb="FF002F6C"/>
      </left>
      <right/>
      <top/>
      <bottom/>
      <diagonal/>
    </border>
    <border>
      <left/>
      <right style="thin">
        <color rgb="FF002F6C"/>
      </right>
      <top/>
      <bottom/>
      <diagonal/>
    </border>
    <border>
      <left/>
      <right/>
      <top/>
      <bottom style="dotted">
        <color rgb="FF009966"/>
      </bottom>
      <diagonal/>
    </border>
    <border>
      <left style="thin">
        <color rgb="FF002F6C"/>
      </left>
      <right/>
      <top/>
      <bottom style="thin">
        <color rgb="FF002F6C"/>
      </bottom>
      <diagonal/>
    </border>
    <border>
      <left/>
      <right/>
      <top/>
      <bottom style="thin">
        <color rgb="FF002F6C"/>
      </bottom>
      <diagonal/>
    </border>
    <border>
      <left/>
      <right style="thin">
        <color rgb="FF002F6C"/>
      </right>
      <top/>
      <bottom style="thin">
        <color rgb="FF002F6C"/>
      </bottom>
      <diagonal/>
    </border>
    <border>
      <left style="thin">
        <color rgb="FF002F6C"/>
      </left>
      <right/>
      <top/>
      <bottom style="thin">
        <color rgb="FF4586BB"/>
      </bottom>
      <diagonal/>
    </border>
    <border>
      <left/>
      <right style="thin">
        <color rgb="FF002F6C"/>
      </right>
      <top/>
      <bottom style="thin">
        <color rgb="FF4586BB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5">
    <xf numFmtId="0" fontId="0" fillId="0" borderId="0"/>
    <xf numFmtId="0" fontId="1" fillId="0" borderId="0" applyNumberFormat="0" applyFont="0" applyFill="0" applyBorder="0" applyProtection="0">
      <alignment horizontal="centerContinuous"/>
    </xf>
    <xf numFmtId="0" fontId="1" fillId="0" borderId="1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43" fontId="2" fillId="0" borderId="0" applyFont="0" applyFill="0" applyBorder="0" applyAlignment="0" applyProtection="0"/>
    <xf numFmtId="8" fontId="3" fillId="0" borderId="2">
      <protection locked="0"/>
    </xf>
    <xf numFmtId="0" fontId="1" fillId="0" borderId="3" applyNumberFormat="0" applyFont="0" applyFill="0" applyAlignment="0" applyProtection="0"/>
    <xf numFmtId="0" fontId="4" fillId="0" borderId="0" applyNumberFormat="0" applyFill="0" applyBorder="0" applyAlignment="0" applyProtection="0"/>
    <xf numFmtId="169" fontId="2" fillId="0" borderId="0" applyNumberFormat="0" applyFill="0" applyBorder="0" applyAlignment="0" applyProtection="0"/>
    <xf numFmtId="0" fontId="1" fillId="0" borderId="4" applyNumberFormat="0" applyFont="0" applyFill="0" applyAlignment="0" applyProtection="0"/>
    <xf numFmtId="0" fontId="5" fillId="0" borderId="0"/>
    <xf numFmtId="9" fontId="22" fillId="0" borderId="0" applyFont="0" applyFill="0" applyBorder="0" applyAlignment="0" applyProtection="0"/>
    <xf numFmtId="0" fontId="30" fillId="0" borderId="0"/>
    <xf numFmtId="0" fontId="22" fillId="0" borderId="0"/>
    <xf numFmtId="44" fontId="22" fillId="0" borderId="0" applyFont="0" applyFill="0" applyBorder="0" applyAlignment="0" applyProtection="0"/>
  </cellStyleXfs>
  <cellXfs count="554">
    <xf numFmtId="0" fontId="0" fillId="0" borderId="0" xfId="0"/>
    <xf numFmtId="0" fontId="6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8" xfId="0" applyBorder="1"/>
    <xf numFmtId="0" fontId="0" fillId="0" borderId="5" xfId="0" applyBorder="1"/>
    <xf numFmtId="0" fontId="0" fillId="0" borderId="0" xfId="0" quotePrefix="1" applyAlignment="1">
      <alignment horizontal="left"/>
    </xf>
    <xf numFmtId="0" fontId="0" fillId="0" borderId="1" xfId="0" applyBorder="1"/>
    <xf numFmtId="0" fontId="9" fillId="0" borderId="0" xfId="0" applyFont="1"/>
    <xf numFmtId="0" fontId="0" fillId="0" borderId="7" xfId="0" applyBorder="1"/>
    <xf numFmtId="0" fontId="13" fillId="0" borderId="0" xfId="0" applyFont="1" applyAlignment="1">
      <alignment horizontal="centerContinuous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Continuous"/>
    </xf>
    <xf numFmtId="0" fontId="15" fillId="0" borderId="0" xfId="0" applyFont="1" applyAlignment="1">
      <alignment horizontal="centerContinuous"/>
    </xf>
    <xf numFmtId="0" fontId="16" fillId="0" borderId="0" xfId="0" applyFont="1" applyAlignment="1">
      <alignment horizontal="centerContinuous"/>
    </xf>
    <xf numFmtId="0" fontId="13" fillId="0" borderId="0" xfId="0" applyFont="1"/>
    <xf numFmtId="0" fontId="7" fillId="0" borderId="0" xfId="0" applyFont="1" applyAlignment="1">
      <alignment horizontal="centerContinuous"/>
    </xf>
    <xf numFmtId="0" fontId="4" fillId="0" borderId="0" xfId="0" applyFont="1"/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14" fillId="0" borderId="0" xfId="0" applyFont="1"/>
    <xf numFmtId="0" fontId="8" fillId="0" borderId="0" xfId="0" applyFont="1" applyAlignment="1">
      <alignment horizontal="center"/>
    </xf>
    <xf numFmtId="165" fontId="8" fillId="0" borderId="0" xfId="4" applyNumberFormat="1" applyFont="1" applyBorder="1" applyProtection="1"/>
    <xf numFmtId="165" fontId="0" fillId="0" borderId="0" xfId="4" applyNumberFormat="1" applyFont="1" applyBorder="1" applyProtection="1"/>
    <xf numFmtId="165" fontId="7" fillId="0" borderId="0" xfId="4" applyNumberFormat="1" applyFont="1" applyBorder="1" applyProtection="1"/>
    <xf numFmtId="37" fontId="0" fillId="0" borderId="0" xfId="4" applyNumberFormat="1" applyFont="1" applyBorder="1" applyProtection="1"/>
    <xf numFmtId="0" fontId="7" fillId="0" borderId="0" xfId="0" quotePrefix="1" applyFont="1" applyAlignment="1">
      <alignment horizontal="left"/>
    </xf>
    <xf numFmtId="37" fontId="7" fillId="0" borderId="0" xfId="4" applyNumberFormat="1" applyFont="1" applyBorder="1" applyProtection="1"/>
    <xf numFmtId="166" fontId="7" fillId="0" borderId="13" xfId="4" applyNumberFormat="1" applyFont="1" applyBorder="1" applyProtection="1"/>
    <xf numFmtId="0" fontId="7" fillId="0" borderId="1" xfId="0" quotePrefix="1" applyFont="1" applyBorder="1" applyAlignment="1">
      <alignment horizontal="left"/>
    </xf>
    <xf numFmtId="37" fontId="7" fillId="0" borderId="1" xfId="4" applyNumberFormat="1" applyFont="1" applyBorder="1" applyProtection="1"/>
    <xf numFmtId="164" fontId="0" fillId="0" borderId="0" xfId="4" applyNumberFormat="1" applyFont="1" applyBorder="1" applyProtection="1"/>
    <xf numFmtId="0" fontId="12" fillId="0" borderId="0" xfId="0" quotePrefix="1" applyFont="1"/>
    <xf numFmtId="165" fontId="8" fillId="0" borderId="1" xfId="4" applyNumberFormat="1" applyFont="1" applyBorder="1" applyProtection="1"/>
    <xf numFmtId="165" fontId="7" fillId="0" borderId="0" xfId="4" applyNumberFormat="1" applyFont="1" applyBorder="1" applyAlignment="1" applyProtection="1">
      <alignment horizontal="right"/>
    </xf>
    <xf numFmtId="37" fontId="9" fillId="0" borderId="0" xfId="0" applyNumberFormat="1" applyFont="1"/>
    <xf numFmtId="165" fontId="8" fillId="0" borderId="0" xfId="4" applyNumberFormat="1" applyFont="1" applyFill="1" applyBorder="1" applyAlignment="1" applyProtection="1">
      <alignment horizontal="right"/>
      <protection locked="0"/>
    </xf>
    <xf numFmtId="165" fontId="8" fillId="0" borderId="1" xfId="4" applyNumberFormat="1" applyFont="1" applyBorder="1" applyAlignment="1" applyProtection="1">
      <alignment horizontal="right"/>
    </xf>
    <xf numFmtId="37" fontId="7" fillId="0" borderId="0" xfId="4" applyNumberFormat="1" applyFont="1" applyBorder="1" applyAlignment="1" applyProtection="1">
      <alignment horizontal="right"/>
    </xf>
    <xf numFmtId="165" fontId="8" fillId="0" borderId="1" xfId="4" applyNumberFormat="1" applyFont="1" applyFill="1" applyBorder="1" applyAlignment="1" applyProtection="1">
      <alignment horizontal="right"/>
    </xf>
    <xf numFmtId="165" fontId="7" fillId="0" borderId="0" xfId="4" applyNumberFormat="1" applyFont="1" applyFill="1" applyBorder="1" applyProtection="1"/>
    <xf numFmtId="170" fontId="0" fillId="0" borderId="0" xfId="4" applyNumberFormat="1" applyFont="1" applyBorder="1" applyProtection="1"/>
    <xf numFmtId="165" fontId="8" fillId="0" borderId="1" xfId="4" applyNumberFormat="1" applyFont="1" applyFill="1" applyBorder="1" applyProtection="1">
      <protection locked="0"/>
    </xf>
    <xf numFmtId="165" fontId="8" fillId="0" borderId="1" xfId="4" applyNumberFormat="1" applyFont="1" applyFill="1" applyBorder="1" applyProtection="1"/>
    <xf numFmtId="39" fontId="7" fillId="0" borderId="0" xfId="4" applyNumberFormat="1" applyFont="1" applyBorder="1" applyProtection="1"/>
    <xf numFmtId="165" fontId="0" fillId="0" borderId="0" xfId="0" applyNumberFormat="1"/>
    <xf numFmtId="6" fontId="7" fillId="0" borderId="0" xfId="0" quotePrefix="1" applyNumberFormat="1" applyFont="1" applyAlignment="1">
      <alignment horizontal="left"/>
    </xf>
    <xf numFmtId="166" fontId="7" fillId="0" borderId="13" xfId="0" applyNumberFormat="1" applyFont="1" applyBorder="1"/>
    <xf numFmtId="0" fontId="13" fillId="0" borderId="0" xfId="0" quotePrefix="1" applyFont="1"/>
    <xf numFmtId="0" fontId="19" fillId="0" borderId="8" xfId="0" quotePrefix="1" applyFont="1" applyBorder="1"/>
    <xf numFmtId="43" fontId="12" fillId="0" borderId="0" xfId="4" applyFont="1" applyBorder="1" applyProtection="1"/>
    <xf numFmtId="0" fontId="12" fillId="0" borderId="0" xfId="0" quotePrefix="1" applyFont="1" applyAlignment="1">
      <alignment horizontal="left"/>
    </xf>
    <xf numFmtId="0" fontId="0" fillId="0" borderId="0" xfId="0" applyAlignment="1">
      <alignment horizontal="right"/>
    </xf>
    <xf numFmtId="168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37" fontId="0" fillId="0" borderId="0" xfId="4" applyNumberFormat="1" applyFont="1" applyProtection="1"/>
    <xf numFmtId="165" fontId="18" fillId="0" borderId="0" xfId="4" applyNumberFormat="1" applyFont="1" applyFill="1" applyProtection="1">
      <protection locked="0"/>
    </xf>
    <xf numFmtId="165" fontId="0" fillId="0" borderId="0" xfId="4" applyNumberFormat="1" applyFont="1" applyProtection="1"/>
    <xf numFmtId="37" fontId="0" fillId="0" borderId="0" xfId="4" applyNumberFormat="1" applyFont="1" applyFill="1" applyProtection="1"/>
    <xf numFmtId="37" fontId="8" fillId="0" borderId="0" xfId="4" applyNumberFormat="1" applyFont="1" applyBorder="1" applyProtection="1"/>
    <xf numFmtId="165" fontId="18" fillId="0" borderId="1" xfId="4" applyNumberFormat="1" applyFont="1" applyFill="1" applyBorder="1" applyAlignment="1" applyProtection="1">
      <alignment horizontal="right"/>
      <protection locked="0"/>
    </xf>
    <xf numFmtId="165" fontId="8" fillId="0" borderId="1" xfId="4" applyNumberFormat="1" applyFont="1" applyFill="1" applyBorder="1" applyAlignment="1" applyProtection="1">
      <alignment horizontal="right"/>
      <protection locked="0"/>
    </xf>
    <xf numFmtId="165" fontId="7" fillId="0" borderId="0" xfId="4" applyNumberFormat="1" applyFont="1" applyProtection="1"/>
    <xf numFmtId="164" fontId="0" fillId="0" borderId="0" xfId="4" applyNumberFormat="1" applyFont="1" applyProtection="1"/>
    <xf numFmtId="164" fontId="0" fillId="0" borderId="0" xfId="4" applyNumberFormat="1" applyFont="1" applyFill="1" applyBorder="1" applyProtection="1"/>
    <xf numFmtId="37" fontId="8" fillId="0" borderId="0" xfId="4" applyNumberFormat="1" applyFont="1" applyFill="1" applyProtection="1"/>
    <xf numFmtId="165" fontId="8" fillId="0" borderId="0" xfId="4" applyNumberFormat="1" applyFont="1" applyFill="1" applyProtection="1">
      <protection locked="0"/>
    </xf>
    <xf numFmtId="165" fontId="7" fillId="0" borderId="8" xfId="4" applyNumberFormat="1" applyFont="1" applyBorder="1" applyProtection="1"/>
    <xf numFmtId="5" fontId="7" fillId="0" borderId="0" xfId="4" applyNumberFormat="1" applyFont="1" applyProtection="1"/>
    <xf numFmtId="171" fontId="7" fillId="0" borderId="0" xfId="4" applyNumberFormat="1" applyFont="1" applyProtection="1"/>
    <xf numFmtId="37" fontId="7" fillId="0" borderId="0" xfId="4" applyNumberFormat="1" applyFont="1" applyProtection="1"/>
    <xf numFmtId="0" fontId="7" fillId="0" borderId="8" xfId="0" quotePrefix="1" applyFont="1" applyBorder="1" applyAlignment="1">
      <alignment horizontal="left"/>
    </xf>
    <xf numFmtId="37" fontId="7" fillId="0" borderId="8" xfId="4" applyNumberFormat="1" applyFont="1" applyBorder="1" applyProtection="1"/>
    <xf numFmtId="165" fontId="0" fillId="0" borderId="8" xfId="4" applyNumberFormat="1" applyFont="1" applyBorder="1" applyProtection="1"/>
    <xf numFmtId="165" fontId="20" fillId="0" borderId="0" xfId="4" applyNumberFormat="1" applyFont="1" applyBorder="1" applyProtection="1"/>
    <xf numFmtId="165" fontId="10" fillId="0" borderId="0" xfId="4" applyNumberFormat="1" applyFont="1" applyBorder="1" applyProtection="1"/>
    <xf numFmtId="0" fontId="0" fillId="0" borderId="10" xfId="0" applyBorder="1" applyAlignment="1">
      <alignment horizontal="left"/>
    </xf>
    <xf numFmtId="172" fontId="0" fillId="0" borderId="1" xfId="4" applyNumberFormat="1" applyFont="1" applyBorder="1" applyProtection="1"/>
    <xf numFmtId="0" fontId="12" fillId="0" borderId="0" xfId="0" applyFont="1" applyAlignment="1">
      <alignment horizontal="left"/>
    </xf>
    <xf numFmtId="37" fontId="8" fillId="0" borderId="0" xfId="4" applyNumberFormat="1" applyFont="1" applyFill="1" applyBorder="1" applyProtection="1"/>
    <xf numFmtId="167" fontId="0" fillId="0" borderId="0" xfId="4" applyNumberFormat="1" applyFont="1" applyProtection="1"/>
    <xf numFmtId="165" fontId="0" fillId="0" borderId="0" xfId="4" applyNumberFormat="1" applyFont="1" applyFill="1" applyProtection="1">
      <protection locked="0"/>
    </xf>
    <xf numFmtId="165" fontId="18" fillId="0" borderId="0" xfId="4" applyNumberFormat="1" applyFont="1" applyFill="1" applyBorder="1" applyProtection="1">
      <protection locked="0"/>
    </xf>
    <xf numFmtId="165" fontId="8" fillId="0" borderId="0" xfId="4" applyNumberFormat="1" applyFont="1" applyFill="1" applyBorder="1" applyProtection="1">
      <protection locked="0"/>
    </xf>
    <xf numFmtId="167" fontId="21" fillId="0" borderId="0" xfId="4" applyNumberFormat="1" applyFont="1" applyBorder="1" applyProtection="1"/>
    <xf numFmtId="37" fontId="0" fillId="0" borderId="0" xfId="4" applyNumberFormat="1" applyFont="1" applyFill="1" applyBorder="1" applyProtection="1"/>
    <xf numFmtId="0" fontId="12" fillId="0" borderId="1" xfId="0" quotePrefix="1" applyFont="1" applyBorder="1" applyAlignment="1">
      <alignment horizontal="left"/>
    </xf>
    <xf numFmtId="168" fontId="7" fillId="0" borderId="0" xfId="0" quotePrefix="1" applyNumberFormat="1" applyFont="1" applyAlignment="1">
      <alignment horizontal="right"/>
    </xf>
    <xf numFmtId="0" fontId="11" fillId="0" borderId="12" xfId="0" applyFont="1" applyBorder="1" applyAlignment="1">
      <alignment horizontal="centerContinuous"/>
    </xf>
    <xf numFmtId="0" fontId="15" fillId="0" borderId="12" xfId="0" applyFont="1" applyBorder="1" applyAlignment="1">
      <alignment horizontal="centerContinuous"/>
    </xf>
    <xf numFmtId="0" fontId="16" fillId="0" borderId="12" xfId="0" applyFont="1" applyBorder="1" applyAlignment="1">
      <alignment horizontal="centerContinuous"/>
    </xf>
    <xf numFmtId="0" fontId="0" fillId="0" borderId="0" xfId="0" quotePrefix="1"/>
    <xf numFmtId="0" fontId="23" fillId="2" borderId="14" xfId="10" applyFont="1" applyFill="1" applyBorder="1" applyProtection="1">
      <protection locked="0"/>
    </xf>
    <xf numFmtId="0" fontId="23" fillId="2" borderId="0" xfId="10" applyFont="1" applyFill="1" applyProtection="1">
      <protection locked="0"/>
    </xf>
    <xf numFmtId="0" fontId="24" fillId="2" borderId="0" xfId="10" applyFont="1" applyFill="1" applyProtection="1">
      <protection locked="0"/>
    </xf>
    <xf numFmtId="0" fontId="25" fillId="2" borderId="0" xfId="10" applyFont="1" applyFill="1"/>
    <xf numFmtId="0" fontId="26" fillId="2" borderId="0" xfId="10" applyFont="1" applyFill="1" applyProtection="1">
      <protection locked="0"/>
    </xf>
    <xf numFmtId="0" fontId="27" fillId="0" borderId="0" xfId="0" applyFont="1"/>
    <xf numFmtId="0" fontId="25" fillId="2" borderId="0" xfId="10" applyFont="1" applyFill="1" applyProtection="1">
      <protection locked="0"/>
    </xf>
    <xf numFmtId="0" fontId="23" fillId="2" borderId="12" xfId="10" applyFont="1" applyFill="1" applyBorder="1" applyProtection="1">
      <protection locked="0"/>
    </xf>
    <xf numFmtId="0" fontId="28" fillId="0" borderId="0" xfId="0" applyFont="1" applyAlignment="1">
      <alignment horizontal="centerContinuous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/>
    <xf numFmtId="0" fontId="0" fillId="0" borderId="15" xfId="0" applyBorder="1" applyAlignment="1">
      <alignment horizontal="left"/>
    </xf>
    <xf numFmtId="173" fontId="0" fillId="0" borderId="15" xfId="0" applyNumberFormat="1" applyBorder="1" applyAlignment="1">
      <alignment horizontal="left"/>
    </xf>
    <xf numFmtId="0" fontId="0" fillId="0" borderId="12" xfId="0" applyBorder="1"/>
    <xf numFmtId="0" fontId="29" fillId="3" borderId="18" xfId="0" applyFont="1" applyFill="1" applyBorder="1" applyAlignment="1">
      <alignment vertical="center"/>
    </xf>
    <xf numFmtId="0" fontId="0" fillId="3" borderId="19" xfId="0" applyFill="1" applyBorder="1"/>
    <xf numFmtId="0" fontId="0" fillId="3" borderId="20" xfId="0" applyFill="1" applyBorder="1"/>
    <xf numFmtId="0" fontId="7" fillId="4" borderId="15" xfId="0" applyFont="1" applyFill="1" applyBorder="1" applyAlignment="1">
      <alignment vertical="center"/>
    </xf>
    <xf numFmtId="0" fontId="0" fillId="4" borderId="0" xfId="0" applyFill="1"/>
    <xf numFmtId="0" fontId="0" fillId="4" borderId="21" xfId="0" applyFill="1" applyBorder="1"/>
    <xf numFmtId="0" fontId="7" fillId="5" borderId="15" xfId="0" applyFont="1" applyFill="1" applyBorder="1" applyAlignment="1">
      <alignment vertical="center"/>
    </xf>
    <xf numFmtId="0" fontId="0" fillId="5" borderId="0" xfId="0" applyFill="1"/>
    <xf numFmtId="0" fontId="0" fillId="5" borderId="21" xfId="0" applyFill="1" applyBorder="1"/>
    <xf numFmtId="0" fontId="0" fillId="0" borderId="15" xfId="0" applyBorder="1" applyAlignment="1">
      <alignment horizontal="center" vertical="center"/>
    </xf>
    <xf numFmtId="0" fontId="0" fillId="0" borderId="21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/>
    </xf>
    <xf numFmtId="0" fontId="0" fillId="0" borderId="23" xfId="0" applyBorder="1"/>
    <xf numFmtId="0" fontId="0" fillId="0" borderId="15" xfId="0" applyBorder="1"/>
    <xf numFmtId="0" fontId="0" fillId="0" borderId="16" xfId="0" applyBorder="1"/>
    <xf numFmtId="14" fontId="0" fillId="0" borderId="0" xfId="0" applyNumberFormat="1" applyAlignment="1">
      <alignment horizontal="left"/>
    </xf>
    <xf numFmtId="37" fontId="8" fillId="0" borderId="0" xfId="0" applyNumberFormat="1" applyFont="1" applyAlignment="1">
      <alignment horizontal="right"/>
    </xf>
    <xf numFmtId="37" fontId="8" fillId="0" borderId="17" xfId="0" applyNumberFormat="1" applyFont="1" applyBorder="1" applyAlignment="1">
      <alignment horizontal="right"/>
    </xf>
    <xf numFmtId="0" fontId="9" fillId="0" borderId="15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Continuous" vertical="center"/>
    </xf>
    <xf numFmtId="0" fontId="10" fillId="0" borderId="0" xfId="0" applyFont="1" applyAlignment="1">
      <alignment horizontal="centerContinuous" vertical="center"/>
    </xf>
    <xf numFmtId="0" fontId="10" fillId="0" borderId="21" xfId="0" applyFont="1" applyBorder="1" applyAlignment="1">
      <alignment horizontal="centerContinuous" vertical="center"/>
    </xf>
    <xf numFmtId="0" fontId="8" fillId="0" borderId="15" xfId="0" applyFont="1" applyBorder="1"/>
    <xf numFmtId="0" fontId="0" fillId="0" borderId="21" xfId="0" applyBorder="1" applyAlignment="1">
      <alignment horizontal="centerContinuous"/>
    </xf>
    <xf numFmtId="0" fontId="8" fillId="0" borderId="16" xfId="0" applyFont="1" applyBorder="1" applyAlignment="1">
      <alignment horizontal="left"/>
    </xf>
    <xf numFmtId="0" fontId="0" fillId="0" borderId="17" xfId="0" applyBorder="1" applyAlignment="1">
      <alignment horizontal="centerContinuous"/>
    </xf>
    <xf numFmtId="0" fontId="0" fillId="0" borderId="23" xfId="0" applyBorder="1" applyAlignment="1">
      <alignment horizontal="centerContinuous"/>
    </xf>
    <xf numFmtId="0" fontId="0" fillId="0" borderId="15" xfId="0" quotePrefix="1" applyBorder="1" applyAlignment="1">
      <alignment horizontal="left"/>
    </xf>
    <xf numFmtId="0" fontId="9" fillId="0" borderId="15" xfId="0" applyFont="1" applyBorder="1"/>
    <xf numFmtId="0" fontId="8" fillId="0" borderId="0" xfId="0" applyFont="1"/>
    <xf numFmtId="0" fontId="0" fillId="3" borderId="19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8" fillId="0" borderId="21" xfId="0" applyFont="1" applyBorder="1" applyAlignment="1">
      <alignment horizontal="right"/>
    </xf>
    <xf numFmtId="173" fontId="0" fillId="0" borderId="0" xfId="0" quotePrefix="1" applyNumberFormat="1" applyAlignment="1">
      <alignment horizontal="left"/>
    </xf>
    <xf numFmtId="173" fontId="0" fillId="0" borderId="17" xfId="0" quotePrefix="1" applyNumberFormat="1" applyBorder="1" applyAlignment="1">
      <alignment horizontal="left"/>
    </xf>
    <xf numFmtId="0" fontId="0" fillId="0" borderId="16" xfId="0" quotePrefix="1" applyBorder="1" applyAlignment="1">
      <alignment horizontal="left"/>
    </xf>
    <xf numFmtId="166" fontId="8" fillId="0" borderId="23" xfId="0" applyNumberFormat="1" applyFont="1" applyBorder="1" applyAlignment="1">
      <alignment horizontal="right"/>
    </xf>
    <xf numFmtId="0" fontId="29" fillId="3" borderId="19" xfId="0" applyFont="1" applyFill="1" applyBorder="1" applyAlignment="1">
      <alignment vertical="center"/>
    </xf>
    <xf numFmtId="0" fontId="29" fillId="3" borderId="20" xfId="0" applyFont="1" applyFill="1" applyBorder="1" applyAlignment="1">
      <alignment vertical="center"/>
    </xf>
    <xf numFmtId="0" fontId="7" fillId="0" borderId="15" xfId="0" applyFont="1" applyBorder="1"/>
    <xf numFmtId="166" fontId="8" fillId="0" borderId="0" xfId="0" applyNumberFormat="1" applyFont="1"/>
    <xf numFmtId="166" fontId="8" fillId="0" borderId="21" xfId="0" applyNumberFormat="1" applyFont="1" applyBorder="1"/>
    <xf numFmtId="0" fontId="7" fillId="0" borderId="15" xfId="0" applyFont="1" applyBorder="1" applyAlignment="1">
      <alignment horizontal="left" vertical="center"/>
    </xf>
    <xf numFmtId="178" fontId="8" fillId="0" borderId="17" xfId="0" applyNumberFormat="1" applyFont="1" applyBorder="1"/>
    <xf numFmtId="178" fontId="8" fillId="0" borderId="23" xfId="0" applyNumberFormat="1" applyFont="1" applyBorder="1"/>
    <xf numFmtId="0" fontId="11" fillId="0" borderId="0" xfId="12" applyFont="1" applyAlignment="1">
      <alignment horizontal="centerContinuous"/>
    </xf>
    <xf numFmtId="0" fontId="22" fillId="0" borderId="12" xfId="12" applyFont="1" applyBorder="1" applyAlignment="1">
      <alignment horizontal="centerContinuous"/>
    </xf>
    <xf numFmtId="0" fontId="7" fillId="0" borderId="5" xfId="12" applyFont="1" applyBorder="1" applyAlignment="1">
      <alignment vertical="center"/>
    </xf>
    <xf numFmtId="0" fontId="22" fillId="0" borderId="7" xfId="12" applyFont="1" applyBorder="1"/>
    <xf numFmtId="0" fontId="22" fillId="0" borderId="8" xfId="12" applyFont="1" applyBorder="1"/>
    <xf numFmtId="0" fontId="22" fillId="0" borderId="8" xfId="12" applyFont="1" applyBorder="1" applyAlignment="1">
      <alignment horizontal="center"/>
    </xf>
    <xf numFmtId="0" fontId="22" fillId="0" borderId="9" xfId="12" applyFont="1" applyBorder="1" applyAlignment="1">
      <alignment horizontal="center"/>
    </xf>
    <xf numFmtId="0" fontId="7" fillId="0" borderId="0" xfId="12" applyFont="1"/>
    <xf numFmtId="0" fontId="31" fillId="0" borderId="6" xfId="12" applyFont="1" applyBorder="1" applyAlignment="1">
      <alignment horizontal="center" vertical="center"/>
    </xf>
    <xf numFmtId="0" fontId="7" fillId="0" borderId="10" xfId="12" applyFont="1" applyBorder="1"/>
    <xf numFmtId="0" fontId="7" fillId="0" borderId="1" xfId="12" applyFont="1" applyBorder="1"/>
    <xf numFmtId="0" fontId="7" fillId="0" borderId="1" xfId="12" applyFont="1" applyBorder="1" applyAlignment="1">
      <alignment horizontal="center"/>
    </xf>
    <xf numFmtId="0" fontId="7" fillId="0" borderId="11" xfId="12" applyFont="1" applyBorder="1" applyAlignment="1">
      <alignment horizontal="center"/>
    </xf>
    <xf numFmtId="0" fontId="7" fillId="0" borderId="0" xfId="12" quotePrefix="1" applyFont="1" applyAlignment="1">
      <alignment horizontal="right"/>
    </xf>
    <xf numFmtId="0" fontId="32" fillId="0" borderId="0" xfId="12" applyFont="1" applyAlignment="1">
      <alignment horizontal="left"/>
    </xf>
    <xf numFmtId="0" fontId="22" fillId="0" borderId="0" xfId="12" applyFont="1"/>
    <xf numFmtId="0" fontId="22" fillId="0" borderId="0" xfId="12" applyFont="1" applyAlignment="1">
      <alignment horizontal="center"/>
    </xf>
    <xf numFmtId="0" fontId="7" fillId="0" borderId="0" xfId="12" applyFont="1" applyAlignment="1">
      <alignment horizontal="left" vertical="center"/>
    </xf>
    <xf numFmtId="0" fontId="31" fillId="0" borderId="0" xfId="12" applyFont="1" applyAlignment="1">
      <alignment horizontal="center"/>
    </xf>
    <xf numFmtId="0" fontId="7" fillId="0" borderId="0" xfId="12" quotePrefix="1" applyFont="1" applyAlignment="1">
      <alignment horizontal="left"/>
    </xf>
    <xf numFmtId="175" fontId="8" fillId="0" borderId="0" xfId="0" applyNumberFormat="1" applyFont="1"/>
    <xf numFmtId="175" fontId="22" fillId="0" borderId="0" xfId="0" applyNumberFormat="1" applyFont="1"/>
    <xf numFmtId="175" fontId="33" fillId="6" borderId="28" xfId="0" applyNumberFormat="1" applyFont="1" applyFill="1" applyBorder="1"/>
    <xf numFmtId="175" fontId="33" fillId="6" borderId="29" xfId="0" applyNumberFormat="1" applyFont="1" applyFill="1" applyBorder="1"/>
    <xf numFmtId="175" fontId="33" fillId="6" borderId="30" xfId="0" applyNumberFormat="1" applyFont="1" applyFill="1" applyBorder="1"/>
    <xf numFmtId="175" fontId="33" fillId="6" borderId="31" xfId="0" applyNumberFormat="1" applyFont="1" applyFill="1" applyBorder="1"/>
    <xf numFmtId="175" fontId="33" fillId="6" borderId="0" xfId="0" applyNumberFormat="1" applyFont="1" applyFill="1"/>
    <xf numFmtId="175" fontId="33" fillId="6" borderId="32" xfId="0" applyNumberFormat="1" applyFont="1" applyFill="1" applyBorder="1"/>
    <xf numFmtId="175" fontId="33" fillId="6" borderId="33" xfId="0" applyNumberFormat="1" applyFont="1" applyFill="1" applyBorder="1"/>
    <xf numFmtId="175" fontId="33" fillId="6" borderId="34" xfId="0" applyNumberFormat="1" applyFont="1" applyFill="1" applyBorder="1"/>
    <xf numFmtId="175" fontId="33" fillId="6" borderId="35" xfId="0" applyNumberFormat="1" applyFont="1" applyFill="1" applyBorder="1"/>
    <xf numFmtId="0" fontId="22" fillId="0" borderId="34" xfId="12" applyFont="1" applyBorder="1"/>
    <xf numFmtId="0" fontId="22" fillId="0" borderId="34" xfId="12" applyFont="1" applyBorder="1" applyAlignment="1">
      <alignment horizontal="center"/>
    </xf>
    <xf numFmtId="0" fontId="22" fillId="0" borderId="0" xfId="12" applyFont="1" applyAlignment="1">
      <alignment vertical="center"/>
    </xf>
    <xf numFmtId="0" fontId="31" fillId="0" borderId="0" xfId="12" applyFont="1" applyAlignment="1">
      <alignment horizontal="center" vertical="center"/>
    </xf>
    <xf numFmtId="0" fontId="7" fillId="0" borderId="0" xfId="12" applyFont="1" applyAlignment="1">
      <alignment horizontal="left"/>
    </xf>
    <xf numFmtId="179" fontId="34" fillId="0" borderId="0" xfId="0" applyNumberFormat="1" applyFont="1"/>
    <xf numFmtId="0" fontId="22" fillId="0" borderId="0" xfId="12" applyFont="1" applyAlignment="1">
      <alignment horizontal="left"/>
    </xf>
    <xf numFmtId="0" fontId="13" fillId="0" borderId="0" xfId="12" applyFont="1" applyAlignment="1">
      <alignment horizontal="center"/>
    </xf>
    <xf numFmtId="178" fontId="33" fillId="6" borderId="28" xfId="4" applyNumberFormat="1" applyFont="1" applyFill="1" applyBorder="1" applyProtection="1"/>
    <xf numFmtId="178" fontId="33" fillId="6" borderId="29" xfId="4" applyNumberFormat="1" applyFont="1" applyFill="1" applyBorder="1" applyProtection="1"/>
    <xf numFmtId="178" fontId="33" fillId="6" borderId="30" xfId="0" applyNumberFormat="1" applyFont="1" applyFill="1" applyBorder="1"/>
    <xf numFmtId="178" fontId="13" fillId="6" borderId="31" xfId="4" applyNumberFormat="1" applyFont="1" applyFill="1" applyBorder="1" applyProtection="1"/>
    <xf numFmtId="178" fontId="13" fillId="6" borderId="0" xfId="4" applyNumberFormat="1" applyFont="1" applyFill="1" applyBorder="1" applyProtection="1"/>
    <xf numFmtId="178" fontId="13" fillId="6" borderId="32" xfId="4" applyNumberFormat="1" applyFont="1" applyFill="1" applyBorder="1" applyProtection="1"/>
    <xf numFmtId="178" fontId="13" fillId="6" borderId="33" xfId="4" applyNumberFormat="1" applyFont="1" applyFill="1" applyBorder="1" applyProtection="1"/>
    <xf numFmtId="178" fontId="13" fillId="6" borderId="34" xfId="4" applyNumberFormat="1" applyFont="1" applyFill="1" applyBorder="1" applyProtection="1"/>
    <xf numFmtId="0" fontId="22" fillId="0" borderId="0" xfId="12" quotePrefix="1" applyFont="1" applyAlignment="1">
      <alignment horizontal="left"/>
    </xf>
    <xf numFmtId="37" fontId="33" fillId="0" borderId="0" xfId="0" applyNumberFormat="1" applyFont="1"/>
    <xf numFmtId="37" fontId="13" fillId="0" borderId="0" xfId="0" applyNumberFormat="1" applyFont="1"/>
    <xf numFmtId="175" fontId="33" fillId="0" borderId="28" xfId="0" applyNumberFormat="1" applyFont="1" applyBorder="1"/>
    <xf numFmtId="175" fontId="33" fillId="0" borderId="29" xfId="0" applyNumberFormat="1" applyFont="1" applyBorder="1"/>
    <xf numFmtId="175" fontId="33" fillId="0" borderId="30" xfId="0" applyNumberFormat="1" applyFont="1" applyBorder="1"/>
    <xf numFmtId="175" fontId="33" fillId="0" borderId="31" xfId="0" applyNumberFormat="1" applyFont="1" applyBorder="1"/>
    <xf numFmtId="175" fontId="33" fillId="0" borderId="0" xfId="0" applyNumberFormat="1" applyFont="1"/>
    <xf numFmtId="175" fontId="33" fillId="0" borderId="32" xfId="0" applyNumberFormat="1" applyFont="1" applyBorder="1"/>
    <xf numFmtId="175" fontId="33" fillId="0" borderId="33" xfId="0" applyNumberFormat="1" applyFont="1" applyBorder="1"/>
    <xf numFmtId="175" fontId="33" fillId="0" borderId="34" xfId="0" applyNumberFormat="1" applyFont="1" applyBorder="1"/>
    <xf numFmtId="175" fontId="33" fillId="0" borderId="35" xfId="0" applyNumberFormat="1" applyFont="1" applyBorder="1"/>
    <xf numFmtId="0" fontId="22" fillId="0" borderId="1" xfId="12" applyFont="1" applyBorder="1"/>
    <xf numFmtId="0" fontId="22" fillId="0" borderId="1" xfId="12" applyFont="1" applyBorder="1" applyAlignment="1">
      <alignment horizontal="center"/>
    </xf>
    <xf numFmtId="0" fontId="28" fillId="0" borderId="12" xfId="0" applyFont="1" applyBorder="1" applyAlignment="1">
      <alignment horizontal="centerContinuous"/>
    </xf>
    <xf numFmtId="0" fontId="7" fillId="0" borderId="0" xfId="13" applyFont="1" applyAlignment="1">
      <alignment horizontal="centerContinuous"/>
    </xf>
    <xf numFmtId="0" fontId="36" fillId="0" borderId="0" xfId="13" applyFont="1" applyAlignment="1">
      <alignment horizontal="centerContinuous"/>
    </xf>
    <xf numFmtId="0" fontId="37" fillId="0" borderId="0" xfId="13" applyFont="1" applyAlignment="1">
      <alignment horizontal="centerContinuous"/>
    </xf>
    <xf numFmtId="0" fontId="22" fillId="3" borderId="36" xfId="13" applyFill="1" applyBorder="1" applyAlignment="1">
      <alignment vertical="center"/>
    </xf>
    <xf numFmtId="0" fontId="22" fillId="3" borderId="37" xfId="13" applyFill="1" applyBorder="1" applyAlignment="1">
      <alignment vertical="center"/>
    </xf>
    <xf numFmtId="0" fontId="38" fillId="3" borderId="37" xfId="13" applyFont="1" applyFill="1" applyBorder="1" applyAlignment="1">
      <alignment vertical="center"/>
    </xf>
    <xf numFmtId="0" fontId="39" fillId="3" borderId="38" xfId="13" applyFont="1" applyFill="1" applyBorder="1" applyAlignment="1">
      <alignment horizontal="centerContinuous" vertical="center"/>
    </xf>
    <xf numFmtId="0" fontId="40" fillId="3" borderId="38" xfId="13" applyFont="1" applyFill="1" applyBorder="1" applyAlignment="1">
      <alignment horizontal="centerContinuous" vertical="center"/>
    </xf>
    <xf numFmtId="0" fontId="38" fillId="3" borderId="39" xfId="13" applyFont="1" applyFill="1" applyBorder="1" applyAlignment="1">
      <alignment vertical="center"/>
    </xf>
    <xf numFmtId="0" fontId="22" fillId="3" borderId="40" xfId="13" applyFill="1" applyBorder="1" applyAlignment="1">
      <alignment vertical="center"/>
    </xf>
    <xf numFmtId="0" fontId="29" fillId="3" borderId="0" xfId="13" applyFont="1" applyFill="1" applyAlignment="1">
      <alignment vertical="center"/>
    </xf>
    <xf numFmtId="0" fontId="22" fillId="3" borderId="0" xfId="13" applyFill="1" applyAlignment="1">
      <alignment vertical="center"/>
    </xf>
    <xf numFmtId="168" fontId="29" fillId="3" borderId="0" xfId="0" applyNumberFormat="1" applyFont="1" applyFill="1" applyAlignment="1">
      <alignment vertical="center"/>
    </xf>
    <xf numFmtId="0" fontId="29" fillId="3" borderId="0" xfId="0" applyFont="1" applyFill="1" applyAlignment="1">
      <alignment vertical="center"/>
    </xf>
    <xf numFmtId="0" fontId="38" fillId="3" borderId="41" xfId="13" applyFont="1" applyFill="1" applyBorder="1" applyAlignment="1">
      <alignment vertical="center"/>
    </xf>
    <xf numFmtId="0" fontId="22" fillId="4" borderId="40" xfId="13" applyFill="1" applyBorder="1"/>
    <xf numFmtId="0" fontId="22" fillId="4" borderId="0" xfId="13" applyFill="1"/>
    <xf numFmtId="168" fontId="9" fillId="4" borderId="0" xfId="0" applyNumberFormat="1" applyFont="1" applyFill="1"/>
    <xf numFmtId="180" fontId="9" fillId="4" borderId="0" xfId="0" quotePrefix="1" applyNumberFormat="1" applyFont="1" applyFill="1" applyAlignment="1">
      <alignment horizontal="right"/>
    </xf>
    <xf numFmtId="0" fontId="9" fillId="4" borderId="0" xfId="0" applyFont="1" applyFill="1"/>
    <xf numFmtId="0" fontId="9" fillId="4" borderId="41" xfId="0" applyFont="1" applyFill="1" applyBorder="1"/>
    <xf numFmtId="0" fontId="22" fillId="5" borderId="40" xfId="13" applyFill="1" applyBorder="1"/>
    <xf numFmtId="0" fontId="22" fillId="5" borderId="0" xfId="13" applyFill="1"/>
    <xf numFmtId="168" fontId="9" fillId="5" borderId="0" xfId="0" applyNumberFormat="1" applyFont="1" applyFill="1"/>
    <xf numFmtId="180" fontId="9" fillId="5" borderId="0" xfId="0" quotePrefix="1" applyNumberFormat="1" applyFont="1" applyFill="1" applyAlignment="1">
      <alignment horizontal="right"/>
    </xf>
    <xf numFmtId="0" fontId="9" fillId="5" borderId="0" xfId="0" applyFont="1" applyFill="1"/>
    <xf numFmtId="0" fontId="9" fillId="5" borderId="41" xfId="0" applyFont="1" applyFill="1" applyBorder="1"/>
    <xf numFmtId="0" fontId="22" fillId="0" borderId="40" xfId="13" applyBorder="1"/>
    <xf numFmtId="0" fontId="7" fillId="0" borderId="0" xfId="13" applyFont="1"/>
    <xf numFmtId="0" fontId="22" fillId="0" borderId="0" xfId="13"/>
    <xf numFmtId="0" fontId="22" fillId="0" borderId="41" xfId="13" applyBorder="1"/>
    <xf numFmtId="0" fontId="41" fillId="0" borderId="0" xfId="13" applyFont="1"/>
    <xf numFmtId="5" fontId="35" fillId="6" borderId="0" xfId="4" applyNumberFormat="1" applyFont="1" applyFill="1" applyBorder="1"/>
    <xf numFmtId="0" fontId="42" fillId="0" borderId="0" xfId="13" applyFont="1"/>
    <xf numFmtId="0" fontId="13" fillId="0" borderId="0" xfId="13" applyFont="1"/>
    <xf numFmtId="0" fontId="35" fillId="0" borderId="0" xfId="13" applyFont="1"/>
    <xf numFmtId="181" fontId="43" fillId="6" borderId="0" xfId="0" applyNumberFormat="1" applyFont="1" applyFill="1"/>
    <xf numFmtId="0" fontId="44" fillId="0" borderId="0" xfId="13" applyFont="1"/>
    <xf numFmtId="0" fontId="35" fillId="0" borderId="42" xfId="13" applyFont="1" applyBorder="1"/>
    <xf numFmtId="5" fontId="22" fillId="0" borderId="41" xfId="4" applyNumberFormat="1" applyFont="1" applyBorder="1"/>
    <xf numFmtId="181" fontId="12" fillId="0" borderId="41" xfId="0" applyNumberFormat="1" applyFont="1" applyBorder="1"/>
    <xf numFmtId="0" fontId="45" fillId="0" borderId="0" xfId="13" applyFont="1"/>
    <xf numFmtId="0" fontId="14" fillId="0" borderId="0" xfId="13" applyFont="1"/>
    <xf numFmtId="0" fontId="22" fillId="0" borderId="43" xfId="13" applyBorder="1"/>
    <xf numFmtId="0" fontId="22" fillId="0" borderId="44" xfId="13" applyBorder="1"/>
    <xf numFmtId="0" fontId="22" fillId="0" borderId="44" xfId="13" applyBorder="1" applyAlignment="1">
      <alignment horizontal="left"/>
    </xf>
    <xf numFmtId="0" fontId="22" fillId="0" borderId="45" xfId="13" applyBorder="1"/>
    <xf numFmtId="0" fontId="22" fillId="0" borderId="7" xfId="13" applyBorder="1" applyAlignment="1">
      <alignment vertical="center"/>
    </xf>
    <xf numFmtId="0" fontId="22" fillId="0" borderId="8" xfId="13" applyBorder="1" applyAlignment="1">
      <alignment vertical="center"/>
    </xf>
    <xf numFmtId="0" fontId="17" fillId="0" borderId="26" xfId="13" applyFont="1" applyBorder="1" applyAlignment="1">
      <alignment horizontal="centerContinuous" vertical="center"/>
    </xf>
    <xf numFmtId="0" fontId="12" fillId="0" borderId="26" xfId="13" applyFont="1" applyBorder="1" applyAlignment="1">
      <alignment horizontal="centerContinuous" vertical="center"/>
    </xf>
    <xf numFmtId="0" fontId="22" fillId="0" borderId="9" xfId="13" applyBorder="1" applyAlignment="1">
      <alignment vertical="center"/>
    </xf>
    <xf numFmtId="0" fontId="22" fillId="0" borderId="5" xfId="13" applyBorder="1" applyAlignment="1">
      <alignment vertical="center"/>
    </xf>
    <xf numFmtId="0" fontId="22" fillId="0" borderId="1" xfId="13" applyBorder="1" applyAlignment="1">
      <alignment vertical="center"/>
    </xf>
    <xf numFmtId="168" fontId="7" fillId="0" borderId="1" xfId="0" applyNumberFormat="1" applyFont="1" applyBorder="1" applyAlignment="1">
      <alignment vertical="center"/>
    </xf>
    <xf numFmtId="0" fontId="22" fillId="0" borderId="6" xfId="13" applyBorder="1" applyAlignment="1">
      <alignment vertical="center"/>
    </xf>
    <xf numFmtId="0" fontId="22" fillId="0" borderId="5" xfId="13" applyBorder="1"/>
    <xf numFmtId="168" fontId="9" fillId="0" borderId="0" xfId="0" applyNumberFormat="1" applyFont="1"/>
    <xf numFmtId="180" fontId="9" fillId="0" borderId="0" xfId="0" quotePrefix="1" applyNumberFormat="1" applyFont="1" applyAlignment="1">
      <alignment horizontal="right"/>
    </xf>
    <xf numFmtId="0" fontId="22" fillId="0" borderId="6" xfId="13" applyBorder="1"/>
    <xf numFmtId="0" fontId="4" fillId="0" borderId="0" xfId="13" applyFont="1"/>
    <xf numFmtId="5" fontId="22" fillId="6" borderId="0" xfId="4" applyNumberFormat="1" applyFont="1" applyFill="1" applyBorder="1"/>
    <xf numFmtId="181" fontId="42" fillId="6" borderId="0" xfId="0" applyNumberFormat="1" applyFont="1" applyFill="1"/>
    <xf numFmtId="0" fontId="22" fillId="0" borderId="10" xfId="13" applyBorder="1"/>
    <xf numFmtId="0" fontId="22" fillId="0" borderId="1" xfId="13" applyBorder="1"/>
    <xf numFmtId="0" fontId="22" fillId="0" borderId="11" xfId="13" applyBorder="1"/>
    <xf numFmtId="0" fontId="22" fillId="0" borderId="0" xfId="13" applyAlignment="1">
      <alignment vertical="center"/>
    </xf>
    <xf numFmtId="0" fontId="22" fillId="3" borderId="39" xfId="13" applyFill="1" applyBorder="1" applyAlignment="1">
      <alignment vertical="center"/>
    </xf>
    <xf numFmtId="0" fontId="22" fillId="3" borderId="41" xfId="13" applyFill="1" applyBorder="1" applyAlignment="1">
      <alignment vertical="center"/>
    </xf>
    <xf numFmtId="0" fontId="22" fillId="3" borderId="46" xfId="13" applyFill="1" applyBorder="1" applyAlignment="1">
      <alignment vertical="center"/>
    </xf>
    <xf numFmtId="0" fontId="22" fillId="3" borderId="17" xfId="13" applyFill="1" applyBorder="1" applyAlignment="1">
      <alignment vertical="center"/>
    </xf>
    <xf numFmtId="168" fontId="29" fillId="3" borderId="17" xfId="0" applyNumberFormat="1" applyFont="1" applyFill="1" applyBorder="1" applyAlignment="1">
      <alignment vertical="center"/>
    </xf>
    <xf numFmtId="0" fontId="29" fillId="3" borderId="17" xfId="0" applyFont="1" applyFill="1" applyBorder="1" applyAlignment="1">
      <alignment vertical="center"/>
    </xf>
    <xf numFmtId="0" fontId="22" fillId="3" borderId="47" xfId="13" applyFill="1" applyBorder="1" applyAlignment="1">
      <alignment vertical="center"/>
    </xf>
    <xf numFmtId="0" fontId="46" fillId="0" borderId="0" xfId="0" applyFont="1" applyAlignment="1">
      <alignment horizontal="centerContinuous"/>
    </xf>
    <xf numFmtId="0" fontId="0" fillId="6" borderId="0" xfId="12" applyFont="1" applyFill="1" applyAlignment="1">
      <alignment horizontal="left"/>
    </xf>
    <xf numFmtId="9" fontId="33" fillId="6" borderId="28" xfId="11" applyFont="1" applyFill="1" applyBorder="1" applyProtection="1"/>
    <xf numFmtId="175" fontId="7" fillId="2" borderId="25" xfId="0" applyNumberFormat="1" applyFont="1" applyFill="1" applyBorder="1" applyAlignment="1">
      <alignment vertical="center"/>
    </xf>
    <xf numFmtId="175" fontId="7" fillId="2" borderId="26" xfId="0" applyNumberFormat="1" applyFont="1" applyFill="1" applyBorder="1" applyAlignment="1">
      <alignment vertical="center"/>
    </xf>
    <xf numFmtId="175" fontId="7" fillId="2" borderId="27" xfId="0" applyNumberFormat="1" applyFont="1" applyFill="1" applyBorder="1" applyAlignment="1">
      <alignment vertical="center"/>
    </xf>
    <xf numFmtId="178" fontId="34" fillId="2" borderId="25" xfId="0" applyNumberFormat="1" applyFont="1" applyFill="1" applyBorder="1" applyAlignment="1">
      <alignment vertical="center"/>
    </xf>
    <xf numFmtId="178" fontId="34" fillId="2" borderId="26" xfId="0" applyNumberFormat="1" applyFont="1" applyFill="1" applyBorder="1" applyAlignment="1">
      <alignment vertical="center"/>
    </xf>
    <xf numFmtId="178" fontId="34" fillId="2" borderId="27" xfId="0" applyNumberFormat="1" applyFont="1" applyFill="1" applyBorder="1" applyAlignment="1">
      <alignment vertical="center"/>
    </xf>
    <xf numFmtId="0" fontId="31" fillId="2" borderId="0" xfId="12" applyFont="1" applyFill="1" applyAlignment="1">
      <alignment horizontal="center" vertical="center"/>
    </xf>
    <xf numFmtId="0" fontId="7" fillId="0" borderId="0" xfId="12" applyFont="1" applyAlignment="1">
      <alignment horizontal="center"/>
    </xf>
    <xf numFmtId="178" fontId="13" fillId="6" borderId="35" xfId="0" applyNumberFormat="1" applyFont="1" applyFill="1" applyBorder="1"/>
    <xf numFmtId="0" fontId="0" fillId="0" borderId="12" xfId="0" applyBorder="1" applyAlignment="1">
      <alignment horizontal="centerContinuous"/>
    </xf>
    <xf numFmtId="0" fontId="13" fillId="0" borderId="12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7" fillId="0" borderId="1" xfId="0" applyFont="1" applyBorder="1" applyAlignment="1">
      <alignment horizontal="centerContinuous"/>
    </xf>
    <xf numFmtId="0" fontId="47" fillId="0" borderId="0" xfId="0" applyFont="1"/>
    <xf numFmtId="175" fontId="0" fillId="0" borderId="0" xfId="0" applyNumberFormat="1"/>
    <xf numFmtId="0" fontId="4" fillId="0" borderId="0" xfId="0" quotePrefix="1" applyFont="1" applyAlignment="1">
      <alignment horizontal="left"/>
    </xf>
    <xf numFmtId="182" fontId="18" fillId="0" borderId="0" xfId="4" applyNumberFormat="1" applyFont="1" applyFill="1" applyBorder="1" applyProtection="1"/>
    <xf numFmtId="182" fontId="18" fillId="0" borderId="0" xfId="4" applyNumberFormat="1" applyFont="1" applyFill="1" applyProtection="1"/>
    <xf numFmtId="175" fontId="49" fillId="0" borderId="0" xfId="0" applyNumberFormat="1" applyFont="1"/>
    <xf numFmtId="175" fontId="12" fillId="0" borderId="0" xfId="0" applyNumberFormat="1" applyFont="1"/>
    <xf numFmtId="182" fontId="8" fillId="0" borderId="0" xfId="4" applyNumberFormat="1" applyFont="1" applyFill="1" applyBorder="1" applyProtection="1"/>
    <xf numFmtId="182" fontId="8" fillId="0" borderId="1" xfId="4" applyNumberFormat="1" applyFont="1" applyFill="1" applyBorder="1" applyProtection="1"/>
    <xf numFmtId="164" fontId="7" fillId="0" borderId="34" xfId="4" applyNumberFormat="1" applyFont="1" applyFill="1" applyBorder="1" applyProtection="1"/>
    <xf numFmtId="0" fontId="14" fillId="0" borderId="0" xfId="0" quotePrefix="1" applyFont="1" applyAlignment="1">
      <alignment horizontal="left"/>
    </xf>
    <xf numFmtId="182" fontId="7" fillId="0" borderId="0" xfId="4" applyNumberFormat="1" applyFont="1" applyFill="1" applyBorder="1" applyProtection="1"/>
    <xf numFmtId="182" fontId="7" fillId="0" borderId="0" xfId="4" applyNumberFormat="1" applyFont="1" applyFill="1" applyProtection="1"/>
    <xf numFmtId="0" fontId="0" fillId="0" borderId="34" xfId="0" applyBorder="1"/>
    <xf numFmtId="0" fontId="7" fillId="0" borderId="34" xfId="0" quotePrefix="1" applyFont="1" applyBorder="1" applyAlignment="1">
      <alignment horizontal="left"/>
    </xf>
    <xf numFmtId="0" fontId="14" fillId="0" borderId="34" xfId="0" quotePrefix="1" applyFont="1" applyBorder="1" applyAlignment="1">
      <alignment horizontal="left"/>
    </xf>
    <xf numFmtId="164" fontId="51" fillId="0" borderId="34" xfId="4" applyNumberFormat="1" applyFont="1" applyFill="1" applyBorder="1" applyProtection="1"/>
    <xf numFmtId="164" fontId="51" fillId="0" borderId="0" xfId="4" applyNumberFormat="1" applyFont="1" applyFill="1" applyProtection="1"/>
    <xf numFmtId="164" fontId="7" fillId="0" borderId="0" xfId="4" applyNumberFormat="1" applyFont="1" applyFill="1" applyProtection="1"/>
    <xf numFmtId="182" fontId="0" fillId="0" borderId="0" xfId="4" applyNumberFormat="1" applyFont="1" applyFill="1" applyProtection="1"/>
    <xf numFmtId="175" fontId="12" fillId="0" borderId="1" xfId="0" applyNumberFormat="1" applyFont="1" applyBorder="1"/>
    <xf numFmtId="182" fontId="52" fillId="0" borderId="0" xfId="4" applyNumberFormat="1" applyFont="1" applyFill="1" applyBorder="1" applyProtection="1"/>
    <xf numFmtId="183" fontId="0" fillId="0" borderId="0" xfId="0" applyNumberFormat="1"/>
    <xf numFmtId="0" fontId="4" fillId="0" borderId="34" xfId="0" applyFont="1" applyBorder="1"/>
    <xf numFmtId="178" fontId="0" fillId="0" borderId="0" xfId="4" applyNumberFormat="1" applyFont="1" applyFill="1" applyBorder="1" applyProtection="1"/>
    <xf numFmtId="178" fontId="0" fillId="0" borderId="0" xfId="4" applyNumberFormat="1" applyFont="1" applyFill="1" applyProtection="1"/>
    <xf numFmtId="166" fontId="7" fillId="0" borderId="0" xfId="4" applyNumberFormat="1" applyFont="1" applyFill="1" applyBorder="1" applyProtection="1"/>
    <xf numFmtId="166" fontId="7" fillId="0" borderId="8" xfId="4" applyNumberFormat="1" applyFont="1" applyFill="1" applyBorder="1" applyProtection="1"/>
    <xf numFmtId="0" fontId="13" fillId="0" borderId="1" xfId="0" applyFont="1" applyBorder="1"/>
    <xf numFmtId="0" fontId="0" fillId="0" borderId="28" xfId="0" applyBorder="1"/>
    <xf numFmtId="0" fontId="0" fillId="0" borderId="29" xfId="0" applyBorder="1"/>
    <xf numFmtId="0" fontId="4" fillId="0" borderId="29" xfId="0" applyFont="1" applyBorder="1"/>
    <xf numFmtId="0" fontId="9" fillId="0" borderId="29" xfId="0" applyFont="1" applyBorder="1"/>
    <xf numFmtId="165" fontId="0" fillId="0" borderId="29" xfId="0" applyNumberFormat="1" applyBorder="1"/>
    <xf numFmtId="165" fontId="0" fillId="0" borderId="30" xfId="0" applyNumberFormat="1" applyBorder="1"/>
    <xf numFmtId="0" fontId="0" fillId="0" borderId="33" xfId="0" applyBorder="1"/>
    <xf numFmtId="0" fontId="9" fillId="0" borderId="34" xfId="0" applyFont="1" applyBorder="1"/>
    <xf numFmtId="175" fontId="0" fillId="0" borderId="34" xfId="0" applyNumberFormat="1" applyBorder="1" applyAlignment="1">
      <alignment horizontal="right"/>
    </xf>
    <xf numFmtId="183" fontId="0" fillId="0" borderId="34" xfId="0" applyNumberFormat="1" applyBorder="1" applyAlignment="1">
      <alignment horizontal="right"/>
    </xf>
    <xf numFmtId="183" fontId="0" fillId="0" borderId="35" xfId="0" applyNumberFormat="1" applyBorder="1" applyAlignment="1">
      <alignment horizontal="right"/>
    </xf>
    <xf numFmtId="0" fontId="17" fillId="0" borderId="0" xfId="0" applyFont="1"/>
    <xf numFmtId="0" fontId="17" fillId="0" borderId="0" xfId="0" applyFont="1" applyAlignment="1">
      <alignment horizontal="left"/>
    </xf>
    <xf numFmtId="0" fontId="53" fillId="0" borderId="0" xfId="0" applyFont="1"/>
    <xf numFmtId="39" fontId="8" fillId="0" borderId="0" xfId="4" applyNumberFormat="1" applyFont="1" applyBorder="1" applyProtection="1"/>
    <xf numFmtId="39" fontId="0" fillId="0" borderId="0" xfId="4" applyNumberFormat="1" applyFont="1" applyBorder="1" applyProtection="1"/>
    <xf numFmtId="166" fontId="7" fillId="0" borderId="0" xfId="4" applyNumberFormat="1" applyFont="1" applyBorder="1" applyProtection="1"/>
    <xf numFmtId="0" fontId="7" fillId="0" borderId="34" xfId="0" applyFont="1" applyBorder="1"/>
    <xf numFmtId="0" fontId="53" fillId="0" borderId="34" xfId="0" applyFont="1" applyBorder="1"/>
    <xf numFmtId="37" fontId="7" fillId="0" borderId="34" xfId="4" applyNumberFormat="1" applyFont="1" applyBorder="1" applyProtection="1"/>
    <xf numFmtId="0" fontId="7" fillId="0" borderId="1" xfId="0" applyFont="1" applyBorder="1"/>
    <xf numFmtId="0" fontId="53" fillId="0" borderId="1" xfId="0" applyFont="1" applyBorder="1"/>
    <xf numFmtId="0" fontId="14" fillId="2" borderId="0" xfId="13" quotePrefix="1" applyFont="1" applyFill="1" applyAlignment="1">
      <alignment horizontal="right" vertical="center"/>
    </xf>
    <xf numFmtId="182" fontId="48" fillId="2" borderId="0" xfId="4" applyNumberFormat="1" applyFont="1" applyFill="1" applyProtection="1"/>
    <xf numFmtId="175" fontId="50" fillId="2" borderId="0" xfId="0" applyNumberFormat="1" applyFont="1" applyFill="1"/>
    <xf numFmtId="182" fontId="0" fillId="2" borderId="1" xfId="4" applyNumberFormat="1" applyFont="1" applyFill="1" applyBorder="1" applyProtection="1"/>
    <xf numFmtId="182" fontId="7" fillId="2" borderId="0" xfId="4" applyNumberFormat="1" applyFont="1" applyFill="1" applyProtection="1"/>
    <xf numFmtId="175" fontId="50" fillId="2" borderId="1" xfId="0" applyNumberFormat="1" applyFont="1" applyFill="1" applyBorder="1"/>
    <xf numFmtId="164" fontId="7" fillId="2" borderId="0" xfId="4" applyNumberFormat="1" applyFont="1" applyFill="1" applyProtection="1"/>
    <xf numFmtId="183" fontId="0" fillId="2" borderId="0" xfId="0" applyNumberFormat="1" applyFill="1"/>
    <xf numFmtId="0" fontId="0" fillId="2" borderId="34" xfId="0" applyFill="1" applyBorder="1"/>
    <xf numFmtId="0" fontId="0" fillId="2" borderId="0" xfId="0" applyFill="1"/>
    <xf numFmtId="178" fontId="0" fillId="2" borderId="0" xfId="4" applyNumberFormat="1" applyFont="1" applyFill="1" applyProtection="1"/>
    <xf numFmtId="166" fontId="7" fillId="2" borderId="8" xfId="4" applyNumberFormat="1" applyFont="1" applyFill="1" applyBorder="1" applyProtection="1"/>
    <xf numFmtId="37" fontId="8" fillId="2" borderId="21" xfId="0" applyNumberFormat="1" applyFont="1" applyFill="1" applyBorder="1" applyAlignment="1">
      <alignment horizontal="right"/>
    </xf>
    <xf numFmtId="7" fontId="8" fillId="2" borderId="24" xfId="0" applyNumberFormat="1" applyFont="1" applyFill="1" applyBorder="1" applyAlignment="1">
      <alignment horizontal="right"/>
    </xf>
    <xf numFmtId="39" fontId="8" fillId="2" borderId="21" xfId="0" applyNumberFormat="1" applyFont="1" applyFill="1" applyBorder="1" applyAlignment="1">
      <alignment horizontal="right"/>
    </xf>
    <xf numFmtId="175" fontId="8" fillId="2" borderId="23" xfId="0" quotePrefix="1" applyNumberFormat="1" applyFont="1" applyFill="1" applyBorder="1" applyAlignment="1">
      <alignment horizontal="right"/>
    </xf>
    <xf numFmtId="0" fontId="8" fillId="2" borderId="22" xfId="0" applyFont="1" applyFill="1" applyBorder="1" applyAlignment="1">
      <alignment horizontal="left"/>
    </xf>
    <xf numFmtId="176" fontId="8" fillId="2" borderId="0" xfId="0" quotePrefix="1" applyNumberFormat="1" applyFont="1" applyFill="1" applyAlignment="1">
      <alignment horizontal="center" vertical="center"/>
    </xf>
    <xf numFmtId="176" fontId="8" fillId="2" borderId="17" xfId="0" quotePrefix="1" applyNumberFormat="1" applyFont="1" applyFill="1" applyBorder="1" applyAlignment="1">
      <alignment horizontal="center"/>
    </xf>
    <xf numFmtId="177" fontId="8" fillId="2" borderId="0" xfId="0" applyNumberFormat="1" applyFont="1" applyFill="1"/>
    <xf numFmtId="177" fontId="8" fillId="2" borderId="17" xfId="0" applyNumberFormat="1" applyFont="1" applyFill="1" applyBorder="1"/>
    <xf numFmtId="174" fontId="8" fillId="2" borderId="21" xfId="0" applyNumberFormat="1" applyFont="1" applyFill="1" applyBorder="1" applyAlignment="1">
      <alignment horizontal="right"/>
    </xf>
    <xf numFmtId="174" fontId="8" fillId="2" borderId="23" xfId="0" applyNumberFormat="1" applyFont="1" applyFill="1" applyBorder="1" applyAlignment="1">
      <alignment horizontal="right"/>
    </xf>
    <xf numFmtId="175" fontId="8" fillId="2" borderId="21" xfId="0" applyNumberFormat="1" applyFont="1" applyFill="1" applyBorder="1" applyAlignment="1">
      <alignment horizontal="right"/>
    </xf>
    <xf numFmtId="0" fontId="0" fillId="2" borderId="21" xfId="0" applyFill="1" applyBorder="1"/>
    <xf numFmtId="175" fontId="8" fillId="2" borderId="21" xfId="0" quotePrefix="1" applyNumberFormat="1" applyFont="1" applyFill="1" applyBorder="1" applyAlignment="1">
      <alignment horizontal="right"/>
    </xf>
    <xf numFmtId="166" fontId="8" fillId="2" borderId="0" xfId="0" applyNumberFormat="1" applyFont="1" applyFill="1"/>
    <xf numFmtId="166" fontId="8" fillId="2" borderId="21" xfId="0" applyNumberFormat="1" applyFont="1" applyFill="1" applyBorder="1"/>
    <xf numFmtId="0" fontId="0" fillId="2" borderId="0" xfId="0" quotePrefix="1" applyFill="1"/>
    <xf numFmtId="178" fontId="8" fillId="2" borderId="0" xfId="0" applyNumberFormat="1" applyFont="1" applyFill="1"/>
    <xf numFmtId="178" fontId="8" fillId="2" borderId="21" xfId="0" applyNumberFormat="1" applyFont="1" applyFill="1" applyBorder="1"/>
    <xf numFmtId="9" fontId="7" fillId="0" borderId="21" xfId="11" applyFont="1" applyBorder="1"/>
    <xf numFmtId="165" fontId="48" fillId="2" borderId="0" xfId="4" applyNumberFormat="1" applyFont="1" applyFill="1" applyBorder="1" applyProtection="1"/>
    <xf numFmtId="165" fontId="0" fillId="2" borderId="0" xfId="4" applyNumberFormat="1" applyFont="1" applyFill="1" applyBorder="1" applyProtection="1"/>
    <xf numFmtId="165" fontId="48" fillId="2" borderId="1" xfId="4" applyNumberFormat="1" applyFont="1" applyFill="1" applyBorder="1" applyProtection="1"/>
    <xf numFmtId="165" fontId="7" fillId="2" borderId="0" xfId="4" applyNumberFormat="1" applyFont="1" applyFill="1" applyBorder="1" applyProtection="1"/>
    <xf numFmtId="165" fontId="0" fillId="2" borderId="1" xfId="4" applyNumberFormat="1" applyFont="1" applyFill="1" applyBorder="1" applyProtection="1"/>
    <xf numFmtId="166" fontId="7" fillId="2" borderId="13" xfId="4" applyNumberFormat="1" applyFont="1" applyFill="1" applyBorder="1" applyProtection="1"/>
    <xf numFmtId="165" fontId="54" fillId="0" borderId="0" xfId="4" applyNumberFormat="1" applyFont="1" applyBorder="1" applyProtection="1"/>
    <xf numFmtId="165" fontId="54" fillId="0" borderId="1" xfId="4" applyNumberFormat="1" applyFont="1" applyBorder="1" applyProtection="1"/>
    <xf numFmtId="165" fontId="54" fillId="0" borderId="0" xfId="4" applyNumberFormat="1" applyFont="1" applyFill="1" applyBorder="1" applyAlignment="1" applyProtection="1">
      <alignment horizontal="right"/>
      <protection locked="0"/>
    </xf>
    <xf numFmtId="165" fontId="55" fillId="0" borderId="1" xfId="4" applyNumberFormat="1" applyFont="1" applyBorder="1" applyAlignment="1" applyProtection="1">
      <alignment horizontal="right"/>
    </xf>
    <xf numFmtId="165" fontId="22" fillId="0" borderId="1" xfId="4" applyNumberFormat="1" applyFont="1" applyBorder="1" applyAlignment="1" applyProtection="1">
      <alignment horizontal="right"/>
    </xf>
    <xf numFmtId="165" fontId="55" fillId="0" borderId="1" xfId="4" applyNumberFormat="1" applyFont="1" applyFill="1" applyBorder="1" applyAlignment="1" applyProtection="1">
      <alignment horizontal="right"/>
    </xf>
    <xf numFmtId="165" fontId="54" fillId="0" borderId="0" xfId="4" applyNumberFormat="1" applyFont="1" applyFill="1" applyProtection="1">
      <protection locked="0"/>
    </xf>
    <xf numFmtId="165" fontId="55" fillId="0" borderId="0" xfId="4" applyNumberFormat="1" applyFont="1" applyFill="1" applyProtection="1">
      <protection locked="0"/>
    </xf>
    <xf numFmtId="0" fontId="56" fillId="0" borderId="0" xfId="0" applyFont="1" applyAlignment="1">
      <alignment horizontal="centerContinuous"/>
    </xf>
    <xf numFmtId="0" fontId="57" fillId="0" borderId="0" xfId="0" applyFont="1" applyAlignment="1">
      <alignment horizontal="centerContinuous"/>
    </xf>
    <xf numFmtId="0" fontId="58" fillId="0" borderId="0" xfId="0" applyFont="1" applyAlignment="1">
      <alignment horizontal="centerContinuous"/>
    </xf>
    <xf numFmtId="0" fontId="59" fillId="0" borderId="0" xfId="0" applyFont="1" applyAlignment="1">
      <alignment horizontal="centerContinuous"/>
    </xf>
    <xf numFmtId="0" fontId="53" fillId="0" borderId="0" xfId="0" applyFont="1" applyAlignment="1">
      <alignment horizontal="centerContinuous"/>
    </xf>
    <xf numFmtId="0" fontId="17" fillId="0" borderId="1" xfId="0" applyFont="1" applyBorder="1" applyAlignment="1">
      <alignment horizontal="centerContinuous"/>
    </xf>
    <xf numFmtId="0" fontId="60" fillId="0" borderId="0" xfId="0" applyFont="1" applyAlignment="1">
      <alignment horizontal="right"/>
    </xf>
    <xf numFmtId="0" fontId="9" fillId="0" borderId="0" xfId="0" quotePrefix="1" applyFont="1" applyAlignment="1">
      <alignment horizontal="right"/>
    </xf>
    <xf numFmtId="0" fontId="7" fillId="0" borderId="8" xfId="0" quotePrefix="1" applyFont="1" applyBorder="1" applyAlignment="1">
      <alignment horizontal="right"/>
    </xf>
    <xf numFmtId="0" fontId="61" fillId="0" borderId="7" xfId="0" applyFont="1" applyBorder="1" applyAlignment="1">
      <alignment horizontal="left" vertical="center"/>
    </xf>
    <xf numFmtId="184" fontId="62" fillId="0" borderId="0" xfId="0" applyNumberFormat="1" applyFont="1"/>
    <xf numFmtId="37" fontId="61" fillId="0" borderId="0" xfId="0" applyNumberFormat="1" applyFont="1"/>
    <xf numFmtId="0" fontId="63" fillId="0" borderId="0" xfId="0" applyFont="1"/>
    <xf numFmtId="0" fontId="61" fillId="0" borderId="10" xfId="0" applyFont="1" applyBorder="1" applyAlignment="1">
      <alignment horizontal="left" vertical="center"/>
    </xf>
    <xf numFmtId="0" fontId="61" fillId="0" borderId="1" xfId="0" quotePrefix="1" applyFont="1" applyBorder="1" applyAlignment="1">
      <alignment horizontal="left" vertical="center"/>
    </xf>
    <xf numFmtId="0" fontId="61" fillId="0" borderId="1" xfId="0" applyFont="1" applyBorder="1" applyAlignment="1">
      <alignment vertical="center"/>
    </xf>
    <xf numFmtId="185" fontId="0" fillId="0" borderId="0" xfId="0" applyNumberFormat="1"/>
    <xf numFmtId="166" fontId="0" fillId="0" borderId="0" xfId="0" applyNumberFormat="1"/>
    <xf numFmtId="0" fontId="64" fillId="0" borderId="0" xfId="0" applyFont="1" applyAlignment="1">
      <alignment horizontal="right"/>
    </xf>
    <xf numFmtId="179" fontId="0" fillId="0" borderId="0" xfId="0" applyNumberFormat="1"/>
    <xf numFmtId="165" fontId="61" fillId="0" borderId="0" xfId="0" applyNumberFormat="1" applyFont="1"/>
    <xf numFmtId="37" fontId="0" fillId="0" borderId="0" xfId="0" applyNumberFormat="1"/>
    <xf numFmtId="0" fontId="34" fillId="0" borderId="0" xfId="0" applyFont="1" applyAlignment="1">
      <alignment vertical="center"/>
    </xf>
    <xf numFmtId="166" fontId="7" fillId="0" borderId="13" xfId="0" applyNumberFormat="1" applyFont="1" applyBorder="1" applyAlignment="1">
      <alignment vertical="center"/>
    </xf>
    <xf numFmtId="37" fontId="0" fillId="0" borderId="1" xfId="4" applyNumberFormat="1" applyFont="1" applyBorder="1" applyProtection="1"/>
    <xf numFmtId="0" fontId="14" fillId="0" borderId="0" xfId="0" applyFont="1" applyAlignment="1">
      <alignment horizontal="right" vertical="center"/>
    </xf>
    <xf numFmtId="0" fontId="17" fillId="0" borderId="0" xfId="0" applyFont="1" applyAlignment="1">
      <alignment horizontal="centerContinuous"/>
    </xf>
    <xf numFmtId="0" fontId="64" fillId="0" borderId="0" xfId="0" applyFont="1"/>
    <xf numFmtId="0" fontId="7" fillId="0" borderId="25" xfId="0" applyFont="1" applyBorder="1"/>
    <xf numFmtId="0" fontId="0" fillId="0" borderId="26" xfId="0" applyBorder="1"/>
    <xf numFmtId="0" fontId="7" fillId="0" borderId="0" xfId="0" applyFont="1" applyAlignment="1">
      <alignment horizontal="right"/>
    </xf>
    <xf numFmtId="175" fontId="65" fillId="0" borderId="0" xfId="0" applyNumberFormat="1" applyFont="1"/>
    <xf numFmtId="37" fontId="66" fillId="0" borderId="0" xfId="0" applyNumberFormat="1" applyFont="1"/>
    <xf numFmtId="37" fontId="8" fillId="0" borderId="0" xfId="0" applyNumberFormat="1" applyFont="1"/>
    <xf numFmtId="37" fontId="34" fillId="0" borderId="0" xfId="0" applyNumberFormat="1" applyFont="1"/>
    <xf numFmtId="175" fontId="68" fillId="0" borderId="0" xfId="0" applyNumberFormat="1" applyFont="1"/>
    <xf numFmtId="0" fontId="7" fillId="0" borderId="7" xfId="0" applyFont="1" applyBorder="1"/>
    <xf numFmtId="37" fontId="33" fillId="0" borderId="8" xfId="0" applyNumberFormat="1" applyFont="1" applyBorder="1"/>
    <xf numFmtId="37" fontId="8" fillId="0" borderId="8" xfId="0" applyNumberFormat="1" applyFont="1" applyBorder="1"/>
    <xf numFmtId="37" fontId="8" fillId="0" borderId="9" xfId="0" applyNumberFormat="1" applyFont="1" applyBorder="1"/>
    <xf numFmtId="0" fontId="0" fillId="0" borderId="5" xfId="0" applyBorder="1" applyAlignment="1">
      <alignment horizontal="left"/>
    </xf>
    <xf numFmtId="0" fontId="7" fillId="0" borderId="10" xfId="0" applyFont="1" applyBorder="1"/>
    <xf numFmtId="37" fontId="58" fillId="0" borderId="1" xfId="0" applyNumberFormat="1" applyFont="1" applyBorder="1"/>
    <xf numFmtId="37" fontId="31" fillId="0" borderId="1" xfId="0" applyNumberFormat="1" applyFont="1" applyBorder="1"/>
    <xf numFmtId="37" fontId="34" fillId="0" borderId="1" xfId="0" applyNumberFormat="1" applyFont="1" applyBorder="1"/>
    <xf numFmtId="0" fontId="42" fillId="0" borderId="0" xfId="0" applyFont="1"/>
    <xf numFmtId="37" fontId="33" fillId="0" borderId="1" xfId="0" applyNumberFormat="1" applyFont="1" applyBorder="1"/>
    <xf numFmtId="37" fontId="8" fillId="0" borderId="1" xfId="0" applyNumberFormat="1" applyFont="1" applyBorder="1"/>
    <xf numFmtId="0" fontId="0" fillId="0" borderId="48" xfId="0" applyBorder="1"/>
    <xf numFmtId="0" fontId="0" fillId="0" borderId="49" xfId="0" applyBorder="1"/>
    <xf numFmtId="0" fontId="4" fillId="0" borderId="49" xfId="0" applyFont="1" applyBorder="1"/>
    <xf numFmtId="4" fontId="7" fillId="0" borderId="0" xfId="0" applyNumberFormat="1" applyFont="1"/>
    <xf numFmtId="4" fontId="0" fillId="0" borderId="0" xfId="4" applyNumberFormat="1" applyFont="1" applyFill="1" applyBorder="1" applyProtection="1"/>
    <xf numFmtId="4" fontId="0" fillId="0" borderId="0" xfId="0" applyNumberFormat="1"/>
    <xf numFmtId="43" fontId="61" fillId="0" borderId="0" xfId="4" applyFont="1" applyProtection="1"/>
    <xf numFmtId="179" fontId="8" fillId="0" borderId="0" xfId="4" applyNumberFormat="1" applyFont="1" applyProtection="1"/>
    <xf numFmtId="4" fontId="0" fillId="0" borderId="0" xfId="4" applyNumberFormat="1" applyFont="1" applyFill="1" applyBorder="1" applyAlignment="1" applyProtection="1">
      <alignment horizontal="left"/>
    </xf>
    <xf numFmtId="43" fontId="61" fillId="0" borderId="0" xfId="4" applyFont="1" applyFill="1" applyProtection="1"/>
    <xf numFmtId="179" fontId="8" fillId="0" borderId="0" xfId="4" applyNumberFormat="1" applyFont="1" applyFill="1" applyProtection="1"/>
    <xf numFmtId="4" fontId="7" fillId="0" borderId="0" xfId="4" applyNumberFormat="1" applyFont="1" applyFill="1" applyBorder="1" applyProtection="1"/>
    <xf numFmtId="182" fontId="0" fillId="0" borderId="1" xfId="4" applyNumberFormat="1" applyFont="1" applyBorder="1" applyProtection="1"/>
    <xf numFmtId="168" fontId="9" fillId="0" borderId="0" xfId="0" quotePrefix="1" applyNumberFormat="1" applyFont="1" applyAlignment="1">
      <alignment horizontal="right"/>
    </xf>
    <xf numFmtId="186" fontId="0" fillId="0" borderId="0" xfId="0" applyNumberFormat="1"/>
    <xf numFmtId="5" fontId="0" fillId="0" borderId="0" xfId="0" applyNumberFormat="1"/>
    <xf numFmtId="5" fontId="7" fillId="0" borderId="0" xfId="0" applyNumberFormat="1" applyFont="1"/>
    <xf numFmtId="179" fontId="48" fillId="2" borderId="9" xfId="0" applyNumberFormat="1" applyFont="1" applyFill="1" applyBorder="1" applyAlignment="1">
      <alignment vertical="center"/>
    </xf>
    <xf numFmtId="179" fontId="48" fillId="2" borderId="11" xfId="0" applyNumberFormat="1" applyFont="1" applyFill="1" applyBorder="1" applyAlignment="1">
      <alignment vertical="center"/>
    </xf>
    <xf numFmtId="166" fontId="0" fillId="2" borderId="0" xfId="0" applyNumberFormat="1" applyFill="1"/>
    <xf numFmtId="165" fontId="61" fillId="2" borderId="0" xfId="0" applyNumberFormat="1" applyFont="1" applyFill="1"/>
    <xf numFmtId="165" fontId="0" fillId="2" borderId="0" xfId="0" applyNumberFormat="1" applyFill="1"/>
    <xf numFmtId="166" fontId="7" fillId="2" borderId="13" xfId="0" applyNumberFormat="1" applyFont="1" applyFill="1" applyBorder="1" applyAlignment="1">
      <alignment vertical="center"/>
    </xf>
    <xf numFmtId="165" fontId="54" fillId="2" borderId="1" xfId="4" applyNumberFormat="1" applyFont="1" applyFill="1" applyBorder="1" applyProtection="1">
      <protection locked="0"/>
    </xf>
    <xf numFmtId="166" fontId="7" fillId="0" borderId="0" xfId="0" applyNumberFormat="1" applyFont="1" applyAlignment="1">
      <alignment vertical="center"/>
    </xf>
    <xf numFmtId="166" fontId="7" fillId="2" borderId="0" xfId="0" applyNumberFormat="1" applyFont="1" applyFill="1" applyAlignment="1">
      <alignment vertical="center"/>
    </xf>
    <xf numFmtId="0" fontId="61" fillId="0" borderId="0" xfId="0" applyFont="1" applyAlignment="1">
      <alignment horizontal="left" vertical="center"/>
    </xf>
    <xf numFmtId="0" fontId="61" fillId="0" borderId="0" xfId="0" quotePrefix="1" applyFont="1" applyAlignment="1">
      <alignment horizontal="left" vertical="center"/>
    </xf>
    <xf numFmtId="0" fontId="61" fillId="0" borderId="0" xfId="0" applyFont="1" applyAlignment="1">
      <alignment vertical="center"/>
    </xf>
    <xf numFmtId="179" fontId="48" fillId="2" borderId="0" xfId="0" applyNumberFormat="1" applyFont="1" applyFill="1" applyAlignment="1">
      <alignment vertical="center"/>
    </xf>
    <xf numFmtId="187" fontId="0" fillId="0" borderId="0" xfId="14" applyNumberFormat="1" applyFont="1"/>
    <xf numFmtId="175" fontId="69" fillId="2" borderId="27" xfId="0" applyNumberFormat="1" applyFont="1" applyFill="1" applyBorder="1"/>
    <xf numFmtId="166" fontId="7" fillId="0" borderId="0" xfId="0" applyNumberFormat="1" applyFont="1"/>
    <xf numFmtId="178" fontId="48" fillId="2" borderId="1" xfId="4" applyNumberFormat="1" applyFont="1" applyFill="1" applyBorder="1" applyProtection="1"/>
    <xf numFmtId="166" fontId="34" fillId="2" borderId="0" xfId="0" applyNumberFormat="1" applyFont="1" applyFill="1"/>
    <xf numFmtId="165" fontId="61" fillId="2" borderId="1" xfId="0" applyNumberFormat="1" applyFont="1" applyFill="1" applyBorder="1"/>
    <xf numFmtId="165" fontId="34" fillId="2" borderId="1" xfId="0" applyNumberFormat="1" applyFont="1" applyFill="1" applyBorder="1"/>
    <xf numFmtId="165" fontId="34" fillId="2" borderId="11" xfId="0" applyNumberFormat="1" applyFont="1" applyFill="1" applyBorder="1"/>
    <xf numFmtId="37" fontId="31" fillId="0" borderId="0" xfId="0" applyNumberFormat="1" applyFont="1"/>
    <xf numFmtId="165" fontId="61" fillId="2" borderId="6" xfId="0" applyNumberFormat="1" applyFont="1" applyFill="1" applyBorder="1"/>
    <xf numFmtId="165" fontId="61" fillId="2" borderId="11" xfId="0" applyNumberFormat="1" applyFont="1" applyFill="1" applyBorder="1"/>
    <xf numFmtId="165" fontId="22" fillId="0" borderId="0" xfId="4" applyNumberFormat="1" applyFont="1" applyBorder="1" applyProtection="1"/>
    <xf numFmtId="165" fontId="22" fillId="0" borderId="1" xfId="4" applyNumberFormat="1" applyFont="1" applyBorder="1" applyProtection="1"/>
    <xf numFmtId="178" fontId="48" fillId="2" borderId="0" xfId="4" applyNumberFormat="1" applyFont="1" applyFill="1" applyProtection="1"/>
    <xf numFmtId="179" fontId="0" fillId="2" borderId="0" xfId="0" applyNumberFormat="1" applyFill="1"/>
    <xf numFmtId="179" fontId="0" fillId="2" borderId="49" xfId="0" applyNumberFormat="1" applyFill="1" applyBorder="1"/>
    <xf numFmtId="178" fontId="7" fillId="2" borderId="0" xfId="0" applyNumberFormat="1" applyFont="1" applyFill="1"/>
    <xf numFmtId="165" fontId="0" fillId="0" borderId="1" xfId="0" applyNumberFormat="1" applyBorder="1"/>
    <xf numFmtId="165" fontId="0" fillId="2" borderId="1" xfId="0" applyNumberFormat="1" applyFill="1" applyBorder="1"/>
    <xf numFmtId="183" fontId="48" fillId="2" borderId="1" xfId="0" applyNumberFormat="1" applyFont="1" applyFill="1" applyBorder="1"/>
    <xf numFmtId="166" fontId="7" fillId="2" borderId="26" xfId="0" applyNumberFormat="1" applyFont="1" applyFill="1" applyBorder="1"/>
    <xf numFmtId="183" fontId="0" fillId="2" borderId="1" xfId="0" applyNumberFormat="1" applyFill="1" applyBorder="1"/>
    <xf numFmtId="165" fontId="48" fillId="2" borderId="1" xfId="0" applyNumberFormat="1" applyFont="1" applyFill="1" applyBorder="1"/>
    <xf numFmtId="183" fontId="48" fillId="2" borderId="0" xfId="0" applyNumberFormat="1" applyFont="1" applyFill="1"/>
    <xf numFmtId="165" fontId="0" fillId="2" borderId="0" xfId="4" applyNumberFormat="1" applyFont="1" applyFill="1" applyProtection="1"/>
    <xf numFmtId="166" fontId="7" fillId="2" borderId="0" xfId="0" applyNumberFormat="1" applyFont="1" applyFill="1"/>
    <xf numFmtId="0" fontId="0" fillId="2" borderId="1" xfId="0" applyFill="1" applyBorder="1"/>
    <xf numFmtId="166" fontId="7" fillId="2" borderId="13" xfId="0" applyNumberFormat="1" applyFont="1" applyFill="1" applyBorder="1"/>
    <xf numFmtId="165" fontId="22" fillId="0" borderId="1" xfId="4" applyNumberFormat="1" applyFont="1" applyFill="1" applyBorder="1" applyProtection="1"/>
    <xf numFmtId="165" fontId="22" fillId="0" borderId="1" xfId="4" applyNumberFormat="1" applyFont="1" applyFill="1" applyBorder="1" applyAlignment="1" applyProtection="1">
      <alignment horizontal="right"/>
      <protection locked="0"/>
    </xf>
    <xf numFmtId="165" fontId="22" fillId="0" borderId="0" xfId="4" applyNumberFormat="1" applyFont="1" applyFill="1" applyProtection="1">
      <protection locked="0"/>
    </xf>
    <xf numFmtId="165" fontId="22" fillId="0" borderId="1" xfId="4" applyNumberFormat="1" applyFont="1" applyFill="1" applyBorder="1" applyProtection="1">
      <protection locked="0"/>
    </xf>
    <xf numFmtId="165" fontId="22" fillId="0" borderId="0" xfId="4" applyNumberFormat="1" applyFont="1" applyProtection="1"/>
    <xf numFmtId="165" fontId="22" fillId="0" borderId="0" xfId="4" applyNumberFormat="1" applyFont="1" applyFill="1" applyBorder="1" applyProtection="1">
      <protection locked="0"/>
    </xf>
    <xf numFmtId="0" fontId="12" fillId="0" borderId="0" xfId="0" applyFont="1"/>
    <xf numFmtId="2" fontId="12" fillId="0" borderId="0" xfId="0" applyNumberFormat="1" applyFont="1"/>
    <xf numFmtId="2" fontId="17" fillId="0" borderId="0" xfId="0" quotePrefix="1" applyNumberFormat="1" applyFont="1" applyAlignment="1">
      <alignment horizontal="left"/>
    </xf>
    <xf numFmtId="2" fontId="70" fillId="0" borderId="0" xfId="0" applyNumberFormat="1" applyFont="1"/>
    <xf numFmtId="2" fontId="17" fillId="0" borderId="0" xfId="4" applyNumberFormat="1" applyFont="1" applyBorder="1" applyProtection="1"/>
    <xf numFmtId="2" fontId="12" fillId="0" borderId="0" xfId="4" applyNumberFormat="1" applyFont="1" applyBorder="1" applyProtection="1"/>
    <xf numFmtId="172" fontId="0" fillId="2" borderId="1" xfId="4" applyNumberFormat="1" applyFont="1" applyFill="1" applyBorder="1" applyProtection="1"/>
    <xf numFmtId="0" fontId="7" fillId="0" borderId="8" xfId="0" applyFont="1" applyBorder="1"/>
    <xf numFmtId="0" fontId="14" fillId="0" borderId="8" xfId="0" applyFont="1" applyBorder="1"/>
    <xf numFmtId="166" fontId="7" fillId="0" borderId="8" xfId="0" applyNumberFormat="1" applyFont="1" applyBorder="1"/>
    <xf numFmtId="166" fontId="7" fillId="0" borderId="9" xfId="0" applyNumberFormat="1" applyFont="1" applyBorder="1"/>
    <xf numFmtId="0" fontId="7" fillId="0" borderId="0" xfId="0" applyFont="1" applyBorder="1"/>
    <xf numFmtId="0" fontId="14" fillId="0" borderId="0" xfId="0" applyFont="1" applyBorder="1"/>
    <xf numFmtId="0" fontId="0" fillId="0" borderId="0" xfId="0" applyBorder="1"/>
    <xf numFmtId="175" fontId="12" fillId="0" borderId="0" xfId="11" applyNumberFormat="1" applyFont="1" applyBorder="1"/>
    <xf numFmtId="175" fontId="12" fillId="0" borderId="6" xfId="11" applyNumberFormat="1" applyFont="1" applyBorder="1"/>
    <xf numFmtId="175" fontId="12" fillId="0" borderId="1" xfId="11" applyNumberFormat="1" applyFont="1" applyBorder="1" applyProtection="1"/>
    <xf numFmtId="175" fontId="12" fillId="0" borderId="11" xfId="11" applyNumberFormat="1" applyFont="1" applyBorder="1" applyProtection="1"/>
    <xf numFmtId="6" fontId="7" fillId="0" borderId="7" xfId="0" quotePrefix="1" applyNumberFormat="1" applyFont="1" applyBorder="1" applyAlignment="1">
      <alignment horizontal="left"/>
    </xf>
    <xf numFmtId="6" fontId="7" fillId="0" borderId="5" xfId="0" quotePrefix="1" applyNumberFormat="1" applyFont="1" applyBorder="1" applyAlignment="1">
      <alignment horizontal="left"/>
    </xf>
    <xf numFmtId="0" fontId="12" fillId="0" borderId="0" xfId="0" applyFont="1" applyBorder="1"/>
    <xf numFmtId="0" fontId="0" fillId="0" borderId="10" xfId="0" applyBorder="1"/>
    <xf numFmtId="0" fontId="12" fillId="0" borderId="1" xfId="0" applyFont="1" applyBorder="1"/>
    <xf numFmtId="165" fontId="54" fillId="2" borderId="0" xfId="4" applyNumberFormat="1" applyFont="1" applyFill="1" applyProtection="1">
      <protection locked="0"/>
    </xf>
    <xf numFmtId="165" fontId="22" fillId="2" borderId="0" xfId="4" applyNumberFormat="1" applyFont="1" applyFill="1" applyProtection="1">
      <protection locked="0"/>
    </xf>
    <xf numFmtId="0" fontId="0" fillId="0" borderId="0" xfId="0" applyAlignment="1">
      <alignment horizontal="left" vertical="center" indent="1"/>
    </xf>
    <xf numFmtId="0" fontId="0" fillId="0" borderId="0" xfId="0" applyAlignment="1">
      <alignment wrapText="1"/>
    </xf>
    <xf numFmtId="0" fontId="0" fillId="0" borderId="11" xfId="0" applyBorder="1"/>
    <xf numFmtId="0" fontId="0" fillId="0" borderId="6" xfId="0" applyBorder="1"/>
    <xf numFmtId="0" fontId="0" fillId="0" borderId="9" xfId="0" applyBorder="1"/>
    <xf numFmtId="188" fontId="71" fillId="0" borderId="0" xfId="14" applyNumberFormat="1" applyFont="1"/>
    <xf numFmtId="9" fontId="0" fillId="0" borderId="0" xfId="0" applyNumberFormat="1"/>
    <xf numFmtId="0" fontId="0" fillId="0" borderId="0" xfId="0" quotePrefix="1" applyAlignment="1">
      <alignment wrapText="1"/>
    </xf>
    <xf numFmtId="189" fontId="0" fillId="0" borderId="0" xfId="0" applyNumberFormat="1"/>
    <xf numFmtId="190" fontId="0" fillId="0" borderId="0" xfId="0" applyNumberFormat="1"/>
    <xf numFmtId="0" fontId="71" fillId="0" borderId="0" xfId="0" applyFont="1"/>
    <xf numFmtId="0" fontId="72" fillId="0" borderId="0" xfId="0" applyFont="1"/>
    <xf numFmtId="0" fontId="0" fillId="7" borderId="0" xfId="0" applyFill="1"/>
  </cellXfs>
  <cellStyles count="15">
    <cellStyle name="Across" xfId="1" xr:uid="{00000000-0005-0000-0000-000000000000}"/>
    <cellStyle name="Bottom" xfId="2" xr:uid="{00000000-0005-0000-0000-000001000000}"/>
    <cellStyle name="Center" xfId="3" xr:uid="{00000000-0005-0000-0000-000002000000}"/>
    <cellStyle name="Comma" xfId="4" builtinId="3"/>
    <cellStyle name="Currency" xfId="14" builtinId="4"/>
    <cellStyle name="Currency [2]" xfId="5" xr:uid="{00000000-0005-0000-0000-000004000000}"/>
    <cellStyle name="Double" xfId="6" xr:uid="{00000000-0005-0000-0000-000005000000}"/>
    <cellStyle name="Normal" xfId="0" builtinId="0"/>
    <cellStyle name="Normal 2" xfId="10" xr:uid="{00000000-0005-0000-0000-000007000000}"/>
    <cellStyle name="Normal_DrydenNewDCF3" xfId="13" xr:uid="{5748ABA1-E52C-47F5-83F0-CA036E601A13}"/>
    <cellStyle name="Normal_TrainingDCF1" xfId="12" xr:uid="{9EAFAF99-F2EB-4C6C-8CE9-367D16E9B7DF}"/>
    <cellStyle name="Numbers" xfId="7" xr:uid="{00000000-0005-0000-0000-00000B000000}"/>
    <cellStyle name="Numbers - Bold - Italic" xfId="8" xr:uid="{00000000-0005-0000-0000-00000C000000}"/>
    <cellStyle name="Outline" xfId="9" xr:uid="{00000000-0005-0000-0000-00000D000000}"/>
    <cellStyle name="Percent" xfId="11" builtinId="5"/>
  </cellStyles>
  <dxfs count="0"/>
  <tableStyles count="0" defaultTableStyle="TableStyleMedium9" defaultPivotStyle="PivotStyleLight16"/>
  <colors>
    <mruColors>
      <color rgb="FFFFFF99"/>
      <color rgb="FF002F6C"/>
      <color rgb="FF5B77CC"/>
      <color rgb="FF009966"/>
      <color rgb="FF008ED6"/>
      <color rgb="FF6B72A9"/>
      <color rgb="FF6B729F"/>
      <color rgb="FF4586BB"/>
      <color rgb="FF827F81"/>
      <color rgb="FF009B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22" fmlaLink="$D$6" fmlaRange="$C$14:$C$16" noThreeD="1" sel="1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0</xdr:rowOff>
    </xdr:from>
    <xdr:to>
      <xdr:col>6</xdr:col>
      <xdr:colOff>257175</xdr:colOff>
      <xdr:row>5</xdr:row>
      <xdr:rowOff>82701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F4F81D-89C4-492B-BF2C-AC21747100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51" t="17304" r="4337" b="15213"/>
        <a:stretch/>
      </xdr:blipFill>
      <xdr:spPr>
        <a:xfrm>
          <a:off x="571500" y="0"/>
          <a:ext cx="3343275" cy="1225701"/>
        </a:xfrm>
        <a:prstGeom prst="rect">
          <a:avLst/>
        </a:prstGeom>
      </xdr:spPr>
    </xdr:pic>
    <xdr:clientData/>
  </xdr:twoCellAnchor>
  <xdr:twoCellAnchor editAs="oneCell">
    <xdr:from>
      <xdr:col>6</xdr:col>
      <xdr:colOff>46265</xdr:colOff>
      <xdr:row>20</xdr:row>
      <xdr:rowOff>36288</xdr:rowOff>
    </xdr:from>
    <xdr:to>
      <xdr:col>10</xdr:col>
      <xdr:colOff>390524</xdr:colOff>
      <xdr:row>25</xdr:row>
      <xdr:rowOff>8742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6CFEDC-4FCB-41DF-8C3F-AE6E333F52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4" t="22409" r="3011" b="23644"/>
        <a:stretch/>
      </xdr:blipFill>
      <xdr:spPr>
        <a:xfrm>
          <a:off x="3703865" y="4360638"/>
          <a:ext cx="2782659" cy="9725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76200</xdr:rowOff>
        </xdr:from>
        <xdr:to>
          <xdr:col>4</xdr:col>
          <xdr:colOff>95250</xdr:colOff>
          <xdr:row>6</xdr:row>
          <xdr:rowOff>28575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4B09-BE2D-46E2-ACAF-C68B9C021B9D}">
  <dimension ref="A1:K547"/>
  <sheetViews>
    <sheetView tabSelected="1" workbookViewId="0">
      <selection activeCell="C1" sqref="C1"/>
    </sheetView>
  </sheetViews>
  <sheetFormatPr defaultRowHeight="12.75"/>
  <cols>
    <col min="1" max="2" width="3.5703125" customWidth="1"/>
    <col min="4" max="4" width="56.7109375" customWidth="1"/>
    <col min="5" max="5" width="69.7109375" bestFit="1" customWidth="1"/>
    <col min="6" max="6" width="113.5703125" bestFit="1" customWidth="1"/>
    <col min="7" max="7" width="70.85546875" bestFit="1" customWidth="1"/>
    <col min="8" max="8" width="57.28515625" bestFit="1" customWidth="1"/>
    <col min="9" max="9" width="13.42578125" bestFit="1" customWidth="1"/>
    <col min="10" max="10" width="10.28515625" bestFit="1" customWidth="1"/>
  </cols>
  <sheetData>
    <row r="1" spans="3:5">
      <c r="C1" t="s">
        <v>778</v>
      </c>
    </row>
    <row r="3" spans="3:5">
      <c r="C3">
        <v>1.5</v>
      </c>
      <c r="D3" t="s">
        <v>777</v>
      </c>
    </row>
    <row r="5" spans="3:5">
      <c r="D5" t="s">
        <v>776</v>
      </c>
    </row>
    <row r="6" spans="3:5">
      <c r="E6" t="s">
        <v>775</v>
      </c>
    </row>
    <row r="7" spans="3:5">
      <c r="E7" t="s">
        <v>774</v>
      </c>
    </row>
    <row r="8" spans="3:5">
      <c r="E8" t="s">
        <v>773</v>
      </c>
    </row>
    <row r="9" spans="3:5">
      <c r="E9" t="s">
        <v>772</v>
      </c>
    </row>
    <row r="10" spans="3:5">
      <c r="D10" t="s">
        <v>771</v>
      </c>
    </row>
    <row r="11" spans="3:5">
      <c r="E11" t="s">
        <v>770</v>
      </c>
    </row>
    <row r="12" spans="3:5">
      <c r="E12" t="s">
        <v>769</v>
      </c>
    </row>
    <row r="13" spans="3:5">
      <c r="E13" t="s">
        <v>768</v>
      </c>
    </row>
    <row r="15" spans="3:5">
      <c r="D15" t="s">
        <v>767</v>
      </c>
    </row>
    <row r="16" spans="3:5">
      <c r="E16" t="s">
        <v>766</v>
      </c>
    </row>
    <row r="17" spans="3:5">
      <c r="E17" t="s">
        <v>765</v>
      </c>
    </row>
    <row r="18" spans="3:5">
      <c r="C18">
        <v>1.6</v>
      </c>
      <c r="D18" t="s">
        <v>764</v>
      </c>
    </row>
    <row r="19" spans="3:5">
      <c r="D19" t="s">
        <v>763</v>
      </c>
    </row>
    <row r="20" spans="3:5">
      <c r="D20" t="s">
        <v>762</v>
      </c>
    </row>
    <row r="21" spans="3:5">
      <c r="D21" t="s">
        <v>761</v>
      </c>
    </row>
    <row r="22" spans="3:5">
      <c r="D22" t="s">
        <v>760</v>
      </c>
    </row>
    <row r="23" spans="3:5">
      <c r="E23" t="s">
        <v>759</v>
      </c>
    </row>
    <row r="24" spans="3:5">
      <c r="E24" t="s">
        <v>758</v>
      </c>
    </row>
    <row r="25" spans="3:5">
      <c r="E25" t="s">
        <v>757</v>
      </c>
    </row>
    <row r="26" spans="3:5">
      <c r="D26" t="s">
        <v>756</v>
      </c>
    </row>
    <row r="27" spans="3:5">
      <c r="E27" t="s">
        <v>755</v>
      </c>
    </row>
    <row r="28" spans="3:5">
      <c r="E28" t="s">
        <v>754</v>
      </c>
    </row>
    <row r="29" spans="3:5">
      <c r="E29" t="s">
        <v>753</v>
      </c>
    </row>
    <row r="30" spans="3:5">
      <c r="D30" t="s">
        <v>752</v>
      </c>
    </row>
    <row r="31" spans="3:5">
      <c r="E31" t="s">
        <v>751</v>
      </c>
    </row>
    <row r="32" spans="3:5">
      <c r="E32" t="s">
        <v>750</v>
      </c>
    </row>
    <row r="33" spans="3:6">
      <c r="D33" t="s">
        <v>749</v>
      </c>
    </row>
    <row r="34" spans="3:6">
      <c r="E34" t="s">
        <v>748</v>
      </c>
    </row>
    <row r="35" spans="3:6">
      <c r="E35" t="s">
        <v>747</v>
      </c>
    </row>
    <row r="36" spans="3:6">
      <c r="E36" t="s">
        <v>746</v>
      </c>
    </row>
    <row r="37" spans="3:6">
      <c r="D37" t="s">
        <v>745</v>
      </c>
    </row>
    <row r="38" spans="3:6">
      <c r="C38">
        <v>1.7</v>
      </c>
      <c r="D38" t="s">
        <v>744</v>
      </c>
    </row>
    <row r="39" spans="3:6">
      <c r="E39" t="s">
        <v>743</v>
      </c>
    </row>
    <row r="40" spans="3:6">
      <c r="E40" t="s">
        <v>742</v>
      </c>
    </row>
    <row r="41" spans="3:6">
      <c r="E41" t="s">
        <v>741</v>
      </c>
    </row>
    <row r="42" spans="3:6">
      <c r="E42" t="s">
        <v>740</v>
      </c>
    </row>
    <row r="43" spans="3:6">
      <c r="D43" t="s">
        <v>739</v>
      </c>
      <c r="E43">
        <v>1</v>
      </c>
      <c r="F43" t="s">
        <v>729</v>
      </c>
    </row>
    <row r="44" spans="3:6">
      <c r="D44" t="s">
        <v>739</v>
      </c>
      <c r="E44">
        <v>2</v>
      </c>
      <c r="F44" t="s">
        <v>722</v>
      </c>
    </row>
    <row r="45" spans="3:6">
      <c r="D45" t="s">
        <v>739</v>
      </c>
      <c r="E45">
        <v>3</v>
      </c>
      <c r="F45" t="s">
        <v>325</v>
      </c>
    </row>
    <row r="46" spans="3:6">
      <c r="D46" t="s">
        <v>739</v>
      </c>
      <c r="E46">
        <v>4</v>
      </c>
      <c r="F46" t="s">
        <v>738</v>
      </c>
    </row>
    <row r="47" spans="3:6">
      <c r="D47" t="s">
        <v>731</v>
      </c>
      <c r="E47">
        <v>5</v>
      </c>
      <c r="F47" t="s">
        <v>737</v>
      </c>
    </row>
    <row r="48" spans="3:6">
      <c r="D48" t="s">
        <v>731</v>
      </c>
      <c r="E48">
        <v>6</v>
      </c>
      <c r="F48" t="s">
        <v>287</v>
      </c>
    </row>
    <row r="49" spans="3:6">
      <c r="D49" t="s">
        <v>731</v>
      </c>
      <c r="E49">
        <v>7</v>
      </c>
      <c r="F49" t="s">
        <v>736</v>
      </c>
    </row>
    <row r="50" spans="3:6">
      <c r="D50" t="s">
        <v>735</v>
      </c>
      <c r="E50">
        <v>8</v>
      </c>
      <c r="F50" t="s">
        <v>734</v>
      </c>
    </row>
    <row r="51" spans="3:6">
      <c r="C51">
        <v>2.1</v>
      </c>
      <c r="D51" t="s">
        <v>729</v>
      </c>
    </row>
    <row r="52" spans="3:6">
      <c r="E52" t="s">
        <v>733</v>
      </c>
    </row>
    <row r="53" spans="3:6">
      <c r="E53">
        <v>1</v>
      </c>
      <c r="F53" t="s">
        <v>732</v>
      </c>
    </row>
    <row r="54" spans="3:6">
      <c r="E54">
        <v>2</v>
      </c>
      <c r="F54" t="s">
        <v>731</v>
      </c>
    </row>
    <row r="55" spans="3:6">
      <c r="E55">
        <v>3</v>
      </c>
      <c r="F55" t="s">
        <v>730</v>
      </c>
    </row>
    <row r="56" spans="3:6">
      <c r="E56" t="s">
        <v>729</v>
      </c>
    </row>
    <row r="57" spans="3:6">
      <c r="F57" t="s">
        <v>728</v>
      </c>
    </row>
    <row r="58" spans="3:6">
      <c r="F58" t="s">
        <v>727</v>
      </c>
    </row>
    <row r="59" spans="3:6">
      <c r="F59" t="s">
        <v>726</v>
      </c>
    </row>
    <row r="60" spans="3:6">
      <c r="E60" t="s">
        <v>544</v>
      </c>
      <c r="F60" s="553" t="s">
        <v>725</v>
      </c>
    </row>
    <row r="61" spans="3:6">
      <c r="E61" t="s">
        <v>544</v>
      </c>
      <c r="F61" s="552" t="s">
        <v>690</v>
      </c>
    </row>
    <row r="62" spans="3:6">
      <c r="E62" t="s">
        <v>544</v>
      </c>
      <c r="F62" t="s">
        <v>724</v>
      </c>
    </row>
    <row r="63" spans="3:6">
      <c r="F63" t="s">
        <v>723</v>
      </c>
    </row>
    <row r="64" spans="3:6">
      <c r="C64">
        <v>2.2000000000000002</v>
      </c>
      <c r="D64" t="s">
        <v>722</v>
      </c>
    </row>
    <row r="65" spans="3:6">
      <c r="E65" t="s">
        <v>721</v>
      </c>
    </row>
    <row r="66" spans="3:6">
      <c r="F66" t="s">
        <v>720</v>
      </c>
    </row>
    <row r="67" spans="3:6">
      <c r="F67" t="s">
        <v>719</v>
      </c>
    </row>
    <row r="68" spans="3:6">
      <c r="F68" t="s">
        <v>718</v>
      </c>
    </row>
    <row r="69" spans="3:6">
      <c r="F69" t="s">
        <v>717</v>
      </c>
    </row>
    <row r="70" spans="3:6">
      <c r="F70" t="s">
        <v>716</v>
      </c>
    </row>
    <row r="71" spans="3:6">
      <c r="F71" t="s">
        <v>715</v>
      </c>
    </row>
    <row r="72" spans="3:6">
      <c r="F72" t="s">
        <v>714</v>
      </c>
    </row>
    <row r="73" spans="3:6">
      <c r="F73" t="s">
        <v>713</v>
      </c>
    </row>
    <row r="74" spans="3:6">
      <c r="F74" t="s">
        <v>712</v>
      </c>
    </row>
    <row r="75" spans="3:6">
      <c r="F75" t="s">
        <v>711</v>
      </c>
    </row>
    <row r="76" spans="3:6">
      <c r="C76">
        <v>2.2999999999999998</v>
      </c>
      <c r="D76" t="s">
        <v>710</v>
      </c>
    </row>
    <row r="77" spans="3:6">
      <c r="F77" t="s">
        <v>709</v>
      </c>
    </row>
    <row r="78" spans="3:6">
      <c r="F78" t="s">
        <v>708</v>
      </c>
    </row>
    <row r="79" spans="3:6">
      <c r="C79">
        <v>2.4</v>
      </c>
      <c r="D79" t="s">
        <v>707</v>
      </c>
    </row>
    <row r="80" spans="3:6">
      <c r="E80" t="s">
        <v>706</v>
      </c>
    </row>
    <row r="81" spans="3:7">
      <c r="F81" t="s">
        <v>705</v>
      </c>
    </row>
    <row r="82" spans="3:7">
      <c r="F82" t="s">
        <v>704</v>
      </c>
      <c r="G82" t="s">
        <v>703</v>
      </c>
    </row>
    <row r="83" spans="3:7">
      <c r="F83" t="s">
        <v>702</v>
      </c>
    </row>
    <row r="84" spans="3:7">
      <c r="E84" t="s">
        <v>701</v>
      </c>
    </row>
    <row r="85" spans="3:7">
      <c r="F85" t="s">
        <v>700</v>
      </c>
    </row>
    <row r="86" spans="3:7">
      <c r="C86">
        <v>2.5</v>
      </c>
      <c r="D86" t="s">
        <v>699</v>
      </c>
    </row>
    <row r="87" spans="3:7">
      <c r="E87" t="s">
        <v>698</v>
      </c>
    </row>
    <row r="88" spans="3:7">
      <c r="F88" t="s">
        <v>697</v>
      </c>
    </row>
    <row r="89" spans="3:7">
      <c r="F89" t="s">
        <v>696</v>
      </c>
    </row>
    <row r="90" spans="3:7">
      <c r="F90" t="s">
        <v>695</v>
      </c>
    </row>
    <row r="91" spans="3:7">
      <c r="F91" t="s">
        <v>694</v>
      </c>
    </row>
    <row r="92" spans="3:7">
      <c r="F92" t="s">
        <v>693</v>
      </c>
    </row>
    <row r="93" spans="3:7">
      <c r="F93" t="s">
        <v>692</v>
      </c>
    </row>
    <row r="94" spans="3:7">
      <c r="F94" t="s">
        <v>691</v>
      </c>
    </row>
    <row r="95" spans="3:7">
      <c r="F95" t="s">
        <v>690</v>
      </c>
    </row>
    <row r="96" spans="3:7">
      <c r="F96" t="s">
        <v>689</v>
      </c>
    </row>
    <row r="97" spans="3:9">
      <c r="E97" t="s">
        <v>688</v>
      </c>
    </row>
    <row r="98" spans="3:9">
      <c r="F98" t="s">
        <v>687</v>
      </c>
    </row>
    <row r="99" spans="3:9">
      <c r="F99" t="s">
        <v>686</v>
      </c>
    </row>
    <row r="100" spans="3:9">
      <c r="F100" t="s">
        <v>685</v>
      </c>
    </row>
    <row r="101" spans="3:9">
      <c r="C101">
        <v>2.6</v>
      </c>
      <c r="D101" t="s">
        <v>684</v>
      </c>
    </row>
    <row r="102" spans="3:9">
      <c r="E102" t="s">
        <v>683</v>
      </c>
    </row>
    <row r="103" spans="3:9">
      <c r="F103" t="s">
        <v>682</v>
      </c>
    </row>
    <row r="104" spans="3:9">
      <c r="F104" t="s">
        <v>681</v>
      </c>
    </row>
    <row r="105" spans="3:9">
      <c r="F105" t="s">
        <v>680</v>
      </c>
      <c r="G105" s="551" t="s">
        <v>679</v>
      </c>
    </row>
    <row r="106" spans="3:9">
      <c r="F106" t="s">
        <v>678</v>
      </c>
    </row>
    <row r="107" spans="3:9">
      <c r="F107" t="s">
        <v>677</v>
      </c>
      <c r="G107">
        <v>25</v>
      </c>
    </row>
    <row r="108" spans="3:9">
      <c r="F108" t="s">
        <v>676</v>
      </c>
      <c r="G108">
        <v>4.5</v>
      </c>
    </row>
    <row r="109" spans="3:9">
      <c r="F109" t="s">
        <v>675</v>
      </c>
      <c r="G109">
        <v>400</v>
      </c>
    </row>
    <row r="110" spans="3:9">
      <c r="F110" t="s">
        <v>674</v>
      </c>
      <c r="G110" t="s">
        <v>673</v>
      </c>
      <c r="H110" t="s">
        <v>672</v>
      </c>
    </row>
    <row r="111" spans="3:9">
      <c r="F111" t="s">
        <v>671</v>
      </c>
      <c r="G111" s="550">
        <v>4.5</v>
      </c>
      <c r="H111" t="s">
        <v>670</v>
      </c>
      <c r="I111">
        <f>100*G111</f>
        <v>450</v>
      </c>
    </row>
    <row r="112" spans="3:9">
      <c r="F112" t="s">
        <v>669</v>
      </c>
    </row>
    <row r="113" spans="3:7">
      <c r="F113" t="s">
        <v>668</v>
      </c>
    </row>
    <row r="114" spans="3:7">
      <c r="F114" s="549" t="s">
        <v>580</v>
      </c>
    </row>
    <row r="115" spans="3:7">
      <c r="C115">
        <v>2.7</v>
      </c>
      <c r="D115" t="s">
        <v>667</v>
      </c>
    </row>
    <row r="116" spans="3:7">
      <c r="E116" t="s">
        <v>666</v>
      </c>
    </row>
    <row r="117" spans="3:7">
      <c r="F117" t="s">
        <v>665</v>
      </c>
    </row>
    <row r="118" spans="3:7">
      <c r="F118" t="s">
        <v>664</v>
      </c>
    </row>
    <row r="119" spans="3:7">
      <c r="E119" t="s">
        <v>663</v>
      </c>
      <c r="F119" t="s">
        <v>662</v>
      </c>
    </row>
    <row r="120" spans="3:7">
      <c r="F120" t="s">
        <v>661</v>
      </c>
    </row>
    <row r="121" spans="3:7">
      <c r="F121" t="s">
        <v>660</v>
      </c>
    </row>
    <row r="122" spans="3:7">
      <c r="F122" t="s">
        <v>659</v>
      </c>
    </row>
    <row r="123" spans="3:7">
      <c r="F123" t="s">
        <v>658</v>
      </c>
    </row>
    <row r="124" spans="3:7">
      <c r="E124" t="s">
        <v>657</v>
      </c>
      <c r="F124" t="s">
        <v>656</v>
      </c>
    </row>
    <row r="125" spans="3:7">
      <c r="E125">
        <v>1</v>
      </c>
      <c r="F125" t="s">
        <v>655</v>
      </c>
      <c r="G125" t="s">
        <v>654</v>
      </c>
    </row>
    <row r="126" spans="3:7">
      <c r="E126">
        <v>2</v>
      </c>
      <c r="F126" t="s">
        <v>653</v>
      </c>
    </row>
    <row r="127" spans="3:7">
      <c r="E127">
        <v>3</v>
      </c>
      <c r="F127" t="s">
        <v>652</v>
      </c>
    </row>
    <row r="128" spans="3:7">
      <c r="C128">
        <v>2.8</v>
      </c>
      <c r="D128" t="s">
        <v>651</v>
      </c>
    </row>
    <row r="129" spans="3:7">
      <c r="F129" t="s">
        <v>650</v>
      </c>
    </row>
    <row r="130" spans="3:7">
      <c r="F130" t="s">
        <v>649</v>
      </c>
    </row>
    <row r="131" spans="3:7">
      <c r="F131" t="s">
        <v>648</v>
      </c>
    </row>
    <row r="132" spans="3:7">
      <c r="F132" t="s">
        <v>647</v>
      </c>
    </row>
    <row r="133" spans="3:7">
      <c r="D133" t="s">
        <v>646</v>
      </c>
      <c r="E133">
        <v>1</v>
      </c>
      <c r="F133" s="92" t="s">
        <v>645</v>
      </c>
      <c r="G133" s="92" t="s">
        <v>644</v>
      </c>
    </row>
    <row r="134" spans="3:7" ht="38.25">
      <c r="E134">
        <v>2</v>
      </c>
      <c r="F134" s="542" t="s">
        <v>643</v>
      </c>
      <c r="G134" s="92" t="s">
        <v>642</v>
      </c>
    </row>
    <row r="135" spans="3:7">
      <c r="E135">
        <v>3</v>
      </c>
      <c r="F135" s="542" t="s">
        <v>641</v>
      </c>
      <c r="G135" s="92" t="s">
        <v>640</v>
      </c>
    </row>
    <row r="136" spans="3:7" ht="25.5">
      <c r="E136">
        <v>4</v>
      </c>
      <c r="F136" t="s">
        <v>85</v>
      </c>
      <c r="G136" s="548" t="s">
        <v>639</v>
      </c>
    </row>
    <row r="138" spans="3:7">
      <c r="F138" t="s">
        <v>638</v>
      </c>
    </row>
    <row r="139" spans="3:7">
      <c r="C139">
        <v>3.1</v>
      </c>
      <c r="D139" t="s">
        <v>635</v>
      </c>
    </row>
    <row r="140" spans="3:7">
      <c r="E140">
        <v>1</v>
      </c>
      <c r="F140" t="s">
        <v>637</v>
      </c>
    </row>
    <row r="141" spans="3:7">
      <c r="F141" t="s">
        <v>636</v>
      </c>
    </row>
    <row r="142" spans="3:7">
      <c r="E142">
        <v>2</v>
      </c>
      <c r="F142" t="s">
        <v>635</v>
      </c>
    </row>
    <row r="143" spans="3:7">
      <c r="F143" t="s">
        <v>634</v>
      </c>
    </row>
    <row r="144" spans="3:7">
      <c r="F144" t="s">
        <v>633</v>
      </c>
    </row>
    <row r="145" spans="3:7">
      <c r="E145">
        <v>3</v>
      </c>
      <c r="F145" t="s">
        <v>632</v>
      </c>
    </row>
    <row r="146" spans="3:7">
      <c r="F146" t="s">
        <v>631</v>
      </c>
    </row>
    <row r="147" spans="3:7">
      <c r="D147" t="s">
        <v>630</v>
      </c>
      <c r="E147">
        <v>1</v>
      </c>
      <c r="F147" t="s">
        <v>629</v>
      </c>
    </row>
    <row r="148" spans="3:7">
      <c r="E148">
        <v>2</v>
      </c>
      <c r="F148" t="s">
        <v>628</v>
      </c>
    </row>
    <row r="149" spans="3:7">
      <c r="E149">
        <v>3</v>
      </c>
      <c r="F149" t="s">
        <v>627</v>
      </c>
    </row>
    <row r="150" spans="3:7">
      <c r="D150" t="s">
        <v>513</v>
      </c>
    </row>
    <row r="151" spans="3:7">
      <c r="E151" s="20">
        <v>1</v>
      </c>
      <c r="F151" s="20" t="s">
        <v>626</v>
      </c>
      <c r="G151" t="s">
        <v>625</v>
      </c>
    </row>
    <row r="152" spans="3:7">
      <c r="E152" s="20">
        <v>2</v>
      </c>
      <c r="F152" s="20" t="s">
        <v>624</v>
      </c>
      <c r="G152" t="s">
        <v>623</v>
      </c>
    </row>
    <row r="153" spans="3:7">
      <c r="C153">
        <v>3.2</v>
      </c>
      <c r="D153" t="s">
        <v>622</v>
      </c>
    </row>
    <row r="154" spans="3:7">
      <c r="F154" t="s">
        <v>621</v>
      </c>
    </row>
    <row r="155" spans="3:7">
      <c r="C155">
        <v>3.3</v>
      </c>
      <c r="D155" t="s">
        <v>140</v>
      </c>
    </row>
    <row r="156" spans="3:7">
      <c r="E156" t="s">
        <v>620</v>
      </c>
    </row>
    <row r="157" spans="3:7">
      <c r="F157" t="s">
        <v>619</v>
      </c>
    </row>
    <row r="158" spans="3:7">
      <c r="F158" t="s">
        <v>618</v>
      </c>
    </row>
    <row r="159" spans="3:7">
      <c r="F159" t="s">
        <v>617</v>
      </c>
    </row>
    <row r="160" spans="3:7">
      <c r="F160" t="s">
        <v>616</v>
      </c>
    </row>
    <row r="161" spans="3:6">
      <c r="F161" t="s">
        <v>615</v>
      </c>
    </row>
    <row r="162" spans="3:6">
      <c r="F162" t="s">
        <v>614</v>
      </c>
    </row>
    <row r="163" spans="3:6">
      <c r="F163" t="s">
        <v>613</v>
      </c>
    </row>
    <row r="164" spans="3:6">
      <c r="F164" t="s">
        <v>612</v>
      </c>
    </row>
    <row r="165" spans="3:6">
      <c r="F165" t="s">
        <v>611</v>
      </c>
    </row>
    <row r="166" spans="3:6">
      <c r="F166" t="s">
        <v>610</v>
      </c>
    </row>
    <row r="167" spans="3:6">
      <c r="F167" t="s">
        <v>609</v>
      </c>
    </row>
    <row r="168" spans="3:6">
      <c r="F168" t="s">
        <v>608</v>
      </c>
    </row>
    <row r="169" spans="3:6">
      <c r="F169" t="s">
        <v>607</v>
      </c>
    </row>
    <row r="170" spans="3:6">
      <c r="F170" t="s">
        <v>606</v>
      </c>
    </row>
    <row r="171" spans="3:6">
      <c r="C171">
        <v>3.4</v>
      </c>
      <c r="D171" t="s">
        <v>605</v>
      </c>
    </row>
    <row r="172" spans="3:6">
      <c r="E172" t="s">
        <v>604</v>
      </c>
    </row>
    <row r="173" spans="3:6">
      <c r="F173" t="s">
        <v>603</v>
      </c>
    </row>
    <row r="174" spans="3:6">
      <c r="F174" t="s">
        <v>602</v>
      </c>
    </row>
    <row r="175" spans="3:6">
      <c r="F175" t="s">
        <v>601</v>
      </c>
    </row>
    <row r="176" spans="3:6">
      <c r="E176" t="s">
        <v>600</v>
      </c>
    </row>
    <row r="177" spans="3:6">
      <c r="F177" t="s">
        <v>599</v>
      </c>
    </row>
    <row r="178" spans="3:6">
      <c r="F178" t="s">
        <v>598</v>
      </c>
    </row>
    <row r="179" spans="3:6">
      <c r="F179" t="s">
        <v>597</v>
      </c>
    </row>
    <row r="180" spans="3:6">
      <c r="E180" t="s">
        <v>596</v>
      </c>
    </row>
    <row r="181" spans="3:6">
      <c r="F181" t="s">
        <v>595</v>
      </c>
    </row>
    <row r="182" spans="3:6">
      <c r="F182" t="s">
        <v>594</v>
      </c>
    </row>
    <row r="183" spans="3:6">
      <c r="F183" t="s">
        <v>593</v>
      </c>
    </row>
    <row r="184" spans="3:6">
      <c r="F184" t="s">
        <v>592</v>
      </c>
    </row>
    <row r="185" spans="3:6">
      <c r="F185" t="s">
        <v>591</v>
      </c>
    </row>
    <row r="186" spans="3:6">
      <c r="F186" t="s">
        <v>590</v>
      </c>
    </row>
    <row r="187" spans="3:6">
      <c r="C187">
        <v>4</v>
      </c>
      <c r="D187" t="s">
        <v>67</v>
      </c>
    </row>
    <row r="188" spans="3:6">
      <c r="C188">
        <v>4.0999999999999996</v>
      </c>
      <c r="D188" t="s">
        <v>589</v>
      </c>
    </row>
    <row r="189" spans="3:6">
      <c r="E189" t="s">
        <v>588</v>
      </c>
    </row>
    <row r="190" spans="3:6">
      <c r="F190" t="s">
        <v>587</v>
      </c>
    </row>
    <row r="191" spans="3:6">
      <c r="F191" t="s">
        <v>586</v>
      </c>
    </row>
    <row r="192" spans="3:6">
      <c r="F192" t="s">
        <v>585</v>
      </c>
    </row>
    <row r="193" spans="5:9">
      <c r="F193" t="s">
        <v>584</v>
      </c>
    </row>
    <row r="194" spans="5:9">
      <c r="F194" t="s">
        <v>583</v>
      </c>
    </row>
    <row r="195" spans="5:9">
      <c r="E195" s="516" t="s">
        <v>582</v>
      </c>
      <c r="H195" t="s">
        <v>476</v>
      </c>
      <c r="I195">
        <v>2023</v>
      </c>
    </row>
    <row r="196" spans="5:9">
      <c r="F196" t="s">
        <v>581</v>
      </c>
      <c r="G196" t="s">
        <v>580</v>
      </c>
      <c r="I196" s="547">
        <v>0.05</v>
      </c>
    </row>
    <row r="197" spans="5:9">
      <c r="F197" t="s">
        <v>579</v>
      </c>
      <c r="G197" t="s">
        <v>578</v>
      </c>
      <c r="H197">
        <v>100</v>
      </c>
      <c r="I197">
        <f>H197*(1+I196)</f>
        <v>105</v>
      </c>
    </row>
    <row r="198" spans="5:9">
      <c r="E198" t="s">
        <v>577</v>
      </c>
      <c r="G198" t="s">
        <v>576</v>
      </c>
      <c r="H198">
        <v>60</v>
      </c>
    </row>
    <row r="199" spans="5:9">
      <c r="F199" t="s">
        <v>575</v>
      </c>
      <c r="G199" t="s">
        <v>574</v>
      </c>
      <c r="H199">
        <v>40</v>
      </c>
    </row>
    <row r="200" spans="5:9">
      <c r="F200" t="s">
        <v>573</v>
      </c>
    </row>
    <row r="201" spans="5:9">
      <c r="F201" t="s">
        <v>572</v>
      </c>
    </row>
    <row r="202" spans="5:9">
      <c r="F202" t="s">
        <v>571</v>
      </c>
    </row>
    <row r="203" spans="5:9">
      <c r="E203" t="s">
        <v>570</v>
      </c>
    </row>
    <row r="204" spans="5:9">
      <c r="F204" t="s">
        <v>569</v>
      </c>
    </row>
    <row r="205" spans="5:9">
      <c r="F205" t="s">
        <v>568</v>
      </c>
    </row>
    <row r="206" spans="5:9">
      <c r="F206" t="s">
        <v>567</v>
      </c>
    </row>
    <row r="207" spans="5:9">
      <c r="E207" t="s">
        <v>566</v>
      </c>
    </row>
    <row r="208" spans="5:9">
      <c r="F208" t="s">
        <v>565</v>
      </c>
    </row>
    <row r="209" spans="1:10">
      <c r="F209" t="s">
        <v>564</v>
      </c>
    </row>
    <row r="210" spans="1:10">
      <c r="F210" t="s">
        <v>563</v>
      </c>
    </row>
    <row r="211" spans="1:10">
      <c r="E211" t="s">
        <v>541</v>
      </c>
    </row>
    <row r="212" spans="1:10">
      <c r="F212" t="s">
        <v>562</v>
      </c>
    </row>
    <row r="213" spans="1:10">
      <c r="C213">
        <v>4.2</v>
      </c>
      <c r="D213" t="s">
        <v>561</v>
      </c>
      <c r="F213" s="20" t="s">
        <v>560</v>
      </c>
    </row>
    <row r="214" spans="1:10">
      <c r="E214" t="s">
        <v>370</v>
      </c>
      <c r="F214" t="s">
        <v>559</v>
      </c>
      <c r="G214" t="s">
        <v>558</v>
      </c>
    </row>
    <row r="215" spans="1:10">
      <c r="E215" t="s">
        <v>396</v>
      </c>
      <c r="F215" t="s">
        <v>557</v>
      </c>
      <c r="G215" t="s">
        <v>556</v>
      </c>
    </row>
    <row r="216" spans="1:10">
      <c r="E216" t="s">
        <v>393</v>
      </c>
      <c r="F216" t="s">
        <v>555</v>
      </c>
      <c r="G216" t="s">
        <v>554</v>
      </c>
    </row>
    <row r="217" spans="1:10">
      <c r="E217" t="s">
        <v>391</v>
      </c>
      <c r="F217" t="s">
        <v>553</v>
      </c>
      <c r="G217" t="s">
        <v>552</v>
      </c>
    </row>
    <row r="218" spans="1:10">
      <c r="F218" t="s">
        <v>551</v>
      </c>
    </row>
    <row r="219" spans="1:10">
      <c r="C219">
        <v>4.3</v>
      </c>
      <c r="D219" t="s">
        <v>550</v>
      </c>
    </row>
    <row r="220" spans="1:10">
      <c r="F220" t="s">
        <v>549</v>
      </c>
    </row>
    <row r="221" spans="1:10">
      <c r="A221" t="s">
        <v>548</v>
      </c>
      <c r="F221" t="s">
        <v>547</v>
      </c>
      <c r="G221" t="s">
        <v>546</v>
      </c>
      <c r="H221" t="s">
        <v>545</v>
      </c>
      <c r="I221" t="s">
        <v>476</v>
      </c>
      <c r="J221">
        <v>2023</v>
      </c>
    </row>
    <row r="222" spans="1:10">
      <c r="E222" t="s">
        <v>544</v>
      </c>
      <c r="F222" s="20" t="s">
        <v>543</v>
      </c>
      <c r="H222" t="s">
        <v>542</v>
      </c>
      <c r="I222" s="546">
        <v>800</v>
      </c>
      <c r="J222" s="546">
        <v>800</v>
      </c>
    </row>
    <row r="223" spans="1:10">
      <c r="C223">
        <v>4.4000000000000004</v>
      </c>
      <c r="D223" t="s">
        <v>541</v>
      </c>
    </row>
    <row r="224" spans="1:10">
      <c r="F224" t="s">
        <v>540</v>
      </c>
    </row>
    <row r="225" spans="3:7">
      <c r="F225" t="s">
        <v>539</v>
      </c>
    </row>
    <row r="226" spans="3:7">
      <c r="F226" t="s">
        <v>538</v>
      </c>
    </row>
    <row r="227" spans="3:7">
      <c r="F227" t="s">
        <v>537</v>
      </c>
    </row>
    <row r="228" spans="3:7">
      <c r="F228" t="s">
        <v>536</v>
      </c>
    </row>
    <row r="229" spans="3:7">
      <c r="F229" t="s">
        <v>535</v>
      </c>
    </row>
    <row r="230" spans="3:7">
      <c r="F230" t="s">
        <v>534</v>
      </c>
    </row>
    <row r="231" spans="3:7">
      <c r="F231" t="s">
        <v>533</v>
      </c>
    </row>
    <row r="232" spans="3:7">
      <c r="F232" t="s">
        <v>532</v>
      </c>
    </row>
    <row r="233" spans="3:7">
      <c r="F233" t="s">
        <v>531</v>
      </c>
    </row>
    <row r="234" spans="3:7">
      <c r="F234" t="s">
        <v>530</v>
      </c>
    </row>
    <row r="235" spans="3:7">
      <c r="F235" t="s">
        <v>529</v>
      </c>
    </row>
    <row r="236" spans="3:7">
      <c r="C236">
        <v>4.5</v>
      </c>
      <c r="D236" t="s">
        <v>528</v>
      </c>
      <c r="F236" t="s">
        <v>527</v>
      </c>
    </row>
    <row r="237" spans="3:7">
      <c r="F237" t="s">
        <v>526</v>
      </c>
    </row>
    <row r="238" spans="3:7">
      <c r="F238" t="s">
        <v>525</v>
      </c>
      <c r="G238" t="s">
        <v>524</v>
      </c>
    </row>
    <row r="239" spans="3:7">
      <c r="F239" t="s">
        <v>523</v>
      </c>
      <c r="G239" t="s">
        <v>522</v>
      </c>
    </row>
    <row r="240" spans="3:7">
      <c r="F240" t="s">
        <v>521</v>
      </c>
      <c r="G240" t="s">
        <v>520</v>
      </c>
    </row>
    <row r="241" spans="3:6">
      <c r="E241" t="s">
        <v>519</v>
      </c>
      <c r="F241" t="s">
        <v>518</v>
      </c>
    </row>
    <row r="242" spans="3:6">
      <c r="F242" t="s">
        <v>517</v>
      </c>
    </row>
    <row r="243" spans="3:6">
      <c r="F243" t="s">
        <v>516</v>
      </c>
    </row>
    <row r="244" spans="3:6">
      <c r="F244" t="s">
        <v>515</v>
      </c>
    </row>
    <row r="245" spans="3:6">
      <c r="C245">
        <v>4.5999999999999996</v>
      </c>
      <c r="D245" t="s">
        <v>514</v>
      </c>
    </row>
    <row r="246" spans="3:6">
      <c r="F246" t="s">
        <v>513</v>
      </c>
    </row>
    <row r="247" spans="3:6">
      <c r="F247" t="s">
        <v>512</v>
      </c>
    </row>
    <row r="248" spans="3:6">
      <c r="F248" t="s">
        <v>511</v>
      </c>
    </row>
    <row r="249" spans="3:6">
      <c r="F249" t="s">
        <v>510</v>
      </c>
    </row>
    <row r="250" spans="3:6">
      <c r="F250" t="s">
        <v>509</v>
      </c>
    </row>
    <row r="251" spans="3:6">
      <c r="F251" t="s">
        <v>508</v>
      </c>
    </row>
    <row r="252" spans="3:6">
      <c r="F252" t="s">
        <v>507</v>
      </c>
    </row>
    <row r="253" spans="3:6">
      <c r="C253">
        <v>5.0999999999999996</v>
      </c>
      <c r="D253" t="s">
        <v>506</v>
      </c>
    </row>
    <row r="254" spans="3:6">
      <c r="F254" t="s">
        <v>505</v>
      </c>
    </row>
    <row r="255" spans="3:6">
      <c r="F255" t="s">
        <v>504</v>
      </c>
    </row>
    <row r="256" spans="3:6">
      <c r="F256" t="s">
        <v>503</v>
      </c>
    </row>
    <row r="257" spans="5:6">
      <c r="F257" t="s">
        <v>502</v>
      </c>
    </row>
    <row r="258" spans="5:6">
      <c r="F258" t="s">
        <v>501</v>
      </c>
    </row>
    <row r="259" spans="5:6">
      <c r="F259" t="s">
        <v>500</v>
      </c>
    </row>
    <row r="260" spans="5:6">
      <c r="F260" t="s">
        <v>499</v>
      </c>
    </row>
    <row r="261" spans="5:6">
      <c r="F261" t="s">
        <v>498</v>
      </c>
    </row>
    <row r="262" spans="5:6">
      <c r="F262" t="s">
        <v>497</v>
      </c>
    </row>
    <row r="263" spans="5:6">
      <c r="E263">
        <v>1</v>
      </c>
      <c r="F263" t="s">
        <v>496</v>
      </c>
    </row>
    <row r="264" spans="5:6">
      <c r="E264">
        <v>2</v>
      </c>
      <c r="F264" t="s">
        <v>495</v>
      </c>
    </row>
    <row r="265" spans="5:6">
      <c r="E265">
        <v>3</v>
      </c>
      <c r="F265" t="s">
        <v>494</v>
      </c>
    </row>
    <row r="266" spans="5:6">
      <c r="E266">
        <v>4</v>
      </c>
      <c r="F266" t="s">
        <v>493</v>
      </c>
    </row>
    <row r="267" spans="5:6">
      <c r="E267">
        <v>5</v>
      </c>
      <c r="F267" t="s">
        <v>492</v>
      </c>
    </row>
    <row r="268" spans="5:6">
      <c r="F268" t="s">
        <v>491</v>
      </c>
    </row>
    <row r="269" spans="5:6">
      <c r="F269" t="s">
        <v>490</v>
      </c>
    </row>
    <row r="270" spans="5:6">
      <c r="F270" t="s">
        <v>489</v>
      </c>
    </row>
    <row r="271" spans="5:6">
      <c r="F271" t="s">
        <v>488</v>
      </c>
    </row>
    <row r="272" spans="5:6">
      <c r="E272">
        <v>1</v>
      </c>
      <c r="F272" t="s">
        <v>487</v>
      </c>
    </row>
    <row r="273" spans="3:9">
      <c r="E273">
        <v>2</v>
      </c>
      <c r="F273" t="s">
        <v>486</v>
      </c>
    </row>
    <row r="274" spans="3:9">
      <c r="E274">
        <v>3</v>
      </c>
      <c r="F274" t="s">
        <v>485</v>
      </c>
    </row>
    <row r="275" spans="3:9">
      <c r="E275">
        <v>4</v>
      </c>
      <c r="F275" t="s">
        <v>484</v>
      </c>
    </row>
    <row r="276" spans="3:9">
      <c r="F276" t="s">
        <v>483</v>
      </c>
    </row>
    <row r="277" spans="3:9">
      <c r="E277">
        <v>1</v>
      </c>
      <c r="F277" t="s">
        <v>482</v>
      </c>
    </row>
    <row r="278" spans="3:9">
      <c r="E278">
        <v>2</v>
      </c>
      <c r="F278" t="s">
        <v>481</v>
      </c>
    </row>
    <row r="279" spans="3:9">
      <c r="C279">
        <v>5.2</v>
      </c>
      <c r="D279" t="s">
        <v>480</v>
      </c>
      <c r="E279" t="s">
        <v>479</v>
      </c>
      <c r="F279" t="s">
        <v>478</v>
      </c>
    </row>
    <row r="280" spans="3:9">
      <c r="C280">
        <v>6.1</v>
      </c>
      <c r="D280" t="s">
        <v>477</v>
      </c>
      <c r="G280" s="8"/>
      <c r="H280" s="3" t="s">
        <v>476</v>
      </c>
      <c r="I280" s="545" t="s">
        <v>440</v>
      </c>
    </row>
    <row r="281" spans="3:9">
      <c r="E281" t="s">
        <v>475</v>
      </c>
      <c r="G281" s="4" t="s">
        <v>474</v>
      </c>
      <c r="H281">
        <v>0.35</v>
      </c>
      <c r="I281" s="544">
        <v>0.35</v>
      </c>
    </row>
    <row r="282" spans="3:9">
      <c r="E282" t="s">
        <v>473</v>
      </c>
      <c r="G282" s="4"/>
      <c r="I282" s="544"/>
    </row>
    <row r="283" spans="3:9">
      <c r="E283">
        <v>1</v>
      </c>
      <c r="F283" t="s">
        <v>472</v>
      </c>
      <c r="G283" s="4" t="s">
        <v>37</v>
      </c>
      <c r="H283">
        <v>50</v>
      </c>
      <c r="I283" s="544">
        <v>60</v>
      </c>
    </row>
    <row r="284" spans="3:9">
      <c r="E284">
        <v>2</v>
      </c>
      <c r="F284" t="s">
        <v>471</v>
      </c>
      <c r="G284" s="4"/>
      <c r="H284" t="s">
        <v>470</v>
      </c>
      <c r="I284" s="544"/>
    </row>
    <row r="285" spans="3:9">
      <c r="E285" t="s">
        <v>469</v>
      </c>
      <c r="F285" t="s">
        <v>468</v>
      </c>
      <c r="G285" s="537" t="s">
        <v>467</v>
      </c>
      <c r="H285" s="6">
        <f>H283*H281</f>
        <v>17.5</v>
      </c>
      <c r="I285" s="543">
        <f>I283*I281</f>
        <v>21</v>
      </c>
    </row>
    <row r="286" spans="3:9">
      <c r="E286" t="s">
        <v>466</v>
      </c>
      <c r="F286" t="s">
        <v>465</v>
      </c>
      <c r="G286" t="s">
        <v>464</v>
      </c>
    </row>
    <row r="287" spans="3:9">
      <c r="F287" t="s">
        <v>463</v>
      </c>
    </row>
    <row r="288" spans="3:9">
      <c r="F288" t="s">
        <v>462</v>
      </c>
    </row>
    <row r="289" spans="3:6">
      <c r="C289">
        <v>6.2</v>
      </c>
      <c r="D289" t="s">
        <v>461</v>
      </c>
    </row>
    <row r="290" spans="3:6">
      <c r="F290" t="s">
        <v>460</v>
      </c>
    </row>
    <row r="291" spans="3:6">
      <c r="E291">
        <v>1</v>
      </c>
      <c r="F291" t="s">
        <v>459</v>
      </c>
    </row>
    <row r="292" spans="3:6">
      <c r="E292" t="s">
        <v>86</v>
      </c>
      <c r="F292" t="s">
        <v>458</v>
      </c>
    </row>
    <row r="293" spans="3:6">
      <c r="F293" t="s">
        <v>457</v>
      </c>
    </row>
    <row r="294" spans="3:6">
      <c r="E294">
        <v>2</v>
      </c>
      <c r="F294" t="s">
        <v>456</v>
      </c>
    </row>
    <row r="295" spans="3:6">
      <c r="E295" t="s">
        <v>86</v>
      </c>
      <c r="F295" t="s">
        <v>455</v>
      </c>
    </row>
    <row r="296" spans="3:6">
      <c r="F296" t="s">
        <v>454</v>
      </c>
    </row>
    <row r="297" spans="3:6">
      <c r="F297" t="s">
        <v>453</v>
      </c>
    </row>
    <row r="298" spans="3:6">
      <c r="E298">
        <v>1</v>
      </c>
      <c r="F298" t="s">
        <v>28</v>
      </c>
    </row>
    <row r="299" spans="3:6">
      <c r="E299" t="s">
        <v>86</v>
      </c>
      <c r="F299" t="s">
        <v>452</v>
      </c>
    </row>
    <row r="300" spans="3:6" ht="25.5">
      <c r="E300" t="s">
        <v>86</v>
      </c>
      <c r="F300" s="542" t="s">
        <v>451</v>
      </c>
    </row>
    <row r="301" spans="3:6">
      <c r="E301">
        <v>2</v>
      </c>
      <c r="F301" t="s">
        <v>450</v>
      </c>
    </row>
    <row r="302" spans="3:6">
      <c r="E302" t="s">
        <v>86</v>
      </c>
      <c r="F302" t="s">
        <v>449</v>
      </c>
    </row>
    <row r="303" spans="3:6">
      <c r="E303" t="s">
        <v>86</v>
      </c>
      <c r="F303" t="s">
        <v>448</v>
      </c>
    </row>
    <row r="304" spans="3:6">
      <c r="E304">
        <v>3</v>
      </c>
      <c r="F304" t="s">
        <v>447</v>
      </c>
    </row>
    <row r="305" spans="3:11">
      <c r="E305" t="s">
        <v>86</v>
      </c>
      <c r="F305" t="s">
        <v>446</v>
      </c>
    </row>
    <row r="306" spans="3:11">
      <c r="E306" t="s">
        <v>86</v>
      </c>
      <c r="F306" t="s">
        <v>445</v>
      </c>
    </row>
    <row r="307" spans="3:11">
      <c r="E307" t="s">
        <v>86</v>
      </c>
      <c r="F307" t="s">
        <v>444</v>
      </c>
    </row>
    <row r="308" spans="3:11">
      <c r="E308" t="s">
        <v>86</v>
      </c>
      <c r="F308" t="s">
        <v>443</v>
      </c>
    </row>
    <row r="309" spans="3:11">
      <c r="C309">
        <v>6.3</v>
      </c>
      <c r="D309" t="s">
        <v>442</v>
      </c>
    </row>
    <row r="310" spans="3:11">
      <c r="F310" t="s">
        <v>441</v>
      </c>
      <c r="I310" t="s">
        <v>440</v>
      </c>
    </row>
    <row r="311" spans="3:11">
      <c r="F311" t="s">
        <v>439</v>
      </c>
      <c r="I311" t="s">
        <v>438</v>
      </c>
      <c r="J311" t="s">
        <v>437</v>
      </c>
      <c r="K311" t="s">
        <v>436</v>
      </c>
    </row>
    <row r="312" spans="3:11">
      <c r="C312">
        <v>7</v>
      </c>
      <c r="D312" t="s">
        <v>435</v>
      </c>
    </row>
    <row r="313" spans="3:11">
      <c r="D313" t="s">
        <v>434</v>
      </c>
    </row>
    <row r="314" spans="3:11">
      <c r="D314" t="s">
        <v>433</v>
      </c>
    </row>
    <row r="315" spans="3:11">
      <c r="D315" t="s">
        <v>432</v>
      </c>
    </row>
    <row r="316" spans="3:11">
      <c r="D316" t="s">
        <v>431</v>
      </c>
    </row>
    <row r="317" spans="3:11">
      <c r="D317" t="s">
        <v>430</v>
      </c>
    </row>
    <row r="318" spans="3:11">
      <c r="D318" t="s">
        <v>429</v>
      </c>
    </row>
    <row r="319" spans="3:11">
      <c r="C319">
        <v>7.1</v>
      </c>
      <c r="D319" t="s">
        <v>428</v>
      </c>
    </row>
    <row r="320" spans="3:11">
      <c r="E320" t="s">
        <v>427</v>
      </c>
      <c r="F320" t="s">
        <v>426</v>
      </c>
    </row>
    <row r="321" spans="5:6">
      <c r="F321" t="s">
        <v>425</v>
      </c>
    </row>
    <row r="322" spans="5:6">
      <c r="E322" t="s">
        <v>424</v>
      </c>
    </row>
    <row r="323" spans="5:6">
      <c r="F323" t="s">
        <v>389</v>
      </c>
    </row>
    <row r="324" spans="5:6">
      <c r="F324" t="s">
        <v>12</v>
      </c>
    </row>
    <row r="325" spans="5:6">
      <c r="F325" t="s">
        <v>423</v>
      </c>
    </row>
    <row r="326" spans="5:6">
      <c r="F326" t="s">
        <v>422</v>
      </c>
    </row>
    <row r="327" spans="5:6">
      <c r="E327" t="s">
        <v>421</v>
      </c>
    </row>
    <row r="328" spans="5:6">
      <c r="F328" t="s">
        <v>420</v>
      </c>
    </row>
    <row r="329" spans="5:6">
      <c r="F329" t="s">
        <v>419</v>
      </c>
    </row>
    <row r="330" spans="5:6">
      <c r="F330" t="s">
        <v>418</v>
      </c>
    </row>
    <row r="331" spans="5:6">
      <c r="F331" t="s">
        <v>417</v>
      </c>
    </row>
    <row r="332" spans="5:6">
      <c r="F332" t="s">
        <v>416</v>
      </c>
    </row>
    <row r="333" spans="5:6">
      <c r="F333" t="s">
        <v>415</v>
      </c>
    </row>
    <row r="334" spans="5:6">
      <c r="E334" t="s">
        <v>414</v>
      </c>
    </row>
    <row r="335" spans="5:6">
      <c r="F335" t="s">
        <v>413</v>
      </c>
    </row>
    <row r="336" spans="5:6">
      <c r="F336" t="s">
        <v>412</v>
      </c>
    </row>
    <row r="337" spans="3:6">
      <c r="E337" t="s">
        <v>411</v>
      </c>
    </row>
    <row r="338" spans="3:6">
      <c r="F338" t="s">
        <v>410</v>
      </c>
    </row>
    <row r="339" spans="3:6">
      <c r="F339" t="s">
        <v>409</v>
      </c>
    </row>
    <row r="340" spans="3:6">
      <c r="F340" t="s">
        <v>408</v>
      </c>
    </row>
    <row r="341" spans="3:6">
      <c r="C341">
        <v>7.2</v>
      </c>
      <c r="D341" t="s">
        <v>407</v>
      </c>
    </row>
    <row r="342" spans="3:6">
      <c r="F342" t="s">
        <v>406</v>
      </c>
    </row>
    <row r="343" spans="3:6">
      <c r="F343" t="s">
        <v>405</v>
      </c>
    </row>
    <row r="344" spans="3:6">
      <c r="F344" t="s">
        <v>404</v>
      </c>
    </row>
    <row r="345" spans="3:6">
      <c r="C345">
        <v>7.3</v>
      </c>
      <c r="D345" t="s">
        <v>403</v>
      </c>
    </row>
    <row r="346" spans="3:6">
      <c r="D346" s="20" t="s">
        <v>128</v>
      </c>
    </row>
    <row r="347" spans="3:6">
      <c r="E347" t="s">
        <v>0</v>
      </c>
    </row>
    <row r="348" spans="3:6">
      <c r="E348" t="s">
        <v>1</v>
      </c>
    </row>
    <row r="350" spans="3:6">
      <c r="D350" s="455" t="s">
        <v>177</v>
      </c>
      <c r="E350" s="456"/>
    </row>
    <row r="351" spans="3:6">
      <c r="D351" s="457"/>
      <c r="E351" s="456" t="s">
        <v>11</v>
      </c>
    </row>
    <row r="352" spans="3:6">
      <c r="D352" s="457"/>
      <c r="E352" s="460" t="s">
        <v>112</v>
      </c>
    </row>
    <row r="353" spans="4:6">
      <c r="D353" s="457"/>
      <c r="E353" s="460" t="s">
        <v>55</v>
      </c>
    </row>
    <row r="354" spans="4:6">
      <c r="D354" s="457"/>
      <c r="E354" s="460" t="s">
        <v>113</v>
      </c>
    </row>
    <row r="355" spans="4:6">
      <c r="D355" s="457"/>
      <c r="E355" s="456" t="s">
        <v>17</v>
      </c>
    </row>
    <row r="356" spans="4:6">
      <c r="D356" s="457"/>
      <c r="E356" s="456" t="s">
        <v>114</v>
      </c>
    </row>
    <row r="357" spans="4:6">
      <c r="D357" s="457"/>
      <c r="E357" s="456"/>
    </row>
    <row r="358" spans="4:6">
      <c r="D358" s="455" t="s">
        <v>178</v>
      </c>
      <c r="E358" s="456"/>
    </row>
    <row r="359" spans="4:6">
      <c r="D359" s="457"/>
      <c r="E359" s="456" t="s">
        <v>11</v>
      </c>
    </row>
    <row r="360" spans="4:6">
      <c r="D360" s="457"/>
      <c r="E360" s="460" t="s">
        <v>112</v>
      </c>
    </row>
    <row r="361" spans="4:6">
      <c r="D361" s="457"/>
      <c r="E361" s="460" t="s">
        <v>55</v>
      </c>
    </row>
    <row r="362" spans="4:6">
      <c r="D362" s="457"/>
      <c r="E362" s="460" t="s">
        <v>113</v>
      </c>
    </row>
    <row r="363" spans="4:6">
      <c r="D363" s="457"/>
      <c r="E363" s="456" t="s">
        <v>17</v>
      </c>
    </row>
    <row r="364" spans="4:6">
      <c r="D364" s="457"/>
      <c r="E364" s="456" t="s">
        <v>114</v>
      </c>
    </row>
    <row r="365" spans="4:6">
      <c r="D365" s="457"/>
      <c r="E365" s="463" t="s">
        <v>179</v>
      </c>
    </row>
    <row r="366" spans="4:6">
      <c r="D366" s="457"/>
      <c r="E366" s="456"/>
    </row>
    <row r="367" spans="4:6">
      <c r="D367" s="463" t="s">
        <v>180</v>
      </c>
      <c r="E367" s="457"/>
    </row>
    <row r="368" spans="4:6">
      <c r="D368" t="s">
        <v>402</v>
      </c>
      <c r="F368" t="s">
        <v>401</v>
      </c>
    </row>
    <row r="369" spans="5:7">
      <c r="E369">
        <v>1</v>
      </c>
      <c r="F369" t="s">
        <v>400</v>
      </c>
    </row>
    <row r="370" spans="5:7">
      <c r="E370">
        <v>2</v>
      </c>
      <c r="F370" t="s">
        <v>399</v>
      </c>
    </row>
    <row r="371" spans="5:7">
      <c r="E371">
        <v>3</v>
      </c>
      <c r="F371" t="s">
        <v>398</v>
      </c>
    </row>
    <row r="372" spans="5:7">
      <c r="E372">
        <v>4</v>
      </c>
      <c r="F372" t="s">
        <v>397</v>
      </c>
    </row>
    <row r="373" spans="5:7">
      <c r="E373" t="s">
        <v>396</v>
      </c>
      <c r="F373" t="s">
        <v>395</v>
      </c>
    </row>
    <row r="374" spans="5:7">
      <c r="F374" s="92" t="s">
        <v>394</v>
      </c>
    </row>
    <row r="376" spans="5:7">
      <c r="E376" t="s">
        <v>393</v>
      </c>
      <c r="F376" t="s">
        <v>392</v>
      </c>
    </row>
    <row r="378" spans="5:7">
      <c r="E378" t="s">
        <v>391</v>
      </c>
      <c r="F378" s="92" t="s">
        <v>390</v>
      </c>
      <c r="G378" t="s">
        <v>389</v>
      </c>
    </row>
    <row r="379" spans="5:7">
      <c r="F379" s="92" t="s">
        <v>388</v>
      </c>
      <c r="G379" t="s">
        <v>387</v>
      </c>
    </row>
    <row r="380" spans="5:7">
      <c r="E380" t="s">
        <v>179</v>
      </c>
    </row>
    <row r="381" spans="5:7">
      <c r="F381" s="92" t="s">
        <v>386</v>
      </c>
    </row>
    <row r="382" spans="5:7">
      <c r="E382" t="s">
        <v>385</v>
      </c>
    </row>
    <row r="383" spans="5:7">
      <c r="F383" s="92" t="s">
        <v>384</v>
      </c>
    </row>
    <row r="384" spans="5:7">
      <c r="F384" t="s">
        <v>383</v>
      </c>
    </row>
    <row r="385" spans="3:6">
      <c r="F385" t="s">
        <v>382</v>
      </c>
    </row>
    <row r="386" spans="3:6">
      <c r="C386">
        <v>8</v>
      </c>
      <c r="D386" t="s">
        <v>373</v>
      </c>
    </row>
    <row r="387" spans="3:6">
      <c r="D387" t="s">
        <v>381</v>
      </c>
    </row>
    <row r="388" spans="3:6">
      <c r="D388" t="s">
        <v>380</v>
      </c>
    </row>
    <row r="389" spans="3:6">
      <c r="D389" t="s">
        <v>379</v>
      </c>
    </row>
    <row r="390" spans="3:6">
      <c r="D390" t="s">
        <v>378</v>
      </c>
    </row>
    <row r="391" spans="3:6">
      <c r="D391" t="s">
        <v>377</v>
      </c>
    </row>
    <row r="392" spans="3:6">
      <c r="D392" t="s">
        <v>376</v>
      </c>
    </row>
    <row r="393" spans="3:6">
      <c r="D393" t="s">
        <v>375</v>
      </c>
    </row>
    <row r="394" spans="3:6">
      <c r="C394">
        <v>8.1</v>
      </c>
      <c r="D394" t="s">
        <v>374</v>
      </c>
    </row>
    <row r="395" spans="3:6">
      <c r="D395" t="s">
        <v>373</v>
      </c>
      <c r="F395" t="s">
        <v>372</v>
      </c>
    </row>
    <row r="396" spans="3:6">
      <c r="F396" t="s">
        <v>371</v>
      </c>
    </row>
    <row r="397" spans="3:6">
      <c r="E397" t="s">
        <v>370</v>
      </c>
      <c r="F397" t="s">
        <v>369</v>
      </c>
    </row>
    <row r="398" spans="3:6">
      <c r="F398" t="s">
        <v>368</v>
      </c>
    </row>
    <row r="399" spans="3:6">
      <c r="E399">
        <v>1</v>
      </c>
      <c r="F399" t="s">
        <v>367</v>
      </c>
    </row>
    <row r="400" spans="3:6">
      <c r="E400">
        <v>2</v>
      </c>
      <c r="F400" t="s">
        <v>366</v>
      </c>
    </row>
    <row r="401" spans="5:7">
      <c r="E401">
        <v>3</v>
      </c>
      <c r="F401" t="s">
        <v>365</v>
      </c>
    </row>
    <row r="402" spans="5:7">
      <c r="E402">
        <v>4</v>
      </c>
      <c r="F402" t="s">
        <v>364</v>
      </c>
    </row>
    <row r="403" spans="5:7">
      <c r="E403">
        <v>5</v>
      </c>
      <c r="F403" t="s">
        <v>363</v>
      </c>
    </row>
    <row r="404" spans="5:7">
      <c r="E404">
        <v>6</v>
      </c>
      <c r="F404" t="s">
        <v>362</v>
      </c>
    </row>
    <row r="405" spans="5:7">
      <c r="E405" t="s">
        <v>361</v>
      </c>
    </row>
    <row r="406" spans="5:7">
      <c r="F406" t="s">
        <v>360</v>
      </c>
    </row>
    <row r="407" spans="5:7">
      <c r="F407" t="s">
        <v>359</v>
      </c>
    </row>
    <row r="408" spans="5:7">
      <c r="E408" t="s">
        <v>358</v>
      </c>
      <c r="F408" t="s">
        <v>357</v>
      </c>
      <c r="G408" s="92" t="s">
        <v>356</v>
      </c>
    </row>
    <row r="409" spans="5:7">
      <c r="F409" t="s">
        <v>355</v>
      </c>
      <c r="G409" s="92" t="s">
        <v>354</v>
      </c>
    </row>
    <row r="410" spans="5:7">
      <c r="F410" t="s">
        <v>353</v>
      </c>
      <c r="G410" s="92" t="s">
        <v>352</v>
      </c>
    </row>
    <row r="411" spans="5:7">
      <c r="F411" t="s">
        <v>326</v>
      </c>
      <c r="G411" t="s">
        <v>351</v>
      </c>
    </row>
    <row r="412" spans="5:7">
      <c r="F412" t="s">
        <v>350</v>
      </c>
      <c r="G412" s="92" t="s">
        <v>349</v>
      </c>
    </row>
    <row r="413" spans="5:7">
      <c r="E413" t="s">
        <v>348</v>
      </c>
    </row>
    <row r="414" spans="5:7">
      <c r="F414" t="s">
        <v>347</v>
      </c>
    </row>
    <row r="415" spans="5:7">
      <c r="E415" t="s">
        <v>346</v>
      </c>
    </row>
    <row r="416" spans="5:7">
      <c r="E416">
        <v>1</v>
      </c>
      <c r="F416" t="s">
        <v>345</v>
      </c>
    </row>
    <row r="417" spans="3:7">
      <c r="F417" t="s">
        <v>344</v>
      </c>
    </row>
    <row r="418" spans="3:7">
      <c r="E418">
        <v>2</v>
      </c>
      <c r="F418" s="92" t="s">
        <v>343</v>
      </c>
    </row>
    <row r="419" spans="3:7">
      <c r="F419" t="s">
        <v>342</v>
      </c>
    </row>
    <row r="420" spans="3:7">
      <c r="F420" t="s">
        <v>341</v>
      </c>
    </row>
    <row r="421" spans="3:7">
      <c r="F421" t="s">
        <v>340</v>
      </c>
    </row>
    <row r="422" spans="3:7">
      <c r="C422">
        <v>8.1999999999999993</v>
      </c>
      <c r="D422" t="s">
        <v>339</v>
      </c>
      <c r="F422" t="s">
        <v>338</v>
      </c>
    </row>
    <row r="423" spans="3:7">
      <c r="E423">
        <v>1</v>
      </c>
      <c r="F423" t="s">
        <v>337</v>
      </c>
    </row>
    <row r="424" spans="3:7">
      <c r="E424">
        <v>2</v>
      </c>
      <c r="F424" t="s">
        <v>336</v>
      </c>
    </row>
    <row r="425" spans="3:7">
      <c r="E425">
        <v>3</v>
      </c>
      <c r="F425" t="s">
        <v>335</v>
      </c>
    </row>
    <row r="426" spans="3:7">
      <c r="C426">
        <v>8.3000000000000007</v>
      </c>
      <c r="D426" t="s">
        <v>334</v>
      </c>
    </row>
    <row r="427" spans="3:7">
      <c r="E427">
        <v>1</v>
      </c>
      <c r="F427" t="s">
        <v>333</v>
      </c>
      <c r="G427" t="s">
        <v>328</v>
      </c>
    </row>
    <row r="428" spans="3:7">
      <c r="E428">
        <v>2</v>
      </c>
      <c r="F428" t="s">
        <v>332</v>
      </c>
      <c r="G428" t="s">
        <v>331</v>
      </c>
    </row>
    <row r="429" spans="3:7">
      <c r="C429">
        <v>8.4</v>
      </c>
      <c r="D429" t="s">
        <v>330</v>
      </c>
      <c r="F429" t="s">
        <v>329</v>
      </c>
      <c r="G429" t="s">
        <v>328</v>
      </c>
    </row>
    <row r="430" spans="3:7">
      <c r="F430" t="s">
        <v>327</v>
      </c>
      <c r="G430" t="s">
        <v>325</v>
      </c>
    </row>
    <row r="431" spans="3:7">
      <c r="F431" t="s">
        <v>326</v>
      </c>
      <c r="G431" t="s">
        <v>325</v>
      </c>
    </row>
    <row r="432" spans="3:7">
      <c r="C432">
        <v>8.5</v>
      </c>
      <c r="D432" t="s">
        <v>188</v>
      </c>
    </row>
    <row r="433" spans="5:6">
      <c r="F433" t="s">
        <v>324</v>
      </c>
    </row>
    <row r="434" spans="5:6">
      <c r="F434" t="s">
        <v>323</v>
      </c>
    </row>
    <row r="435" spans="5:6">
      <c r="F435" t="s">
        <v>322</v>
      </c>
    </row>
    <row r="436" spans="5:6">
      <c r="F436" t="s">
        <v>321</v>
      </c>
    </row>
    <row r="437" spans="5:6">
      <c r="F437" t="s">
        <v>320</v>
      </c>
    </row>
    <row r="438" spans="5:6">
      <c r="F438" t="s">
        <v>319</v>
      </c>
    </row>
    <row r="439" spans="5:6">
      <c r="F439" t="s">
        <v>318</v>
      </c>
    </row>
    <row r="440" spans="5:6">
      <c r="F440" t="s">
        <v>317</v>
      </c>
    </row>
    <row r="441" spans="5:6">
      <c r="F441" t="s">
        <v>316</v>
      </c>
    </row>
    <row r="442" spans="5:6">
      <c r="E442">
        <v>1</v>
      </c>
      <c r="F442" t="s">
        <v>315</v>
      </c>
    </row>
    <row r="443" spans="5:6">
      <c r="E443">
        <v>2</v>
      </c>
      <c r="F443" t="s">
        <v>314</v>
      </c>
    </row>
    <row r="444" spans="5:6">
      <c r="F444" t="s">
        <v>313</v>
      </c>
    </row>
    <row r="445" spans="5:6">
      <c r="F445" t="s">
        <v>312</v>
      </c>
    </row>
    <row r="446" spans="5:6">
      <c r="E446">
        <v>1</v>
      </c>
      <c r="F446" t="s">
        <v>311</v>
      </c>
    </row>
    <row r="447" spans="5:6">
      <c r="E447">
        <v>2</v>
      </c>
      <c r="F447" t="s">
        <v>310</v>
      </c>
    </row>
    <row r="448" spans="5:6">
      <c r="E448">
        <v>3</v>
      </c>
      <c r="F448" t="s">
        <v>309</v>
      </c>
    </row>
    <row r="449" spans="3:7">
      <c r="E449">
        <v>4</v>
      </c>
      <c r="F449" t="s">
        <v>308</v>
      </c>
    </row>
    <row r="450" spans="3:7">
      <c r="F450" t="s">
        <v>307</v>
      </c>
    </row>
    <row r="451" spans="3:7">
      <c r="F451" t="s">
        <v>306</v>
      </c>
    </row>
    <row r="452" spans="3:7">
      <c r="F452" t="s">
        <v>305</v>
      </c>
    </row>
    <row r="453" spans="3:7">
      <c r="F453" s="92" t="s">
        <v>304</v>
      </c>
      <c r="G453" t="s">
        <v>303</v>
      </c>
    </row>
    <row r="454" spans="3:7">
      <c r="C454">
        <v>8.6</v>
      </c>
      <c r="D454" t="s">
        <v>302</v>
      </c>
      <c r="E454" t="s">
        <v>301</v>
      </c>
    </row>
    <row r="455" spans="3:7">
      <c r="E455">
        <v>1</v>
      </c>
      <c r="F455" t="s">
        <v>300</v>
      </c>
    </row>
    <row r="456" spans="3:7">
      <c r="F456" t="s">
        <v>299</v>
      </c>
    </row>
    <row r="457" spans="3:7">
      <c r="F457" t="s">
        <v>298</v>
      </c>
    </row>
    <row r="458" spans="3:7">
      <c r="F458" t="s">
        <v>297</v>
      </c>
    </row>
    <row r="459" spans="3:7">
      <c r="E459">
        <v>2</v>
      </c>
      <c r="F459" t="s">
        <v>296</v>
      </c>
    </row>
    <row r="460" spans="3:7">
      <c r="E460">
        <v>3</v>
      </c>
      <c r="F460" t="s">
        <v>295</v>
      </c>
      <c r="G460" s="92" t="s">
        <v>294</v>
      </c>
    </row>
    <row r="461" spans="3:7">
      <c r="C461">
        <v>8.6999999999999993</v>
      </c>
      <c r="D461" t="s">
        <v>293</v>
      </c>
    </row>
    <row r="462" spans="3:7">
      <c r="F462" t="s">
        <v>292</v>
      </c>
    </row>
    <row r="463" spans="3:7">
      <c r="F463" t="s">
        <v>291</v>
      </c>
    </row>
    <row r="464" spans="3:7">
      <c r="F464" t="s">
        <v>290</v>
      </c>
    </row>
    <row r="465" spans="3:8">
      <c r="F465" t="s">
        <v>289</v>
      </c>
      <c r="G465" t="s">
        <v>288</v>
      </c>
    </row>
    <row r="466" spans="3:8">
      <c r="C466">
        <v>9</v>
      </c>
      <c r="D466" t="s">
        <v>287</v>
      </c>
    </row>
    <row r="467" spans="3:8">
      <c r="C467" s="541" t="s">
        <v>286</v>
      </c>
    </row>
    <row r="468" spans="3:8">
      <c r="C468" s="541" t="s">
        <v>285</v>
      </c>
    </row>
    <row r="469" spans="3:8">
      <c r="C469" s="541" t="s">
        <v>284</v>
      </c>
    </row>
    <row r="470" spans="3:8">
      <c r="C470">
        <v>9.1</v>
      </c>
      <c r="D470" t="s">
        <v>24</v>
      </c>
    </row>
    <row r="471" spans="3:8">
      <c r="F471" t="s">
        <v>283</v>
      </c>
    </row>
    <row r="473" spans="3:8">
      <c r="C473">
        <v>9.1999999999999993</v>
      </c>
      <c r="D473" t="s">
        <v>282</v>
      </c>
      <c r="E473" t="s">
        <v>281</v>
      </c>
    </row>
    <row r="474" spans="3:8">
      <c r="D474" t="s">
        <v>280</v>
      </c>
      <c r="F474" s="20" t="s">
        <v>279</v>
      </c>
      <c r="H474" t="s">
        <v>278</v>
      </c>
    </row>
    <row r="475" spans="3:8">
      <c r="E475" t="s">
        <v>277</v>
      </c>
    </row>
    <row r="476" spans="3:8">
      <c r="E476" t="s">
        <v>276</v>
      </c>
    </row>
    <row r="477" spans="3:8">
      <c r="E477" t="s">
        <v>275</v>
      </c>
    </row>
    <row r="478" spans="3:8">
      <c r="E478" t="s">
        <v>274</v>
      </c>
      <c r="F478" t="s">
        <v>273</v>
      </c>
    </row>
    <row r="480" spans="3:8">
      <c r="D480" t="s">
        <v>272</v>
      </c>
      <c r="E480" s="20" t="s">
        <v>271</v>
      </c>
    </row>
    <row r="481" spans="3:6">
      <c r="E481" t="s">
        <v>270</v>
      </c>
      <c r="F481" t="s">
        <v>269</v>
      </c>
    </row>
    <row r="482" spans="3:6">
      <c r="E482" t="s">
        <v>7</v>
      </c>
    </row>
    <row r="484" spans="3:6">
      <c r="D484" t="s">
        <v>268</v>
      </c>
      <c r="E484" t="s">
        <v>267</v>
      </c>
    </row>
    <row r="485" spans="3:6">
      <c r="E485" s="20" t="s">
        <v>266</v>
      </c>
    </row>
    <row r="486" spans="3:6">
      <c r="E486" t="s">
        <v>265</v>
      </c>
    </row>
    <row r="488" spans="3:6">
      <c r="E488" t="s">
        <v>264</v>
      </c>
      <c r="F488" t="s">
        <v>263</v>
      </c>
    </row>
    <row r="489" spans="3:6">
      <c r="E489" t="s">
        <v>51</v>
      </c>
      <c r="F489" t="s">
        <v>263</v>
      </c>
    </row>
    <row r="490" spans="3:6">
      <c r="E490" t="s">
        <v>46</v>
      </c>
      <c r="F490" t="s">
        <v>262</v>
      </c>
    </row>
    <row r="491" spans="3:6">
      <c r="E491" t="s">
        <v>47</v>
      </c>
      <c r="F491" t="s">
        <v>262</v>
      </c>
    </row>
    <row r="492" spans="3:6">
      <c r="E492" t="s">
        <v>261</v>
      </c>
    </row>
    <row r="493" spans="3:6">
      <c r="E493" s="20" t="s">
        <v>260</v>
      </c>
    </row>
    <row r="494" spans="3:6">
      <c r="C494">
        <v>9.3000000000000007</v>
      </c>
      <c r="D494" t="s">
        <v>259</v>
      </c>
    </row>
    <row r="495" spans="3:6">
      <c r="E495" t="s">
        <v>258</v>
      </c>
    </row>
    <row r="496" spans="3:6">
      <c r="E496" t="s">
        <v>257</v>
      </c>
    </row>
    <row r="497" spans="4:5">
      <c r="E497" t="s">
        <v>256</v>
      </c>
    </row>
    <row r="498" spans="4:5">
      <c r="D498" t="s">
        <v>10</v>
      </c>
      <c r="E498" t="s">
        <v>255</v>
      </c>
    </row>
    <row r="499" spans="4:5">
      <c r="D499" t="s">
        <v>11</v>
      </c>
      <c r="E499" t="s">
        <v>254</v>
      </c>
    </row>
    <row r="500" spans="4:5">
      <c r="D500" t="s">
        <v>12</v>
      </c>
      <c r="E500" t="s">
        <v>254</v>
      </c>
    </row>
    <row r="501" spans="4:5">
      <c r="D501" t="s">
        <v>55</v>
      </c>
      <c r="E501" t="s">
        <v>254</v>
      </c>
    </row>
    <row r="502" spans="4:5">
      <c r="D502" s="18" t="s">
        <v>7</v>
      </c>
    </row>
    <row r="503" spans="4:5">
      <c r="D503" s="27" t="s">
        <v>13</v>
      </c>
    </row>
    <row r="504" spans="4:5">
      <c r="D504" t="s">
        <v>14</v>
      </c>
    </row>
    <row r="505" spans="4:5">
      <c r="D505" s="18" t="s">
        <v>7</v>
      </c>
    </row>
    <row r="506" spans="4:5">
      <c r="D506" s="19" t="s">
        <v>57</v>
      </c>
    </row>
    <row r="507" spans="4:5">
      <c r="D507" s="20" t="s">
        <v>15</v>
      </c>
    </row>
    <row r="508" spans="4:5">
      <c r="D508" s="18" t="s">
        <v>52</v>
      </c>
    </row>
    <row r="509" spans="4:5">
      <c r="D509" s="18" t="s">
        <v>17</v>
      </c>
    </row>
    <row r="510" spans="4:5">
      <c r="D510" s="18" t="s">
        <v>7</v>
      </c>
    </row>
    <row r="511" spans="4:5">
      <c r="D511" s="27" t="s">
        <v>18</v>
      </c>
    </row>
    <row r="512" spans="4:5">
      <c r="D512" t="s">
        <v>53</v>
      </c>
    </row>
    <row r="513" spans="3:5">
      <c r="D513" s="18" t="s">
        <v>49</v>
      </c>
    </row>
    <row r="514" spans="3:5">
      <c r="D514" s="19" t="s">
        <v>19</v>
      </c>
    </row>
    <row r="515" spans="3:5">
      <c r="D515" s="19" t="s">
        <v>20</v>
      </c>
    </row>
    <row r="516" spans="3:5">
      <c r="D516" t="s">
        <v>44</v>
      </c>
    </row>
    <row r="517" spans="3:5">
      <c r="D517" t="s">
        <v>45</v>
      </c>
    </row>
    <row r="518" spans="3:5">
      <c r="D518" s="27" t="s">
        <v>21</v>
      </c>
    </row>
    <row r="519" spans="3:5">
      <c r="C519" t="s">
        <v>253</v>
      </c>
    </row>
    <row r="520" spans="3:5">
      <c r="D520" t="s">
        <v>252</v>
      </c>
    </row>
    <row r="521" spans="3:5">
      <c r="C521">
        <v>1</v>
      </c>
      <c r="D521" t="s">
        <v>251</v>
      </c>
      <c r="E521" t="s">
        <v>250</v>
      </c>
    </row>
    <row r="522" spans="3:5">
      <c r="C522">
        <v>2</v>
      </c>
      <c r="D522" t="s">
        <v>249</v>
      </c>
      <c r="E522" t="s">
        <v>248</v>
      </c>
    </row>
    <row r="523" spans="3:5">
      <c r="C523">
        <v>3</v>
      </c>
      <c r="D523" t="s">
        <v>247</v>
      </c>
      <c r="E523" t="s">
        <v>246</v>
      </c>
    </row>
    <row r="524" spans="3:5">
      <c r="C524">
        <v>4</v>
      </c>
      <c r="D524" t="s">
        <v>245</v>
      </c>
      <c r="E524" t="s">
        <v>244</v>
      </c>
    </row>
    <row r="525" spans="3:5">
      <c r="C525">
        <v>5</v>
      </c>
      <c r="D525" t="s">
        <v>243</v>
      </c>
    </row>
    <row r="526" spans="3:5">
      <c r="C526">
        <v>6</v>
      </c>
      <c r="D526" t="s">
        <v>242</v>
      </c>
    </row>
    <row r="527" spans="3:5">
      <c r="C527">
        <v>7</v>
      </c>
      <c r="D527" t="s">
        <v>241</v>
      </c>
    </row>
    <row r="528" spans="3:5">
      <c r="C528">
        <v>8</v>
      </c>
      <c r="D528" t="s">
        <v>240</v>
      </c>
      <c r="E528" t="s">
        <v>239</v>
      </c>
    </row>
    <row r="529" spans="3:5">
      <c r="C529">
        <v>9</v>
      </c>
      <c r="D529" t="s">
        <v>238</v>
      </c>
      <c r="E529" t="s">
        <v>237</v>
      </c>
    </row>
    <row r="530" spans="3:5">
      <c r="C530">
        <v>10</v>
      </c>
      <c r="D530" t="s">
        <v>236</v>
      </c>
    </row>
    <row r="531" spans="3:5">
      <c r="C531" t="s">
        <v>235</v>
      </c>
    </row>
    <row r="532" spans="3:5">
      <c r="D532" t="s">
        <v>234</v>
      </c>
    </row>
    <row r="533" spans="3:5">
      <c r="C533" t="s">
        <v>233</v>
      </c>
      <c r="D533" t="s">
        <v>232</v>
      </c>
    </row>
    <row r="534" spans="3:5">
      <c r="D534" t="s">
        <v>231</v>
      </c>
    </row>
    <row r="535" spans="3:5">
      <c r="D535" t="s">
        <v>230</v>
      </c>
    </row>
    <row r="536" spans="3:5">
      <c r="C536" t="s">
        <v>209</v>
      </c>
      <c r="D536" t="s">
        <v>229</v>
      </c>
    </row>
    <row r="537" spans="3:5">
      <c r="D537" t="s">
        <v>228</v>
      </c>
    </row>
    <row r="538" spans="3:5">
      <c r="C538" t="s">
        <v>227</v>
      </c>
      <c r="D538" t="s">
        <v>226</v>
      </c>
    </row>
    <row r="539" spans="3:5">
      <c r="C539" t="s">
        <v>225</v>
      </c>
      <c r="D539" t="s">
        <v>224</v>
      </c>
    </row>
    <row r="540" spans="3:5">
      <c r="D540" t="s">
        <v>223</v>
      </c>
      <c r="E540" t="s">
        <v>222</v>
      </c>
    </row>
    <row r="541" spans="3:5">
      <c r="D541" t="s">
        <v>221</v>
      </c>
    </row>
    <row r="542" spans="3:5">
      <c r="D542" t="s">
        <v>220</v>
      </c>
    </row>
    <row r="543" spans="3:5">
      <c r="D543" s="20" t="s">
        <v>219</v>
      </c>
    </row>
    <row r="544" spans="3:5">
      <c r="D544" t="s">
        <v>218</v>
      </c>
    </row>
    <row r="545" spans="4:5">
      <c r="D545" t="s">
        <v>217</v>
      </c>
    </row>
    <row r="546" spans="4:5">
      <c r="D546" s="20" t="s">
        <v>216</v>
      </c>
      <c r="E546" t="s">
        <v>215</v>
      </c>
    </row>
    <row r="547" spans="4:5">
      <c r="D547" t="s">
        <v>214</v>
      </c>
      <c r="E547" t="s">
        <v>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80D3-F145-4745-B9FD-90D9683D7670}">
  <dimension ref="A1:L25"/>
  <sheetViews>
    <sheetView showGridLines="0" workbookViewId="0">
      <selection activeCell="C30" sqref="C30"/>
    </sheetView>
  </sheetViews>
  <sheetFormatPr defaultRowHeight="12.75"/>
  <sheetData>
    <row r="1" spans="1:5" ht="15">
      <c r="A1" s="93"/>
      <c r="B1" s="93"/>
      <c r="C1" s="93"/>
      <c r="D1" s="93"/>
      <c r="E1" s="93"/>
    </row>
    <row r="2" spans="1:5" ht="15">
      <c r="A2" s="94"/>
      <c r="B2" s="94"/>
      <c r="C2" s="94"/>
      <c r="D2" s="94"/>
      <c r="E2" s="94"/>
    </row>
    <row r="3" spans="1:5" ht="15">
      <c r="A3" s="94"/>
      <c r="B3" s="94"/>
      <c r="C3" s="94"/>
      <c r="D3" s="94"/>
      <c r="E3" s="94"/>
    </row>
    <row r="4" spans="1:5" ht="30">
      <c r="A4" s="94"/>
      <c r="B4" s="94"/>
      <c r="C4" s="94"/>
      <c r="D4" s="95"/>
      <c r="E4" s="94"/>
    </row>
    <row r="5" spans="1:5" ht="15">
      <c r="A5" s="94"/>
      <c r="B5" s="94"/>
      <c r="C5" s="94"/>
      <c r="D5" s="94"/>
      <c r="E5" s="94"/>
    </row>
    <row r="6" spans="1:5" ht="23.25">
      <c r="A6" s="94"/>
      <c r="B6" s="96" t="s">
        <v>59</v>
      </c>
      <c r="C6" s="94"/>
      <c r="D6" s="97"/>
      <c r="E6" s="94"/>
    </row>
    <row r="7" spans="1:5" ht="15">
      <c r="A7" s="94"/>
      <c r="B7" s="94"/>
      <c r="C7" s="94"/>
      <c r="D7" s="94"/>
      <c r="E7" s="94"/>
    </row>
    <row r="8" spans="1:5" ht="15">
      <c r="A8" s="94"/>
      <c r="B8" s="94"/>
      <c r="C8" s="94"/>
      <c r="D8" s="94"/>
      <c r="E8" s="94"/>
    </row>
    <row r="9" spans="1:5" ht="15">
      <c r="A9" s="94"/>
      <c r="B9" s="94"/>
      <c r="C9" s="94"/>
      <c r="D9" s="94"/>
      <c r="E9" s="94"/>
    </row>
    <row r="10" spans="1:5" ht="15">
      <c r="A10" s="94"/>
      <c r="B10" s="94"/>
      <c r="C10" s="94"/>
      <c r="D10" s="94"/>
      <c r="E10" s="94"/>
    </row>
    <row r="11" spans="1:5" ht="15">
      <c r="A11" s="94"/>
      <c r="B11" s="94"/>
      <c r="C11" s="94"/>
      <c r="D11" s="94"/>
      <c r="E11" s="94"/>
    </row>
    <row r="14" spans="1:5" ht="20.25">
      <c r="B14" s="98" t="s">
        <v>58</v>
      </c>
    </row>
    <row r="15" spans="1:5" ht="20.25">
      <c r="B15" s="98"/>
    </row>
    <row r="16" spans="1:5" ht="20.25">
      <c r="B16" s="98"/>
    </row>
    <row r="17" spans="1:12" ht="20.25">
      <c r="B17" s="98"/>
    </row>
    <row r="18" spans="1:12" ht="20.25">
      <c r="B18" s="98"/>
    </row>
    <row r="21" spans="1:12">
      <c r="B21" t="s">
        <v>60</v>
      </c>
    </row>
    <row r="22" spans="1:12" ht="20.25">
      <c r="A22" s="94"/>
      <c r="B22" s="94"/>
      <c r="C22" s="94"/>
      <c r="D22" s="99"/>
      <c r="E22" s="94"/>
      <c r="F22" s="94"/>
      <c r="G22" s="94"/>
      <c r="H22" s="94"/>
      <c r="I22" s="94"/>
      <c r="J22" s="94"/>
      <c r="K22" s="94"/>
    </row>
    <row r="23" spans="1:12" ht="15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</row>
    <row r="24" spans="1:12" ht="15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</row>
    <row r="25" spans="1:12" ht="15.75" thickBot="1">
      <c r="A25" s="100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D27F-8EFF-4D32-B80B-768CCA5D3FE3}">
  <dimension ref="B1:AF66"/>
  <sheetViews>
    <sheetView showGridLines="0" zoomScaleNormal="100" workbookViewId="0">
      <selection activeCell="R30" sqref="R30"/>
    </sheetView>
  </sheetViews>
  <sheetFormatPr defaultRowHeight="12.75"/>
  <cols>
    <col min="5" max="5" width="11.28515625" customWidth="1"/>
    <col min="6" max="6" width="12" customWidth="1"/>
    <col min="8" max="9" width="0" hidden="1" customWidth="1"/>
    <col min="24" max="25" width="0" hidden="1" customWidth="1"/>
  </cols>
  <sheetData>
    <row r="1" spans="2:32" ht="20.25">
      <c r="B1" s="291" t="str">
        <f>'Cover Page'!B14</f>
        <v>Blu Containers Company</v>
      </c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</row>
    <row r="2" spans="2:32" ht="20.25">
      <c r="B2" s="291" t="s">
        <v>61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</row>
    <row r="3" spans="2:32" ht="2.25" customHeight="1" thickBot="1"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</row>
    <row r="5" spans="2:32" ht="18.75">
      <c r="C5" s="217" t="s">
        <v>125</v>
      </c>
      <c r="D5" s="218"/>
      <c r="E5" s="218"/>
      <c r="F5" s="218"/>
      <c r="G5" s="218"/>
      <c r="H5" s="219"/>
      <c r="I5" s="219"/>
      <c r="J5" s="219"/>
      <c r="K5" s="219"/>
      <c r="L5" s="219"/>
      <c r="M5" s="219"/>
      <c r="N5" s="219"/>
      <c r="O5" s="219"/>
      <c r="P5" s="219"/>
      <c r="T5" s="217" t="str">
        <f>"SUMMMARY VALUES - "&amp;UPPER(CHOOSE(Scenarios!$D$6,Scenarios!C14,Scenarios!C15,Scenarios!C16))</f>
        <v>SUMMMARY VALUES - BASE CASE</v>
      </c>
      <c r="U5" s="218"/>
      <c r="V5" s="218"/>
      <c r="W5" s="218"/>
      <c r="X5" s="219"/>
      <c r="Y5" s="219"/>
      <c r="Z5" s="219"/>
      <c r="AA5" s="219"/>
      <c r="AB5" s="219"/>
      <c r="AC5" s="219"/>
      <c r="AD5" s="219"/>
      <c r="AE5" s="219"/>
      <c r="AF5" s="246"/>
    </row>
    <row r="6" spans="2:32">
      <c r="C6" s="220"/>
      <c r="D6" s="221"/>
      <c r="E6" s="221"/>
      <c r="F6" s="221"/>
      <c r="G6" s="221"/>
      <c r="H6" s="222"/>
      <c r="I6" s="222"/>
      <c r="J6" s="222"/>
      <c r="K6" s="223" t="s">
        <v>126</v>
      </c>
      <c r="L6" s="224"/>
      <c r="M6" s="224"/>
      <c r="N6" s="224"/>
      <c r="O6" s="224"/>
      <c r="P6" s="225"/>
      <c r="T6" s="264"/>
      <c r="U6" s="265"/>
      <c r="V6" s="265"/>
      <c r="W6" s="265"/>
      <c r="X6" s="265"/>
      <c r="Y6" s="265"/>
      <c r="Z6" s="265"/>
      <c r="AA6" s="266" t="s">
        <v>126</v>
      </c>
      <c r="AB6" s="267"/>
      <c r="AC6" s="267"/>
      <c r="AD6" s="267"/>
      <c r="AE6" s="267"/>
      <c r="AF6" s="268"/>
    </row>
    <row r="7" spans="2:32">
      <c r="C7" s="226"/>
      <c r="D7" s="227" t="s">
        <v>56</v>
      </c>
      <c r="E7" s="228"/>
      <c r="F7" s="227" t="s">
        <v>127</v>
      </c>
      <c r="G7" s="228"/>
      <c r="H7" s="229">
        <f>X7</f>
        <v>2020</v>
      </c>
      <c r="I7" s="229">
        <f t="shared" ref="I7:O7" si="0">Y7</f>
        <v>2021</v>
      </c>
      <c r="J7" s="229">
        <f t="shared" si="0"/>
        <v>2022</v>
      </c>
      <c r="K7" s="230">
        <f t="shared" si="0"/>
        <v>2023</v>
      </c>
      <c r="L7" s="230">
        <f t="shared" si="0"/>
        <v>2024</v>
      </c>
      <c r="M7" s="230">
        <f t="shared" si="0"/>
        <v>2025</v>
      </c>
      <c r="N7" s="230">
        <f t="shared" si="0"/>
        <v>2026</v>
      </c>
      <c r="O7" s="230">
        <f t="shared" si="0"/>
        <v>2027</v>
      </c>
      <c r="P7" s="231"/>
      <c r="T7" s="269"/>
      <c r="U7" s="270"/>
      <c r="V7" s="270"/>
      <c r="W7" s="270"/>
      <c r="X7" s="271">
        <f>Model!H78</f>
        <v>2020</v>
      </c>
      <c r="Y7" s="271">
        <f>Model!I78</f>
        <v>2021</v>
      </c>
      <c r="Z7" s="271">
        <f>Model!J78</f>
        <v>2022</v>
      </c>
      <c r="AA7" s="271">
        <f>Model!K78</f>
        <v>2023</v>
      </c>
      <c r="AB7" s="271">
        <f>Model!L78</f>
        <v>2024</v>
      </c>
      <c r="AC7" s="271">
        <f>Model!M78</f>
        <v>2025</v>
      </c>
      <c r="AD7" s="271">
        <f>Model!N78</f>
        <v>2026</v>
      </c>
      <c r="AE7" s="271">
        <f>Model!O78</f>
        <v>2027</v>
      </c>
      <c r="AF7" s="272"/>
    </row>
    <row r="8" spans="2:32" ht="5.25" customHeight="1">
      <c r="C8" s="232"/>
      <c r="D8" s="233"/>
      <c r="E8" s="233"/>
      <c r="F8" s="233"/>
      <c r="G8" s="233"/>
      <c r="H8" s="234"/>
      <c r="I8" s="234"/>
      <c r="J8" s="235"/>
      <c r="K8" s="236"/>
      <c r="L8" s="236"/>
      <c r="M8" s="236"/>
      <c r="N8" s="236"/>
      <c r="O8" s="236"/>
      <c r="P8" s="237"/>
      <c r="T8" s="273"/>
      <c r="U8" s="246"/>
      <c r="V8" s="246"/>
      <c r="W8" s="246"/>
      <c r="X8" s="274"/>
      <c r="Y8" s="274"/>
      <c r="Z8" s="275"/>
      <c r="AA8" s="7"/>
      <c r="AB8" s="7"/>
      <c r="AC8" s="7"/>
      <c r="AD8" s="7"/>
      <c r="AE8" s="7"/>
      <c r="AF8" s="276"/>
    </row>
    <row r="9" spans="2:32" ht="5.25" customHeight="1">
      <c r="C9" s="238"/>
      <c r="D9" s="239"/>
      <c r="E9" s="239"/>
      <c r="F9" s="239"/>
      <c r="G9" s="239"/>
      <c r="H9" s="240"/>
      <c r="I9" s="240"/>
      <c r="J9" s="241"/>
      <c r="K9" s="242"/>
      <c r="L9" s="242"/>
      <c r="M9" s="242"/>
      <c r="N9" s="242"/>
      <c r="O9" s="242"/>
      <c r="P9" s="243"/>
      <c r="T9" s="273"/>
      <c r="U9" s="246"/>
      <c r="V9" s="246"/>
      <c r="W9" s="246"/>
      <c r="X9" s="274"/>
      <c r="Y9" s="274"/>
      <c r="Z9" s="275"/>
      <c r="AA9" s="7"/>
      <c r="AB9" s="7"/>
      <c r="AC9" s="7"/>
      <c r="AD9" s="7"/>
      <c r="AE9" s="7"/>
      <c r="AF9" s="276"/>
    </row>
    <row r="10" spans="2:32">
      <c r="C10" s="244"/>
      <c r="D10" s="245" t="s">
        <v>128</v>
      </c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7"/>
      <c r="T10" s="273"/>
      <c r="U10" s="245" t="s">
        <v>128</v>
      </c>
      <c r="V10" s="246"/>
      <c r="W10" s="246"/>
      <c r="X10" s="246"/>
      <c r="Y10" s="246"/>
      <c r="Z10" s="246"/>
      <c r="AA10" s="246"/>
      <c r="AB10" s="246"/>
      <c r="AC10" s="246"/>
      <c r="AD10" s="246"/>
      <c r="AE10" s="246"/>
      <c r="AF10" s="276"/>
    </row>
    <row r="11" spans="2:32">
      <c r="C11" s="244"/>
      <c r="D11" s="245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7"/>
      <c r="T11" s="273"/>
      <c r="U11" s="245"/>
      <c r="V11" s="246"/>
      <c r="W11" s="246"/>
      <c r="X11" s="246"/>
      <c r="Y11" s="246"/>
      <c r="Z11" s="246"/>
      <c r="AA11" s="246"/>
      <c r="AB11" s="246"/>
      <c r="AC11" s="246"/>
      <c r="AD11" s="246"/>
      <c r="AE11" s="246"/>
      <c r="AF11" s="276"/>
    </row>
    <row r="12" spans="2:32">
      <c r="C12" s="244"/>
      <c r="D12" s="246"/>
      <c r="E12" s="246" t="s">
        <v>0</v>
      </c>
      <c r="F12" s="248"/>
      <c r="G12" s="246"/>
      <c r="H12" s="249"/>
      <c r="I12" s="249"/>
      <c r="J12" s="249">
        <v>204.79999999999998</v>
      </c>
      <c r="K12" s="249">
        <v>252.46209677419353</v>
      </c>
      <c r="L12" s="249">
        <v>233.58111483870971</v>
      </c>
      <c r="M12" s="249">
        <v>281.23110855638714</v>
      </c>
      <c r="N12" s="249">
        <v>281.22955436627001</v>
      </c>
      <c r="O12" s="249">
        <v>268.17287049000004</v>
      </c>
      <c r="P12" s="247"/>
      <c r="T12" s="273"/>
      <c r="U12" s="246"/>
      <c r="V12" s="246" t="s">
        <v>0</v>
      </c>
      <c r="W12" s="277" t="s">
        <v>131</v>
      </c>
      <c r="X12" s="278"/>
      <c r="Y12" s="278"/>
      <c r="Z12" s="278">
        <f>Model!J28</f>
        <v>204.79999999999998</v>
      </c>
      <c r="AA12" s="278">
        <f>Model!K28</f>
        <v>252.46209677419353</v>
      </c>
      <c r="AB12" s="278">
        <f>Model!L28</f>
        <v>233.58111483870971</v>
      </c>
      <c r="AC12" s="278">
        <f ca="1">Model!M28</f>
        <v>281.23110855638714</v>
      </c>
      <c r="AD12" s="278">
        <f ca="1">Model!N28</f>
        <v>281.22955436627001</v>
      </c>
      <c r="AE12" s="278">
        <f ca="1">Model!O28</f>
        <v>268.17287049000004</v>
      </c>
      <c r="AF12" s="276"/>
    </row>
    <row r="13" spans="2:32">
      <c r="C13" s="244"/>
      <c r="D13" s="246"/>
      <c r="E13" s="250" t="s">
        <v>129</v>
      </c>
      <c r="F13" s="251"/>
      <c r="G13" s="250"/>
      <c r="H13" s="252"/>
      <c r="I13" s="253"/>
      <c r="J13" s="253"/>
      <c r="K13" s="253">
        <v>0.23272508190524199</v>
      </c>
      <c r="L13" s="253">
        <v>-7.4787392550143106E-2</v>
      </c>
      <c r="M13" s="253">
        <v>0.203997629476939</v>
      </c>
      <c r="N13" s="253">
        <v>-5.5263805099903252E-6</v>
      </c>
      <c r="O13" s="253">
        <v>-4.6427139941576323E-2</v>
      </c>
      <c r="P13" s="247"/>
      <c r="T13" s="273"/>
      <c r="U13" s="246"/>
      <c r="V13" s="250" t="s">
        <v>129</v>
      </c>
      <c r="W13" s="251" t="s">
        <v>132</v>
      </c>
      <c r="X13" s="246"/>
      <c r="Y13" s="279"/>
      <c r="Z13" s="279"/>
      <c r="AA13" s="279">
        <f>AA12/Z12-1</f>
        <v>0.23272508190524199</v>
      </c>
      <c r="AB13" s="279">
        <f t="shared" ref="AB13:AE13" si="1">AB12/AA12-1</f>
        <v>-7.4787392550143106E-2</v>
      </c>
      <c r="AC13" s="279">
        <f t="shared" ca="1" si="1"/>
        <v>0.203997629476939</v>
      </c>
      <c r="AD13" s="279">
        <f t="shared" ca="1" si="1"/>
        <v>-5.5263805099903252E-6</v>
      </c>
      <c r="AE13" s="279">
        <f t="shared" ca="1" si="1"/>
        <v>-4.6427139941576323E-2</v>
      </c>
      <c r="AF13" s="276"/>
    </row>
    <row r="14" spans="2:32">
      <c r="C14" s="244"/>
      <c r="D14" s="246"/>
      <c r="E14" s="254"/>
      <c r="F14" s="254"/>
      <c r="G14" s="254"/>
      <c r="H14" s="255"/>
      <c r="I14" s="255"/>
      <c r="J14" s="255"/>
      <c r="K14" s="255"/>
      <c r="L14" s="255"/>
      <c r="M14" s="255"/>
      <c r="N14" s="255"/>
      <c r="O14" s="255"/>
      <c r="P14" s="247"/>
      <c r="T14" s="273"/>
      <c r="U14" s="246"/>
      <c r="V14" s="246"/>
      <c r="W14" s="246"/>
      <c r="X14" s="246"/>
      <c r="Y14" s="246"/>
      <c r="Z14" s="246"/>
      <c r="AA14" s="246"/>
      <c r="AB14" s="246"/>
      <c r="AC14" s="246"/>
      <c r="AD14" s="246"/>
      <c r="AE14" s="246"/>
      <c r="AF14" s="276"/>
    </row>
    <row r="15" spans="2:32">
      <c r="C15" s="244"/>
      <c r="D15" s="246"/>
      <c r="E15" s="246"/>
      <c r="F15" s="246"/>
      <c r="G15" s="246"/>
      <c r="H15" s="252"/>
      <c r="I15" s="252"/>
      <c r="J15" s="252"/>
      <c r="K15" s="252"/>
      <c r="L15" s="252"/>
      <c r="M15" s="252"/>
      <c r="N15" s="252"/>
      <c r="O15" s="252"/>
      <c r="P15" s="247"/>
      <c r="T15" s="273"/>
      <c r="U15" s="246"/>
      <c r="V15" s="246"/>
      <c r="W15" s="246"/>
      <c r="X15" s="246"/>
      <c r="Y15" s="246"/>
      <c r="Z15" s="246"/>
      <c r="AA15" s="246"/>
      <c r="AB15" s="246"/>
      <c r="AC15" s="246"/>
      <c r="AD15" s="246"/>
      <c r="AE15" s="246"/>
      <c r="AF15" s="276"/>
    </row>
    <row r="16" spans="2:32">
      <c r="C16" s="244"/>
      <c r="D16" s="246"/>
      <c r="E16" s="246" t="s">
        <v>2</v>
      </c>
      <c r="F16" s="248"/>
      <c r="G16" s="246"/>
      <c r="H16" s="249"/>
      <c r="I16" s="249"/>
      <c r="J16" s="249">
        <v>33.099999999999966</v>
      </c>
      <c r="K16" s="249">
        <v>73.875241935483842</v>
      </c>
      <c r="L16" s="249">
        <v>47.11049922580645</v>
      </c>
      <c r="M16" s="249">
        <v>86.456885914219384</v>
      </c>
      <c r="N16" s="249">
        <v>76.709884589719195</v>
      </c>
      <c r="O16" s="249">
        <v>54.342095904000075</v>
      </c>
      <c r="P16" s="256"/>
      <c r="T16" s="273"/>
      <c r="U16" s="246"/>
      <c r="V16" s="246" t="s">
        <v>2</v>
      </c>
      <c r="W16" s="277" t="s">
        <v>131</v>
      </c>
      <c r="X16" s="278"/>
      <c r="Y16" s="278"/>
      <c r="Z16" s="278">
        <f>Model!J90</f>
        <v>33.099999999999966</v>
      </c>
      <c r="AA16" s="278">
        <f>Model!K90</f>
        <v>73.875241935483842</v>
      </c>
      <c r="AB16" s="278">
        <f>Model!L90</f>
        <v>47.11049922580645</v>
      </c>
      <c r="AC16" s="278">
        <f ca="1">Model!M90</f>
        <v>86.456885914219384</v>
      </c>
      <c r="AD16" s="278">
        <f ca="1">Model!N90</f>
        <v>76.709884589719195</v>
      </c>
      <c r="AE16" s="278">
        <f ca="1">Model!O90</f>
        <v>54.342095904000075</v>
      </c>
      <c r="AF16" s="276"/>
    </row>
    <row r="17" spans="2:32">
      <c r="C17" s="244"/>
      <c r="D17" s="246"/>
      <c r="E17" s="250" t="s">
        <v>130</v>
      </c>
      <c r="F17" s="251"/>
      <c r="G17" s="250"/>
      <c r="H17" s="253"/>
      <c r="I17" s="253"/>
      <c r="J17" s="253">
        <v>0.16162109374999983</v>
      </c>
      <c r="K17" s="253">
        <v>0.29261914116778937</v>
      </c>
      <c r="L17" s="253">
        <v>0.20168796290888824</v>
      </c>
      <c r="M17" s="253">
        <v>0.30742291049528286</v>
      </c>
      <c r="N17" s="253">
        <v>0.27276608520956924</v>
      </c>
      <c r="O17" s="253">
        <v>0.20263830492885912</v>
      </c>
      <c r="P17" s="257"/>
      <c r="T17" s="273"/>
      <c r="U17" s="246"/>
      <c r="V17" s="250" t="s">
        <v>130</v>
      </c>
      <c r="W17" s="251" t="s">
        <v>132</v>
      </c>
      <c r="X17" s="279"/>
      <c r="Y17" s="279"/>
      <c r="Z17" s="279">
        <f>Z16/Z12</f>
        <v>0.16162109374999983</v>
      </c>
      <c r="AA17" s="279">
        <f t="shared" ref="AA17:AE17" si="2">AA16/AA12</f>
        <v>0.29261914116778937</v>
      </c>
      <c r="AB17" s="279">
        <f t="shared" si="2"/>
        <v>0.20168796290888824</v>
      </c>
      <c r="AC17" s="279">
        <f t="shared" ca="1" si="2"/>
        <v>0.30742291049528286</v>
      </c>
      <c r="AD17" s="279">
        <f t="shared" ca="1" si="2"/>
        <v>0.27276608520956924</v>
      </c>
      <c r="AE17" s="279">
        <f t="shared" ca="1" si="2"/>
        <v>0.20263830492885912</v>
      </c>
      <c r="AF17" s="276"/>
    </row>
    <row r="18" spans="2:32">
      <c r="C18" s="244"/>
      <c r="D18" s="246"/>
      <c r="E18" s="250" t="s">
        <v>129</v>
      </c>
      <c r="F18" s="251"/>
      <c r="G18" s="250"/>
      <c r="H18" s="258"/>
      <c r="I18" s="253"/>
      <c r="J18" s="253"/>
      <c r="K18" s="253">
        <v>0.81052568311671669</v>
      </c>
      <c r="L18" s="253">
        <v>-0.31074924865137477</v>
      </c>
      <c r="M18" s="253">
        <v>0.5242501637748207</v>
      </c>
      <c r="N18" s="253">
        <v>-0.11273338486672546</v>
      </c>
      <c r="O18" s="253">
        <v>-0.25709860603392154</v>
      </c>
      <c r="P18" s="257"/>
      <c r="T18" s="273"/>
      <c r="U18" s="246"/>
      <c r="V18" s="250" t="s">
        <v>129</v>
      </c>
      <c r="W18" s="251" t="s">
        <v>132</v>
      </c>
      <c r="X18" s="251"/>
      <c r="Y18" s="279"/>
      <c r="Z18" s="279"/>
      <c r="AA18" s="279">
        <f>AA17/Z17-1</f>
        <v>0.81052568311671669</v>
      </c>
      <c r="AB18" s="279">
        <f t="shared" ref="AB18:AE18" si="3">AB17/AA17-1</f>
        <v>-0.31074924865137477</v>
      </c>
      <c r="AC18" s="279">
        <f t="shared" ca="1" si="3"/>
        <v>0.5242501637748207</v>
      </c>
      <c r="AD18" s="279">
        <f t="shared" ca="1" si="3"/>
        <v>-0.11273338486672546</v>
      </c>
      <c r="AE18" s="279">
        <f t="shared" ca="1" si="3"/>
        <v>-0.25709860603392154</v>
      </c>
      <c r="AF18" s="276"/>
    </row>
    <row r="19" spans="2:32">
      <c r="C19" s="244"/>
      <c r="D19" s="246"/>
      <c r="E19" s="254"/>
      <c r="F19" s="254"/>
      <c r="G19" s="254"/>
      <c r="H19" s="255"/>
      <c r="I19" s="255"/>
      <c r="J19" s="255"/>
      <c r="K19" s="255"/>
      <c r="L19" s="255"/>
      <c r="M19" s="255"/>
      <c r="N19" s="255"/>
      <c r="O19" s="255"/>
      <c r="P19" s="247"/>
      <c r="T19" s="273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76"/>
    </row>
    <row r="20" spans="2:32">
      <c r="C20" s="244"/>
      <c r="D20" s="246"/>
      <c r="E20" s="246"/>
      <c r="F20" s="246"/>
      <c r="G20" s="246"/>
      <c r="H20" s="252"/>
      <c r="I20" s="252"/>
      <c r="J20" s="252"/>
      <c r="K20" s="252"/>
      <c r="L20" s="252"/>
      <c r="M20" s="252"/>
      <c r="N20" s="252"/>
      <c r="O20" s="252"/>
      <c r="P20" s="247"/>
      <c r="T20" s="273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76"/>
    </row>
    <row r="21" spans="2:32">
      <c r="C21" s="244"/>
      <c r="D21" s="246"/>
      <c r="E21" s="246" t="s">
        <v>5</v>
      </c>
      <c r="F21" s="248"/>
      <c r="G21" s="246"/>
      <c r="H21" s="249"/>
      <c r="I21" s="249"/>
      <c r="J21" s="249">
        <v>2.1999999999999651</v>
      </c>
      <c r="K21" s="249">
        <v>29.707323924731163</v>
      </c>
      <c r="L21" s="249">
        <v>12.883848316158492</v>
      </c>
      <c r="M21" s="249">
        <v>38.802422097145843</v>
      </c>
      <c r="N21" s="249">
        <v>33.318943781644421</v>
      </c>
      <c r="O21" s="249">
        <v>19.4273807642682</v>
      </c>
      <c r="P21" s="256"/>
      <c r="T21" s="273"/>
      <c r="U21" s="246"/>
      <c r="V21" s="246" t="s">
        <v>5</v>
      </c>
      <c r="W21" s="277" t="s">
        <v>131</v>
      </c>
      <c r="X21" s="278"/>
      <c r="Y21" s="278"/>
      <c r="Z21" s="278">
        <f>Model!J102</f>
        <v>2.1999999999999651</v>
      </c>
      <c r="AA21" s="278">
        <f>Model!K102</f>
        <v>29.707323924731163</v>
      </c>
      <c r="AB21" s="278">
        <f>Model!L102</f>
        <v>12.883848316158492</v>
      </c>
      <c r="AC21" s="278">
        <f ca="1">Model!M102</f>
        <v>38.802422097145843</v>
      </c>
      <c r="AD21" s="278">
        <f ca="1">Model!N102</f>
        <v>33.318943781644421</v>
      </c>
      <c r="AE21" s="278">
        <f ca="1">Model!O102</f>
        <v>19.4273807642682</v>
      </c>
      <c r="AF21" s="276"/>
    </row>
    <row r="22" spans="2:32">
      <c r="C22" s="244"/>
      <c r="D22" s="246"/>
      <c r="E22" s="250" t="s">
        <v>130</v>
      </c>
      <c r="F22" s="259"/>
      <c r="G22" s="250"/>
      <c r="H22" s="253"/>
      <c r="I22" s="253"/>
      <c r="J22" s="253">
        <v>1.074218749999983E-2</v>
      </c>
      <c r="K22" s="253">
        <v>0.11767043173733088</v>
      </c>
      <c r="L22" s="253">
        <v>5.5157919445049865E-2</v>
      </c>
      <c r="M22" s="253">
        <v>0.13797343507382973</v>
      </c>
      <c r="N22" s="253">
        <v>0.11847596834808559</v>
      </c>
      <c r="O22" s="253">
        <v>7.244349784066853E-2</v>
      </c>
      <c r="P22" s="256"/>
      <c r="T22" s="273"/>
      <c r="U22" s="246"/>
      <c r="V22" s="250" t="s">
        <v>130</v>
      </c>
      <c r="W22" s="251" t="s">
        <v>132</v>
      </c>
      <c r="X22" s="279"/>
      <c r="Y22" s="279"/>
      <c r="Z22" s="279">
        <f>Z21/Z12</f>
        <v>1.074218749999983E-2</v>
      </c>
      <c r="AA22" s="279">
        <f t="shared" ref="AA22:AE22" si="4">AA21/AA12</f>
        <v>0.11767043173733088</v>
      </c>
      <c r="AB22" s="279">
        <f t="shared" si="4"/>
        <v>5.5157919445049865E-2</v>
      </c>
      <c r="AC22" s="279">
        <f t="shared" ca="1" si="4"/>
        <v>0.13797343507382973</v>
      </c>
      <c r="AD22" s="279">
        <f t="shared" ca="1" si="4"/>
        <v>0.11847596834808559</v>
      </c>
      <c r="AE22" s="279">
        <f t="shared" ca="1" si="4"/>
        <v>7.244349784066853E-2</v>
      </c>
      <c r="AF22" s="276"/>
    </row>
    <row r="23" spans="2:32">
      <c r="C23" s="244"/>
      <c r="D23" s="246"/>
      <c r="E23" s="250" t="s">
        <v>129</v>
      </c>
      <c r="F23" s="259"/>
      <c r="G23" s="250"/>
      <c r="H23" s="258"/>
      <c r="I23" s="253"/>
      <c r="J23" s="253"/>
      <c r="K23" s="253">
        <v>9.9540474635480667</v>
      </c>
      <c r="L23" s="253">
        <v>-0.53125081100938076</v>
      </c>
      <c r="M23" s="253">
        <v>1.5014256603946676</v>
      </c>
      <c r="N23" s="253">
        <v>-0.14131319348040461</v>
      </c>
      <c r="O23" s="253">
        <v>-0.38853846184377594</v>
      </c>
      <c r="P23" s="256"/>
      <c r="T23" s="273"/>
      <c r="U23" s="246"/>
      <c r="V23" s="250" t="s">
        <v>129</v>
      </c>
      <c r="W23" s="251" t="s">
        <v>132</v>
      </c>
      <c r="X23" s="251"/>
      <c r="Y23" s="279"/>
      <c r="Z23" s="279"/>
      <c r="AA23" s="279">
        <f>AA22/Z22-1</f>
        <v>9.9540474635480667</v>
      </c>
      <c r="AB23" s="279">
        <f t="shared" ref="AB23:AE23" si="5">AB22/AA22-1</f>
        <v>-0.53125081100938076</v>
      </c>
      <c r="AC23" s="279">
        <f t="shared" ca="1" si="5"/>
        <v>1.5014256603946676</v>
      </c>
      <c r="AD23" s="279">
        <f t="shared" ca="1" si="5"/>
        <v>-0.14131319348040461</v>
      </c>
      <c r="AE23" s="279">
        <f t="shared" ca="1" si="5"/>
        <v>-0.38853846184377594</v>
      </c>
      <c r="AF23" s="276"/>
    </row>
    <row r="24" spans="2:32">
      <c r="C24" s="260"/>
      <c r="D24" s="261"/>
      <c r="E24" s="262"/>
      <c r="F24" s="261"/>
      <c r="G24" s="261"/>
      <c r="H24" s="261"/>
      <c r="I24" s="261"/>
      <c r="J24" s="261"/>
      <c r="K24" s="261"/>
      <c r="L24" s="261"/>
      <c r="M24" s="261"/>
      <c r="N24" s="261"/>
      <c r="O24" s="261"/>
      <c r="P24" s="263"/>
      <c r="T24" s="280"/>
      <c r="U24" s="281"/>
      <c r="V24" s="281"/>
      <c r="W24" s="281"/>
      <c r="X24" s="281"/>
      <c r="Y24" s="281"/>
      <c r="Z24" s="281"/>
      <c r="AA24" s="281"/>
      <c r="AB24" s="281"/>
      <c r="AC24" s="281"/>
      <c r="AD24" s="281"/>
      <c r="AE24" s="281"/>
      <c r="AF24" s="282"/>
    </row>
    <row r="26" spans="2:32" ht="18.75">
      <c r="B26" s="246"/>
      <c r="C26" s="217" t="s">
        <v>133</v>
      </c>
      <c r="D26" s="218"/>
      <c r="E26" s="218"/>
      <c r="F26" s="218"/>
      <c r="G26" s="218"/>
      <c r="H26" s="219"/>
      <c r="I26" s="219"/>
      <c r="J26" s="219"/>
      <c r="K26" s="219"/>
      <c r="L26" s="219"/>
      <c r="M26" s="219"/>
      <c r="N26" s="219"/>
      <c r="O26" s="219"/>
      <c r="P26" s="219"/>
      <c r="Q26" s="246"/>
    </row>
    <row r="27" spans="2:32">
      <c r="B27" s="283"/>
      <c r="C27" s="220"/>
      <c r="D27" s="221"/>
      <c r="E27" s="221"/>
      <c r="F27" s="221"/>
      <c r="G27" s="221"/>
      <c r="H27" s="222"/>
      <c r="I27" s="222"/>
      <c r="J27" s="222"/>
      <c r="K27" s="223" t="s">
        <v>126</v>
      </c>
      <c r="L27" s="224"/>
      <c r="M27" s="224"/>
      <c r="N27" s="224"/>
      <c r="O27" s="224"/>
      <c r="P27" s="284"/>
      <c r="Q27" s="283"/>
    </row>
    <row r="28" spans="2:32">
      <c r="B28" s="283"/>
      <c r="C28" s="226"/>
      <c r="D28" s="227" t="s">
        <v>56</v>
      </c>
      <c r="E28" s="228"/>
      <c r="F28" s="227" t="s">
        <v>127</v>
      </c>
      <c r="G28" s="228"/>
      <c r="H28" s="229">
        <f t="shared" ref="H28:O28" si="6">H7</f>
        <v>2020</v>
      </c>
      <c r="I28" s="229">
        <f t="shared" si="6"/>
        <v>2021</v>
      </c>
      <c r="J28" s="229">
        <f t="shared" si="6"/>
        <v>2022</v>
      </c>
      <c r="K28" s="230">
        <f t="shared" si="6"/>
        <v>2023</v>
      </c>
      <c r="L28" s="230">
        <f t="shared" si="6"/>
        <v>2024</v>
      </c>
      <c r="M28" s="230">
        <f t="shared" si="6"/>
        <v>2025</v>
      </c>
      <c r="N28" s="230">
        <f t="shared" si="6"/>
        <v>2026</v>
      </c>
      <c r="O28" s="230">
        <f t="shared" si="6"/>
        <v>2027</v>
      </c>
      <c r="P28" s="285"/>
      <c r="Q28" s="283"/>
    </row>
    <row r="29" spans="2:32">
      <c r="B29" s="246"/>
      <c r="C29" s="232"/>
      <c r="D29" s="233"/>
      <c r="E29" s="233"/>
      <c r="F29" s="233"/>
      <c r="G29" s="233"/>
      <c r="H29" s="234"/>
      <c r="I29" s="234"/>
      <c r="J29" s="235"/>
      <c r="K29" s="236"/>
      <c r="L29" s="236"/>
      <c r="M29" s="236"/>
      <c r="N29" s="236"/>
      <c r="O29" s="236"/>
      <c r="P29" s="237"/>
      <c r="Q29" s="246"/>
    </row>
    <row r="30" spans="2:32">
      <c r="B30" s="246"/>
      <c r="C30" s="238"/>
      <c r="D30" s="239"/>
      <c r="E30" s="239"/>
      <c r="F30" s="239"/>
      <c r="G30" s="239"/>
      <c r="H30" s="240"/>
      <c r="I30" s="240"/>
      <c r="J30" s="241"/>
      <c r="K30" s="242"/>
      <c r="L30" s="242"/>
      <c r="M30" s="242"/>
      <c r="N30" s="242"/>
      <c r="O30" s="242"/>
      <c r="P30" s="243"/>
      <c r="Q30" s="246"/>
    </row>
    <row r="31" spans="2:32">
      <c r="B31" s="246"/>
      <c r="C31" s="244"/>
      <c r="D31" s="245" t="s">
        <v>128</v>
      </c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7"/>
      <c r="Q31" s="246"/>
    </row>
    <row r="32" spans="2:32">
      <c r="B32" s="246"/>
      <c r="C32" s="244"/>
      <c r="D32" s="245"/>
      <c r="E32" s="246"/>
      <c r="F32" s="246"/>
      <c r="G32" s="246"/>
      <c r="H32" s="246"/>
      <c r="I32" s="246"/>
      <c r="J32" s="246"/>
      <c r="K32" s="246"/>
      <c r="L32" s="246"/>
      <c r="M32" s="246"/>
      <c r="N32" s="246"/>
      <c r="O32" s="246"/>
      <c r="P32" s="247"/>
      <c r="Q32" s="246"/>
    </row>
    <row r="33" spans="2:17">
      <c r="B33" s="246"/>
      <c r="C33" s="244"/>
      <c r="D33" s="246"/>
      <c r="E33" s="246" t="s">
        <v>0</v>
      </c>
      <c r="F33" s="248"/>
      <c r="G33" s="246"/>
      <c r="H33" s="249"/>
      <c r="I33" s="249"/>
      <c r="J33" s="249">
        <v>204.79999999999998</v>
      </c>
      <c r="K33" s="249">
        <v>264.10862903225802</v>
      </c>
      <c r="L33" s="249">
        <v>244.64311560000002</v>
      </c>
      <c r="M33" s="249">
        <v>297.21531508419486</v>
      </c>
      <c r="N33" s="249">
        <v>300.41838123259203</v>
      </c>
      <c r="O33" s="249">
        <v>281.50084467066245</v>
      </c>
      <c r="P33" s="247"/>
      <c r="Q33" s="246"/>
    </row>
    <row r="34" spans="2:17">
      <c r="B34" s="246"/>
      <c r="C34" s="244"/>
      <c r="D34" s="246"/>
      <c r="E34" s="250" t="s">
        <v>129</v>
      </c>
      <c r="F34" s="251"/>
      <c r="G34" s="250"/>
      <c r="H34" s="252"/>
      <c r="I34" s="253"/>
      <c r="J34" s="253"/>
      <c r="K34" s="253">
        <v>0.28959291519657238</v>
      </c>
      <c r="L34" s="253">
        <v>-7.3702678718159165E-2</v>
      </c>
      <c r="M34" s="253">
        <v>0.2148934350973204</v>
      </c>
      <c r="N34" s="253">
        <v>1.077692159803334E-2</v>
      </c>
      <c r="O34" s="253">
        <v>-6.2970636098605093E-2</v>
      </c>
      <c r="P34" s="247"/>
      <c r="Q34" s="246"/>
    </row>
    <row r="35" spans="2:17">
      <c r="B35" s="246"/>
      <c r="C35" s="244"/>
      <c r="D35" s="246"/>
      <c r="E35" s="246"/>
      <c r="F35" s="246"/>
      <c r="G35" s="246"/>
      <c r="H35" s="255"/>
      <c r="I35" s="255"/>
      <c r="J35" s="255"/>
      <c r="K35" s="255"/>
      <c r="L35" s="255"/>
      <c r="M35" s="255"/>
      <c r="N35" s="255"/>
      <c r="O35" s="255"/>
      <c r="P35" s="247"/>
      <c r="Q35" s="246"/>
    </row>
    <row r="36" spans="2:17">
      <c r="B36" s="246"/>
      <c r="C36" s="244"/>
      <c r="D36" s="246"/>
      <c r="E36" s="246"/>
      <c r="F36" s="246"/>
      <c r="G36" s="246"/>
      <c r="H36" s="252"/>
      <c r="I36" s="252"/>
      <c r="J36" s="252"/>
      <c r="K36" s="252"/>
      <c r="L36" s="252"/>
      <c r="M36" s="252"/>
      <c r="N36" s="252"/>
      <c r="O36" s="252"/>
      <c r="P36" s="247"/>
      <c r="Q36" s="246"/>
    </row>
    <row r="37" spans="2:17">
      <c r="B37" s="246"/>
      <c r="C37" s="244"/>
      <c r="D37" s="246"/>
      <c r="E37" s="246" t="s">
        <v>2</v>
      </c>
      <c r="F37" s="248"/>
      <c r="G37" s="246"/>
      <c r="H37" s="249"/>
      <c r="I37" s="249"/>
      <c r="J37" s="249">
        <v>33.099999999999966</v>
      </c>
      <c r="K37" s="249">
        <v>85.521774193548339</v>
      </c>
      <c r="L37" s="249">
        <v>58.538128645161294</v>
      </c>
      <c r="M37" s="249">
        <v>102.06509550816776</v>
      </c>
      <c r="N37" s="249">
        <v>95.265445066266977</v>
      </c>
      <c r="O37" s="249">
        <v>70.58071270915201</v>
      </c>
      <c r="P37" s="256"/>
      <c r="Q37" s="246"/>
    </row>
    <row r="38" spans="2:17">
      <c r="B38" s="246"/>
      <c r="C38" s="244"/>
      <c r="D38" s="246"/>
      <c r="E38" s="250" t="s">
        <v>130</v>
      </c>
      <c r="F38" s="251"/>
      <c r="G38" s="250"/>
      <c r="H38" s="253"/>
      <c r="I38" s="253"/>
      <c r="J38" s="253">
        <v>0.16162109374999983</v>
      </c>
      <c r="K38" s="253">
        <v>0.3238128739182648</v>
      </c>
      <c r="L38" s="253">
        <v>0.23927968911609662</v>
      </c>
      <c r="M38" s="253">
        <v>0.34340456338615949</v>
      </c>
      <c r="N38" s="253">
        <v>0.3171092417028567</v>
      </c>
      <c r="O38" s="253">
        <v>0.25073002104745662</v>
      </c>
      <c r="P38" s="257"/>
      <c r="Q38" s="246"/>
    </row>
    <row r="39" spans="2:17">
      <c r="B39" s="246"/>
      <c r="C39" s="244"/>
      <c r="D39" s="246"/>
      <c r="E39" s="250" t="s">
        <v>129</v>
      </c>
      <c r="F39" s="251"/>
      <c r="G39" s="250"/>
      <c r="H39" s="258"/>
      <c r="I39" s="253"/>
      <c r="J39" s="253"/>
      <c r="K39" s="253">
        <v>1.0035310144550058</v>
      </c>
      <c r="L39" s="253">
        <v>-0.26105566396815216</v>
      </c>
      <c r="M39" s="253">
        <v>0.43515968553244933</v>
      </c>
      <c r="N39" s="253">
        <v>-7.6572429393530261E-2</v>
      </c>
      <c r="O39" s="253">
        <v>-0.20932603634932823</v>
      </c>
      <c r="P39" s="257"/>
      <c r="Q39" s="246"/>
    </row>
    <row r="40" spans="2:17">
      <c r="B40" s="246"/>
      <c r="C40" s="244"/>
      <c r="D40" s="246"/>
      <c r="E40" s="246"/>
      <c r="F40" s="246"/>
      <c r="G40" s="246"/>
      <c r="H40" s="255"/>
      <c r="I40" s="255"/>
      <c r="J40" s="255"/>
      <c r="K40" s="255"/>
      <c r="L40" s="255"/>
      <c r="M40" s="255"/>
      <c r="N40" s="255"/>
      <c r="O40" s="255"/>
      <c r="P40" s="247"/>
      <c r="Q40" s="246"/>
    </row>
    <row r="41" spans="2:17">
      <c r="B41" s="246"/>
      <c r="C41" s="244"/>
      <c r="D41" s="246"/>
      <c r="E41" s="246"/>
      <c r="F41" s="246"/>
      <c r="G41" s="246"/>
      <c r="H41" s="252"/>
      <c r="I41" s="252"/>
      <c r="J41" s="252"/>
      <c r="K41" s="252"/>
      <c r="L41" s="252"/>
      <c r="M41" s="252"/>
      <c r="N41" s="252"/>
      <c r="O41" s="252"/>
      <c r="P41" s="247"/>
      <c r="Q41" s="246"/>
    </row>
    <row r="42" spans="2:17">
      <c r="B42" s="246"/>
      <c r="C42" s="244"/>
      <c r="D42" s="246"/>
      <c r="E42" s="246" t="s">
        <v>5</v>
      </c>
      <c r="F42" s="248"/>
      <c r="G42" s="246"/>
      <c r="H42" s="249"/>
      <c r="I42" s="249"/>
      <c r="J42" s="249">
        <v>2.1999999999999651</v>
      </c>
      <c r="K42" s="249">
        <v>37.277569892473089</v>
      </c>
      <c r="L42" s="249">
        <v>20.376169698549127</v>
      </c>
      <c r="M42" s="249">
        <v>49.26935887429299</v>
      </c>
      <c r="N42" s="249">
        <v>45.541012521575766</v>
      </c>
      <c r="O42" s="249">
        <v>30.164608235606018</v>
      </c>
      <c r="P42" s="256"/>
      <c r="Q42" s="246"/>
    </row>
    <row r="43" spans="2:17">
      <c r="B43" s="246"/>
      <c r="C43" s="244"/>
      <c r="D43" s="246"/>
      <c r="E43" s="250" t="s">
        <v>130</v>
      </c>
      <c r="F43" s="251"/>
      <c r="G43" s="250"/>
      <c r="H43" s="253"/>
      <c r="I43" s="253"/>
      <c r="J43" s="253">
        <v>1.074218749999983E-2</v>
      </c>
      <c r="K43" s="253">
        <v>0.14114483888339763</v>
      </c>
      <c r="L43" s="253">
        <v>8.3289364789912473E-2</v>
      </c>
      <c r="M43" s="253">
        <v>0.16576991956264439</v>
      </c>
      <c r="N43" s="253">
        <v>0.15159196429567565</v>
      </c>
      <c r="O43" s="253">
        <v>0.1071563684680827</v>
      </c>
      <c r="P43" s="256"/>
      <c r="Q43" s="246"/>
    </row>
    <row r="44" spans="2:17">
      <c r="B44" s="246"/>
      <c r="C44" s="244"/>
      <c r="D44" s="246"/>
      <c r="E44" s="250" t="s">
        <v>129</v>
      </c>
      <c r="F44" s="251"/>
      <c r="G44" s="250"/>
      <c r="H44" s="258"/>
      <c r="I44" s="253"/>
      <c r="J44" s="253"/>
      <c r="K44" s="253">
        <v>12.139301365145586</v>
      </c>
      <c r="L44" s="253">
        <v>-0.40990144982403953</v>
      </c>
      <c r="M44" s="253">
        <v>0.99028915613391111</v>
      </c>
      <c r="N44" s="253">
        <v>-8.5527913051866467E-2</v>
      </c>
      <c r="O44" s="253">
        <v>-0.29312632786341253</v>
      </c>
      <c r="P44" s="256"/>
      <c r="Q44" s="246"/>
    </row>
    <row r="45" spans="2:17">
      <c r="B45" s="246"/>
      <c r="C45" s="260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63"/>
      <c r="Q45" s="246"/>
    </row>
    <row r="46" spans="2:17">
      <c r="B46" s="246"/>
      <c r="C46" s="246"/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</row>
    <row r="47" spans="2:17" ht="18.75">
      <c r="B47" s="246"/>
      <c r="C47" s="217" t="s">
        <v>134</v>
      </c>
      <c r="D47" s="218"/>
      <c r="E47" s="218"/>
      <c r="F47" s="218"/>
      <c r="G47" s="218"/>
      <c r="H47" s="219"/>
      <c r="I47" s="219"/>
      <c r="J47" s="219"/>
      <c r="K47" s="219"/>
      <c r="L47" s="219"/>
      <c r="M47" s="219"/>
      <c r="N47" s="219"/>
      <c r="O47" s="219"/>
      <c r="P47" s="219"/>
      <c r="Q47" s="246"/>
    </row>
    <row r="48" spans="2:17">
      <c r="B48" s="283"/>
      <c r="C48" s="220"/>
      <c r="D48" s="221"/>
      <c r="E48" s="221"/>
      <c r="F48" s="221"/>
      <c r="G48" s="221"/>
      <c r="H48" s="222"/>
      <c r="I48" s="222"/>
      <c r="J48" s="222"/>
      <c r="K48" s="223" t="s">
        <v>126</v>
      </c>
      <c r="L48" s="224"/>
      <c r="M48" s="224"/>
      <c r="N48" s="224"/>
      <c r="O48" s="224"/>
      <c r="P48" s="284"/>
      <c r="Q48" s="283"/>
    </row>
    <row r="49" spans="2:17">
      <c r="B49" s="283"/>
      <c r="C49" s="286"/>
      <c r="D49" s="227" t="s">
        <v>56</v>
      </c>
      <c r="E49" s="287"/>
      <c r="F49" s="227" t="s">
        <v>127</v>
      </c>
      <c r="G49" s="287"/>
      <c r="H49" s="288">
        <f>H28</f>
        <v>2020</v>
      </c>
      <c r="I49" s="288">
        <f t="shared" ref="I49:O49" si="7">I28</f>
        <v>2021</v>
      </c>
      <c r="J49" s="288">
        <f t="shared" si="7"/>
        <v>2022</v>
      </c>
      <c r="K49" s="289">
        <f t="shared" si="7"/>
        <v>2023</v>
      </c>
      <c r="L49" s="289">
        <f t="shared" si="7"/>
        <v>2024</v>
      </c>
      <c r="M49" s="289">
        <f t="shared" si="7"/>
        <v>2025</v>
      </c>
      <c r="N49" s="289">
        <f t="shared" si="7"/>
        <v>2026</v>
      </c>
      <c r="O49" s="289">
        <f t="shared" si="7"/>
        <v>2027</v>
      </c>
      <c r="P49" s="290"/>
      <c r="Q49" s="283"/>
    </row>
    <row r="50" spans="2:17">
      <c r="B50" s="246"/>
      <c r="C50" s="232"/>
      <c r="D50" s="233"/>
      <c r="E50" s="233"/>
      <c r="F50" s="233"/>
      <c r="G50" s="233"/>
      <c r="H50" s="234"/>
      <c r="I50" s="234"/>
      <c r="J50" s="235"/>
      <c r="K50" s="236"/>
      <c r="L50" s="236"/>
      <c r="M50" s="236"/>
      <c r="N50" s="236"/>
      <c r="O50" s="236"/>
      <c r="P50" s="237"/>
      <c r="Q50" s="246"/>
    </row>
    <row r="51" spans="2:17">
      <c r="B51" s="246"/>
      <c r="C51" s="238"/>
      <c r="D51" s="239"/>
      <c r="E51" s="239"/>
      <c r="F51" s="239"/>
      <c r="G51" s="239"/>
      <c r="H51" s="240"/>
      <c r="I51" s="240"/>
      <c r="J51" s="241"/>
      <c r="K51" s="242"/>
      <c r="L51" s="242"/>
      <c r="M51" s="242"/>
      <c r="N51" s="242"/>
      <c r="O51" s="242"/>
      <c r="P51" s="243"/>
      <c r="Q51" s="246"/>
    </row>
    <row r="52" spans="2:17">
      <c r="B52" s="246"/>
      <c r="C52" s="244"/>
      <c r="D52" s="245" t="s">
        <v>128</v>
      </c>
      <c r="E52" s="246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7"/>
      <c r="Q52" s="246"/>
    </row>
    <row r="53" spans="2:17">
      <c r="B53" s="246"/>
      <c r="C53" s="244"/>
      <c r="D53" s="246"/>
      <c r="E53" s="246" t="s">
        <v>0</v>
      </c>
      <c r="F53" s="248"/>
      <c r="G53" s="246"/>
      <c r="H53" s="249"/>
      <c r="I53" s="249"/>
      <c r="J53" s="249">
        <v>204.79999999999998</v>
      </c>
      <c r="K53" s="249">
        <v>238.41460829493093</v>
      </c>
      <c r="L53" s="249">
        <v>220.17078571428573</v>
      </c>
      <c r="M53" s="249">
        <v>262.60854165748856</v>
      </c>
      <c r="N53" s="249">
        <v>259.93619218654328</v>
      </c>
      <c r="O53" s="249">
        <v>244.66998081661546</v>
      </c>
      <c r="P53" s="247"/>
      <c r="Q53" s="246"/>
    </row>
    <row r="54" spans="2:17">
      <c r="B54" s="246"/>
      <c r="C54" s="244"/>
      <c r="D54" s="246"/>
      <c r="E54" s="250" t="s">
        <v>129</v>
      </c>
      <c r="F54" s="251"/>
      <c r="G54" s="250"/>
      <c r="H54" s="252"/>
      <c r="I54" s="253"/>
      <c r="J54" s="253"/>
      <c r="K54" s="253">
        <v>0.16413382956509248</v>
      </c>
      <c r="L54" s="253">
        <v>-7.6521412471825867E-2</v>
      </c>
      <c r="M54" s="253">
        <v>0.19274925965097855</v>
      </c>
      <c r="N54" s="253">
        <v>-1.0176171171274118E-2</v>
      </c>
      <c r="O54" s="253">
        <v>-5.8730610929977778E-2</v>
      </c>
      <c r="P54" s="247"/>
      <c r="Q54" s="246"/>
    </row>
    <row r="55" spans="2:17">
      <c r="B55" s="246"/>
      <c r="C55" s="244"/>
      <c r="D55" s="246"/>
      <c r="E55" s="246"/>
      <c r="F55" s="246"/>
      <c r="G55" s="246"/>
      <c r="H55" s="255"/>
      <c r="I55" s="255"/>
      <c r="J55" s="255"/>
      <c r="K55" s="255"/>
      <c r="L55" s="255"/>
      <c r="M55" s="255"/>
      <c r="N55" s="255"/>
      <c r="O55" s="255"/>
      <c r="P55" s="247"/>
      <c r="Q55" s="246"/>
    </row>
    <row r="56" spans="2:17">
      <c r="B56" s="246"/>
      <c r="C56" s="244"/>
      <c r="D56" s="246"/>
      <c r="E56" s="246"/>
      <c r="F56" s="246"/>
      <c r="G56" s="246"/>
      <c r="H56" s="252"/>
      <c r="I56" s="252"/>
      <c r="J56" s="252"/>
      <c r="K56" s="252"/>
      <c r="L56" s="252"/>
      <c r="M56" s="252"/>
      <c r="N56" s="252"/>
      <c r="O56" s="252"/>
      <c r="P56" s="247"/>
      <c r="Q56" s="246"/>
    </row>
    <row r="57" spans="2:17">
      <c r="B57" s="246"/>
      <c r="C57" s="244"/>
      <c r="D57" s="246"/>
      <c r="E57" s="246" t="s">
        <v>2</v>
      </c>
      <c r="F57" s="248"/>
      <c r="G57" s="246"/>
      <c r="H57" s="249"/>
      <c r="I57" s="249"/>
      <c r="J57" s="249">
        <v>33.099999999999966</v>
      </c>
      <c r="K57" s="249">
        <v>60.834294930875643</v>
      </c>
      <c r="L57" s="249">
        <v>33.859071668202773</v>
      </c>
      <c r="M57" s="249">
        <v>68.207666428336495</v>
      </c>
      <c r="N57" s="249">
        <v>57.052627960241011</v>
      </c>
      <c r="O57" s="249">
        <v>34.164573612547684</v>
      </c>
      <c r="P57" s="256"/>
      <c r="Q57" s="246"/>
    </row>
    <row r="58" spans="2:17">
      <c r="B58" s="246"/>
      <c r="C58" s="244"/>
      <c r="D58" s="246"/>
      <c r="E58" s="250" t="s">
        <v>130</v>
      </c>
      <c r="F58" s="251"/>
      <c r="G58" s="250"/>
      <c r="H58" s="253"/>
      <c r="I58" s="253"/>
      <c r="J58" s="253">
        <v>0.16162109374999983</v>
      </c>
      <c r="K58" s="253">
        <v>0.25516177622648251</v>
      </c>
      <c r="L58" s="253">
        <v>0.15378548774468873</v>
      </c>
      <c r="M58" s="253">
        <v>0.25973133241529306</v>
      </c>
      <c r="N58" s="253">
        <v>0.21948704980373482</v>
      </c>
      <c r="O58" s="253">
        <v>0.13963533040922843</v>
      </c>
      <c r="P58" s="257"/>
      <c r="Q58" s="246"/>
    </row>
    <row r="59" spans="2:17">
      <c r="B59" s="246"/>
      <c r="C59" s="244"/>
      <c r="D59" s="246"/>
      <c r="E59" s="250" t="s">
        <v>129</v>
      </c>
      <c r="F59" s="251"/>
      <c r="G59" s="250"/>
      <c r="H59" s="258"/>
      <c r="I59" s="253"/>
      <c r="J59" s="253"/>
      <c r="K59" s="253">
        <v>0.57876531030766376</v>
      </c>
      <c r="L59" s="253">
        <v>-0.39730201749266636</v>
      </c>
      <c r="M59" s="253">
        <v>0.6889196518106655</v>
      </c>
      <c r="N59" s="253">
        <v>-0.15494581357327475</v>
      </c>
      <c r="O59" s="253">
        <v>-0.36381061873996545</v>
      </c>
      <c r="P59" s="257"/>
      <c r="Q59" s="246"/>
    </row>
    <row r="60" spans="2:17">
      <c r="B60" s="246"/>
      <c r="C60" s="244"/>
      <c r="D60" s="246"/>
      <c r="E60" s="246"/>
      <c r="F60" s="246"/>
      <c r="G60" s="246"/>
      <c r="H60" s="255"/>
      <c r="I60" s="255"/>
      <c r="J60" s="255"/>
      <c r="K60" s="255"/>
      <c r="L60" s="255"/>
      <c r="M60" s="255"/>
      <c r="N60" s="255"/>
      <c r="O60" s="255"/>
      <c r="P60" s="247"/>
      <c r="Q60" s="246"/>
    </row>
    <row r="61" spans="2:17">
      <c r="B61" s="246"/>
      <c r="C61" s="244"/>
      <c r="D61" s="246"/>
      <c r="E61" s="246"/>
      <c r="F61" s="246"/>
      <c r="G61" s="246"/>
      <c r="H61" s="252"/>
      <c r="I61" s="252"/>
      <c r="J61" s="252"/>
      <c r="K61" s="252"/>
      <c r="L61" s="252"/>
      <c r="M61" s="252"/>
      <c r="N61" s="252"/>
      <c r="O61" s="252"/>
      <c r="P61" s="247"/>
      <c r="Q61" s="246"/>
    </row>
    <row r="62" spans="2:17">
      <c r="B62" s="246"/>
      <c r="C62" s="244"/>
      <c r="D62" s="246"/>
      <c r="E62" s="246" t="s">
        <v>5</v>
      </c>
      <c r="F62" s="248"/>
      <c r="G62" s="246"/>
      <c r="H62" s="249"/>
      <c r="I62" s="249"/>
      <c r="J62" s="249">
        <v>2.1999999999999651</v>
      </c>
      <c r="K62" s="249">
        <v>21.230708371735837</v>
      </c>
      <c r="L62" s="249">
        <v>4.0836963536990583</v>
      </c>
      <c r="M62" s="249">
        <v>26.465181422846875</v>
      </c>
      <c r="N62" s="249">
        <v>19.699260828035641</v>
      </c>
      <c r="O62" s="249">
        <v>5.1079044100805815</v>
      </c>
      <c r="P62" s="256"/>
      <c r="Q62" s="246"/>
    </row>
    <row r="63" spans="2:17">
      <c r="B63" s="246"/>
      <c r="C63" s="244"/>
      <c r="D63" s="246"/>
      <c r="E63" s="250" t="s">
        <v>130</v>
      </c>
      <c r="F63" s="251"/>
      <c r="G63" s="250"/>
      <c r="H63" s="253"/>
      <c r="I63" s="253"/>
      <c r="J63" s="253">
        <v>1.074218749999983E-2</v>
      </c>
      <c r="K63" s="253">
        <v>8.904952814582727E-2</v>
      </c>
      <c r="L63" s="253">
        <v>1.8547857475507426E-2</v>
      </c>
      <c r="M63" s="253">
        <v>0.10077806782600589</v>
      </c>
      <c r="N63" s="253">
        <v>7.5784986547384914E-2</v>
      </c>
      <c r="O63" s="253">
        <v>2.0876710714703685E-2</v>
      </c>
      <c r="P63" s="256"/>
      <c r="Q63" s="246"/>
    </row>
    <row r="64" spans="2:17">
      <c r="B64" s="246"/>
      <c r="C64" s="244"/>
      <c r="D64" s="246"/>
      <c r="E64" s="250" t="s">
        <v>129</v>
      </c>
      <c r="F64" s="251"/>
      <c r="G64" s="250"/>
      <c r="H64" s="258"/>
      <c r="I64" s="253"/>
      <c r="J64" s="253"/>
      <c r="K64" s="253">
        <v>7.2897015292116887</v>
      </c>
      <c r="L64" s="253">
        <v>-0.79171301789344128</v>
      </c>
      <c r="M64" s="253">
        <v>4.433407495128967</v>
      </c>
      <c r="N64" s="253">
        <v>-0.2480011952776443</v>
      </c>
      <c r="O64" s="253">
        <v>-0.72452709084205713</v>
      </c>
      <c r="P64" s="256"/>
      <c r="Q64" s="246"/>
    </row>
    <row r="65" spans="2:17">
      <c r="B65" s="246"/>
      <c r="C65" s="260"/>
      <c r="D65" s="261"/>
      <c r="E65" s="261"/>
      <c r="F65" s="261"/>
      <c r="G65" s="261"/>
      <c r="H65" s="261"/>
      <c r="I65" s="261"/>
      <c r="J65" s="261"/>
      <c r="K65" s="261"/>
      <c r="L65" s="261"/>
      <c r="M65" s="261"/>
      <c r="N65" s="261"/>
      <c r="O65" s="261"/>
      <c r="P65" s="263"/>
      <c r="Q65" s="246"/>
    </row>
    <row r="66" spans="2:17">
      <c r="B66" s="281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O66" s="281"/>
      <c r="P66" s="281"/>
      <c r="Q66" s="281"/>
    </row>
  </sheetData>
  <pageMargins left="0.7" right="0.7" top="0.75" bottom="0.75" header="0.3" footer="0.3"/>
  <pageSetup scale="5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lineWeight="1" displayEmptyCellsAs="gap" high="1" low="1" xr2:uid="{99D49F08-E7A8-46FC-9838-4E3BFB36602C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Summary!H16:O16</xm:f>
              <xm:sqref>F16</xm:sqref>
            </x14:sparkline>
          </x14:sparklines>
        </x14:sparklineGroup>
        <x14:sparklineGroup lineWeight="1" displayEmptyCellsAs="gap" high="1" low="1" xr2:uid="{2789CF33-2380-4B21-ABBD-6B0CA077BEE2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Summary!H12:O12</xm:f>
              <xm:sqref>F12</xm:sqref>
            </x14:sparkline>
          </x14:sparklines>
        </x14:sparklineGroup>
        <x14:sparklineGroup lineWeight="1" displayEmptyCellsAs="gap" high="1" low="1" xr2:uid="{33989650-8197-4DAF-888D-3D8199A7E28E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Summary!H21:O21</xm:f>
              <xm:sqref>F21</xm:sqref>
            </x14:sparkline>
          </x14:sparklines>
        </x14:sparklineGroup>
        <x14:sparklineGroup lineWeight="1" displayEmptyCellsAs="gap" high="1" low="1" xr2:uid="{965FE540-A444-45F2-9B60-541D35E913E0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Summary!H33:O33</xm:f>
              <xm:sqref>F33</xm:sqref>
            </x14:sparkline>
          </x14:sparklines>
        </x14:sparklineGroup>
        <x14:sparklineGroup lineWeight="1" displayEmptyCellsAs="gap" high="1" low="1" xr2:uid="{C8BCB02C-622C-4EBD-9F0D-548E01A90BBB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Summary!H37:O37</xm:f>
              <xm:sqref>F37</xm:sqref>
            </x14:sparkline>
          </x14:sparklines>
        </x14:sparklineGroup>
        <x14:sparklineGroup lineWeight="1" displayEmptyCellsAs="gap" high="1" low="1" xr2:uid="{4F5842C3-F309-4B55-B601-C9ADA4F8BA1E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Summary!H42:O42</xm:f>
              <xm:sqref>F42</xm:sqref>
            </x14:sparkline>
          </x14:sparklines>
        </x14:sparklineGroup>
        <x14:sparklineGroup lineWeight="1" displayEmptyCellsAs="gap" high="1" low="1" xr2:uid="{3C7350D0-75CA-4753-93F9-C09AE944D64C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Summary!H53:O53</xm:f>
              <xm:sqref>F53</xm:sqref>
            </x14:sparkline>
          </x14:sparklines>
        </x14:sparklineGroup>
        <x14:sparklineGroup lineWeight="1" displayEmptyCellsAs="gap" high="1" low="1" xr2:uid="{A8808533-AF96-4076-8D64-F27F7BC07338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Summary!H57:O57</xm:f>
              <xm:sqref>F57</xm:sqref>
            </x14:sparkline>
          </x14:sparklines>
        </x14:sparklineGroup>
        <x14:sparklineGroup lineWeight="1" displayEmptyCellsAs="gap" high="1" low="1" xr2:uid="{06B820EE-BE97-42A4-8A8E-3B3D1B5D18F4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Summary!H62:O62</xm:f>
              <xm:sqref>F62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B53C-5C83-4DB0-A6FF-8101E8421F50}">
  <dimension ref="C1:O75"/>
  <sheetViews>
    <sheetView zoomScale="85" zoomScaleNormal="85" workbookViewId="0">
      <selection activeCell="H55" sqref="H55"/>
    </sheetView>
  </sheetViews>
  <sheetFormatPr defaultRowHeight="12.75"/>
  <cols>
    <col min="1" max="1" width="3.42578125" customWidth="1"/>
    <col min="2" max="2" width="2.42578125" customWidth="1"/>
    <col min="3" max="3" width="2.28515625" customWidth="1"/>
    <col min="4" max="4" width="12.85546875" customWidth="1"/>
    <col min="5" max="5" width="13.140625" customWidth="1"/>
    <col min="6" max="6" width="11.42578125" customWidth="1"/>
    <col min="7" max="7" width="13.28515625" customWidth="1"/>
    <col min="8" max="8" width="24.28515625" customWidth="1"/>
    <col min="10" max="10" width="11.7109375" customWidth="1"/>
    <col min="11" max="11" width="13" customWidth="1"/>
    <col min="12" max="12" width="12.140625" customWidth="1"/>
    <col min="13" max="14" width="10.5703125" customWidth="1"/>
  </cols>
  <sheetData>
    <row r="1" spans="3:15" ht="16.5" customHeight="1">
      <c r="C1" s="101" t="str">
        <f>Summary!B1</f>
        <v>Blu Containers Company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3:15" ht="20.25">
      <c r="C2" s="101" t="s">
        <v>62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3:15" ht="2.25" customHeight="1" thickBot="1"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</row>
    <row r="5" spans="3:15">
      <c r="C5" s="108" t="s">
        <v>63</v>
      </c>
      <c r="D5" s="109"/>
      <c r="E5" s="109"/>
      <c r="F5" s="109"/>
      <c r="G5" s="109"/>
      <c r="H5" s="110"/>
      <c r="J5" s="108" t="s">
        <v>64</v>
      </c>
      <c r="K5" s="109"/>
      <c r="L5" s="109"/>
      <c r="M5" s="109"/>
      <c r="N5" s="110"/>
    </row>
    <row r="6" spans="3:15" ht="3.75" customHeight="1">
      <c r="C6" s="111"/>
      <c r="D6" s="112"/>
      <c r="E6" s="112"/>
      <c r="F6" s="112"/>
      <c r="G6" s="112"/>
      <c r="H6" s="113"/>
      <c r="J6" s="111"/>
      <c r="K6" s="112"/>
      <c r="L6" s="112"/>
      <c r="M6" s="112"/>
      <c r="N6" s="113"/>
    </row>
    <row r="7" spans="3:15" ht="3" customHeight="1">
      <c r="C7" s="114"/>
      <c r="D7" s="115"/>
      <c r="E7" s="115"/>
      <c r="F7" s="115"/>
      <c r="G7" s="115"/>
      <c r="H7" s="116"/>
      <c r="J7" s="114"/>
      <c r="K7" s="115"/>
      <c r="L7" s="115"/>
      <c r="M7" s="115"/>
      <c r="N7" s="116"/>
    </row>
    <row r="8" spans="3:15">
      <c r="C8" s="117" t="s">
        <v>86</v>
      </c>
      <c r="D8" s="18" t="s">
        <v>87</v>
      </c>
      <c r="G8" s="374">
        <v>2023</v>
      </c>
      <c r="H8" s="118"/>
      <c r="J8" s="122" t="str">
        <f ca="1">"Stock Price - "&amp;TEXT(TODAY()-1,"mm/dd/yy")</f>
        <v>Stock Price - 09/19/24</v>
      </c>
      <c r="K8" s="124"/>
      <c r="M8" s="125"/>
      <c r="N8" s="371">
        <v>11.5</v>
      </c>
    </row>
    <row r="9" spans="3:15">
      <c r="C9" s="117" t="s">
        <v>86</v>
      </c>
      <c r="D9" s="5" t="s">
        <v>88</v>
      </c>
      <c r="H9" s="118"/>
      <c r="J9" s="122" t="str">
        <f>"Fully Diluted Shares O/S (MM) - Dec. 31, "&amp;G8-1</f>
        <v>Fully Diluted Shares O/S (MM) - Dec. 31, 2022</v>
      </c>
      <c r="N9" s="372">
        <v>14.8</v>
      </c>
    </row>
    <row r="10" spans="3:15">
      <c r="C10" s="119"/>
      <c r="D10" s="120"/>
      <c r="E10" s="104"/>
      <c r="F10" s="104"/>
      <c r="G10" s="104"/>
      <c r="H10" s="121"/>
      <c r="J10" s="123" t="s">
        <v>89</v>
      </c>
      <c r="K10" s="104"/>
      <c r="L10" s="104"/>
      <c r="M10" s="126"/>
      <c r="N10" s="373">
        <v>0.2</v>
      </c>
    </row>
    <row r="13" spans="3:15">
      <c r="C13" s="108" t="s">
        <v>65</v>
      </c>
      <c r="D13" s="109"/>
      <c r="E13" s="109"/>
      <c r="F13" s="109"/>
      <c r="G13" s="109"/>
      <c r="H13" s="110"/>
      <c r="J13" s="108" t="s">
        <v>66</v>
      </c>
      <c r="K13" s="109"/>
      <c r="L13" s="109"/>
      <c r="M13" s="109"/>
      <c r="N13" s="110"/>
    </row>
    <row r="14" spans="3:15" ht="4.5" customHeight="1">
      <c r="C14" s="111"/>
      <c r="D14" s="112"/>
      <c r="E14" s="112"/>
      <c r="F14" s="112"/>
      <c r="G14" s="112"/>
      <c r="H14" s="113"/>
      <c r="J14" s="111"/>
      <c r="K14" s="112"/>
      <c r="L14" s="112"/>
      <c r="M14" s="112"/>
      <c r="N14" s="113"/>
    </row>
    <row r="15" spans="3:15" ht="6" customHeight="1">
      <c r="C15" s="114"/>
      <c r="D15" s="115"/>
      <c r="E15" s="115"/>
      <c r="F15" s="115"/>
      <c r="G15" s="115"/>
      <c r="H15" s="116"/>
      <c r="J15" s="114"/>
      <c r="K15" s="115"/>
      <c r="L15" s="115"/>
      <c r="M15" s="115"/>
      <c r="N15" s="116"/>
    </row>
    <row r="16" spans="3:15">
      <c r="C16" s="117" t="s">
        <v>86</v>
      </c>
      <c r="D16" s="5" t="s">
        <v>90</v>
      </c>
      <c r="H16" s="118"/>
      <c r="J16" s="122"/>
      <c r="N16" s="118"/>
    </row>
    <row r="17" spans="3:14">
      <c r="C17" s="127" t="s">
        <v>91</v>
      </c>
      <c r="D17" s="128"/>
      <c r="E17" s="129" t="s">
        <v>92</v>
      </c>
      <c r="F17" s="130"/>
      <c r="G17" s="129"/>
      <c r="H17" s="131"/>
      <c r="J17" s="137" t="s">
        <v>79</v>
      </c>
      <c r="N17" s="370">
        <v>420</v>
      </c>
    </row>
    <row r="18" spans="3:14">
      <c r="C18" s="132" t="s">
        <v>93</v>
      </c>
      <c r="E18" s="2" t="s">
        <v>94</v>
      </c>
      <c r="F18" s="2"/>
      <c r="G18" s="2"/>
      <c r="H18" s="133"/>
      <c r="J18" s="122"/>
      <c r="N18" s="118"/>
    </row>
    <row r="19" spans="3:14">
      <c r="C19" s="132" t="s">
        <v>95</v>
      </c>
      <c r="F19" s="375">
        <v>0.04</v>
      </c>
      <c r="G19" s="2"/>
      <c r="H19" s="133" t="s">
        <v>96</v>
      </c>
      <c r="J19" s="122" t="s">
        <v>159</v>
      </c>
      <c r="N19" s="389">
        <f>MAX(Model!K22:O22)</f>
        <v>1</v>
      </c>
    </row>
    <row r="20" spans="3:14">
      <c r="C20" s="134" t="s">
        <v>97</v>
      </c>
      <c r="D20" s="104"/>
      <c r="E20" s="104"/>
      <c r="F20" s="376">
        <v>-0.04</v>
      </c>
      <c r="G20" s="135"/>
      <c r="H20" s="136" t="s">
        <v>96</v>
      </c>
      <c r="J20" s="123"/>
      <c r="K20" s="104"/>
      <c r="L20" s="104"/>
      <c r="M20" s="104"/>
      <c r="N20" s="121"/>
    </row>
    <row r="23" spans="3:14">
      <c r="C23" s="108" t="s">
        <v>67</v>
      </c>
      <c r="D23" s="109"/>
      <c r="E23" s="109"/>
      <c r="F23" s="109"/>
      <c r="G23" s="109"/>
      <c r="H23" s="110"/>
      <c r="J23" s="108" t="s">
        <v>68</v>
      </c>
      <c r="K23" s="109"/>
      <c r="L23" s="109"/>
      <c r="M23" s="109"/>
      <c r="N23" s="110"/>
    </row>
    <row r="24" spans="3:14" ht="5.25" customHeight="1">
      <c r="C24" s="111"/>
      <c r="D24" s="112"/>
      <c r="E24" s="112"/>
      <c r="F24" s="112"/>
      <c r="G24" s="112"/>
      <c r="H24" s="113"/>
      <c r="J24" s="111"/>
      <c r="K24" s="112"/>
      <c r="L24" s="112"/>
      <c r="M24" s="112"/>
      <c r="N24" s="113"/>
    </row>
    <row r="25" spans="3:14" ht="6" customHeight="1">
      <c r="C25" s="114"/>
      <c r="D25" s="115"/>
      <c r="E25" s="115"/>
      <c r="F25" s="115"/>
      <c r="G25" s="115"/>
      <c r="H25" s="116"/>
      <c r="J25" s="114"/>
      <c r="K25" s="115"/>
      <c r="L25" s="115"/>
      <c r="M25" s="115"/>
      <c r="N25" s="116"/>
    </row>
    <row r="26" spans="3:14">
      <c r="C26" s="127" t="s">
        <v>98</v>
      </c>
      <c r="D26" s="5"/>
      <c r="E26" s="7">
        <f>$G$8</f>
        <v>2023</v>
      </c>
      <c r="G26" s="7" t="s">
        <v>74</v>
      </c>
      <c r="H26" s="118"/>
      <c r="J26" s="138"/>
      <c r="N26" s="118"/>
    </row>
    <row r="27" spans="3:14">
      <c r="C27" s="102" t="s">
        <v>69</v>
      </c>
      <c r="D27" s="5"/>
      <c r="E27" s="377">
        <v>226</v>
      </c>
      <c r="F27" t="s">
        <v>75</v>
      </c>
      <c r="G27" t="s">
        <v>76</v>
      </c>
      <c r="H27" s="118"/>
      <c r="J27" s="105" t="s">
        <v>80</v>
      </c>
      <c r="M27" s="139"/>
      <c r="N27" s="381">
        <v>0.01</v>
      </c>
    </row>
    <row r="28" spans="3:14">
      <c r="C28" s="102" t="s">
        <v>70</v>
      </c>
      <c r="D28" s="5"/>
      <c r="E28" s="377">
        <v>66.2</v>
      </c>
      <c r="F28" t="s">
        <v>75</v>
      </c>
      <c r="G28" t="s">
        <v>76</v>
      </c>
      <c r="H28" s="118"/>
      <c r="J28" s="106" t="s">
        <v>81</v>
      </c>
      <c r="N28" s="381">
        <v>0.06</v>
      </c>
    </row>
    <row r="29" spans="3:14">
      <c r="C29" s="102" t="s">
        <v>71</v>
      </c>
      <c r="D29" s="18"/>
      <c r="E29" s="377">
        <v>23.5</v>
      </c>
      <c r="F29" t="s">
        <v>77</v>
      </c>
      <c r="G29" t="s">
        <v>78</v>
      </c>
      <c r="H29" s="118"/>
      <c r="J29" s="106" t="s">
        <v>82</v>
      </c>
      <c r="N29" s="381">
        <v>0.06</v>
      </c>
    </row>
    <row r="30" spans="3:14">
      <c r="C30" s="102" t="s">
        <v>72</v>
      </c>
      <c r="D30" s="18"/>
      <c r="E30" s="377">
        <v>43.5</v>
      </c>
      <c r="F30" t="s">
        <v>77</v>
      </c>
      <c r="G30" t="s">
        <v>78</v>
      </c>
      <c r="H30" s="118"/>
      <c r="J30" s="122"/>
      <c r="N30" s="382"/>
    </row>
    <row r="31" spans="3:14">
      <c r="C31" s="102" t="s">
        <v>7</v>
      </c>
      <c r="D31" s="18"/>
      <c r="E31" s="377">
        <v>2</v>
      </c>
      <c r="F31" t="s">
        <v>77</v>
      </c>
      <c r="G31" t="s">
        <v>78</v>
      </c>
      <c r="H31" s="118"/>
      <c r="J31" s="122"/>
      <c r="N31" s="118"/>
    </row>
    <row r="32" spans="3:14">
      <c r="C32" s="103" t="s">
        <v>73</v>
      </c>
      <c r="D32" s="120"/>
      <c r="E32" s="378">
        <v>3.9</v>
      </c>
      <c r="F32" s="104" t="s">
        <v>77</v>
      </c>
      <c r="G32" s="104" t="s">
        <v>78</v>
      </c>
      <c r="H32" s="121"/>
      <c r="J32" s="123"/>
      <c r="K32" s="104"/>
      <c r="L32" s="104"/>
      <c r="M32" s="104"/>
      <c r="N32" s="121"/>
    </row>
    <row r="35" spans="3:15">
      <c r="C35" s="108" t="s">
        <v>28</v>
      </c>
      <c r="D35" s="140"/>
      <c r="E35" s="140"/>
      <c r="F35" s="140"/>
      <c r="G35" s="140"/>
      <c r="H35" s="141"/>
      <c r="J35" s="108" t="s">
        <v>83</v>
      </c>
      <c r="K35" s="140"/>
      <c r="L35" s="140"/>
      <c r="M35" s="140"/>
      <c r="N35" s="141"/>
    </row>
    <row r="36" spans="3:15" ht="3.75" customHeight="1">
      <c r="C36" s="111"/>
      <c r="D36" s="112"/>
      <c r="E36" s="112"/>
      <c r="F36" s="112"/>
      <c r="G36" s="112"/>
      <c r="H36" s="113"/>
      <c r="J36" s="111"/>
      <c r="K36" s="112"/>
      <c r="L36" s="112"/>
      <c r="M36" s="112"/>
      <c r="N36" s="113"/>
    </row>
    <row r="37" spans="3:15" ht="6" customHeight="1">
      <c r="C37" s="114"/>
      <c r="D37" s="115"/>
      <c r="E37" s="115"/>
      <c r="F37" s="115"/>
      <c r="G37" s="115"/>
      <c r="H37" s="116"/>
      <c r="J37" s="114"/>
      <c r="K37" s="115"/>
      <c r="L37" s="115"/>
      <c r="M37" s="115"/>
      <c r="N37" s="116"/>
    </row>
    <row r="38" spans="3:15">
      <c r="C38" s="117" t="s">
        <v>86</v>
      </c>
      <c r="D38" s="5" t="s">
        <v>99</v>
      </c>
      <c r="H38" s="142" t="s">
        <v>100</v>
      </c>
      <c r="J38" s="122"/>
      <c r="N38" s="118"/>
    </row>
    <row r="39" spans="3:15">
      <c r="C39" s="117" t="s">
        <v>86</v>
      </c>
      <c r="D39" s="143" t="s">
        <v>101</v>
      </c>
      <c r="H39" s="379">
        <v>25</v>
      </c>
      <c r="J39" s="137" t="s">
        <v>103</v>
      </c>
      <c r="N39" s="383">
        <v>0.35</v>
      </c>
    </row>
    <row r="40" spans="3:15">
      <c r="C40" s="119" t="s">
        <v>86</v>
      </c>
      <c r="D40" s="144" t="s">
        <v>102</v>
      </c>
      <c r="E40" s="104"/>
      <c r="F40" s="104"/>
      <c r="G40" s="104"/>
      <c r="H40" s="380">
        <v>30</v>
      </c>
      <c r="J40" s="145" t="s">
        <v>104</v>
      </c>
      <c r="K40" s="104"/>
      <c r="L40" s="104"/>
      <c r="M40" s="104"/>
      <c r="N40" s="146"/>
    </row>
    <row r="44" spans="3:15" ht="20.25">
      <c r="C44" s="101" t="str">
        <f>Summary!B1</f>
        <v>Blu Containers Company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3:15" ht="20.25">
      <c r="C45" s="101" t="s">
        <v>62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3:15" ht="1.5" customHeight="1" thickBot="1"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</row>
    <row r="48" spans="3:15">
      <c r="C48" s="108" t="s">
        <v>105</v>
      </c>
      <c r="D48" s="140"/>
      <c r="E48" s="140"/>
      <c r="F48" s="140"/>
      <c r="G48" s="140"/>
      <c r="H48" s="140"/>
      <c r="I48" s="140"/>
      <c r="J48" s="147">
        <f>G8</f>
        <v>2023</v>
      </c>
      <c r="K48" s="147">
        <f>J48+1</f>
        <v>2024</v>
      </c>
      <c r="L48" s="147">
        <f>K48+1</f>
        <v>2025</v>
      </c>
      <c r="M48" s="147">
        <f>L48+1</f>
        <v>2026</v>
      </c>
      <c r="N48" s="148">
        <f>M48+1</f>
        <v>2027</v>
      </c>
    </row>
    <row r="49" spans="3:14" ht="7.5" customHeight="1">
      <c r="C49" s="111"/>
      <c r="D49" s="112"/>
      <c r="E49" s="112"/>
      <c r="F49" s="112"/>
      <c r="G49" s="112"/>
      <c r="H49" s="113"/>
      <c r="I49" s="113"/>
      <c r="J49" s="113"/>
      <c r="K49" s="113"/>
      <c r="L49" s="113"/>
      <c r="M49" s="113"/>
      <c r="N49" s="113"/>
    </row>
    <row r="50" spans="3:14" ht="7.5" customHeight="1">
      <c r="C50" s="114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6"/>
    </row>
    <row r="51" spans="3:14">
      <c r="C51" s="122"/>
      <c r="L51" s="92"/>
      <c r="N51" s="118"/>
    </row>
    <row r="52" spans="3:14">
      <c r="C52" s="149" t="s">
        <v>24</v>
      </c>
      <c r="J52" s="150"/>
      <c r="K52" s="150"/>
      <c r="L52" s="150"/>
      <c r="M52" s="150"/>
      <c r="N52" s="151"/>
    </row>
    <row r="53" spans="3:14">
      <c r="C53" s="149"/>
      <c r="D53" t="s">
        <v>54</v>
      </c>
      <c r="G53" t="s">
        <v>77</v>
      </c>
      <c r="J53" s="384">
        <v>0</v>
      </c>
      <c r="K53" s="384">
        <v>0</v>
      </c>
      <c r="L53" s="384">
        <v>0</v>
      </c>
      <c r="M53" s="384">
        <v>0</v>
      </c>
      <c r="N53" s="385">
        <v>0</v>
      </c>
    </row>
    <row r="54" spans="3:14">
      <c r="C54" s="122"/>
      <c r="J54" s="367"/>
      <c r="K54" s="367"/>
      <c r="L54" s="386"/>
      <c r="M54" s="367"/>
      <c r="N54" s="382"/>
    </row>
    <row r="55" spans="3:14">
      <c r="C55" s="149" t="s">
        <v>29</v>
      </c>
      <c r="J55" s="384"/>
      <c r="K55" s="384"/>
      <c r="L55" s="384"/>
      <c r="M55" s="384"/>
      <c r="N55" s="385"/>
    </row>
    <row r="56" spans="3:14">
      <c r="C56" s="149"/>
      <c r="D56" t="s">
        <v>110</v>
      </c>
      <c r="G56" t="s">
        <v>77</v>
      </c>
      <c r="J56" s="384">
        <v>0</v>
      </c>
      <c r="K56" s="384">
        <v>0</v>
      </c>
      <c r="L56" s="384">
        <v>0</v>
      </c>
      <c r="M56" s="384">
        <v>0</v>
      </c>
      <c r="N56" s="385">
        <v>0</v>
      </c>
    </row>
    <row r="57" spans="3:14">
      <c r="C57" s="122"/>
      <c r="J57" s="367"/>
      <c r="K57" s="367"/>
      <c r="L57" s="386"/>
      <c r="M57" s="367"/>
      <c r="N57" s="382"/>
    </row>
    <row r="58" spans="3:14">
      <c r="C58" s="149" t="s">
        <v>106</v>
      </c>
      <c r="G58" t="s">
        <v>77</v>
      </c>
      <c r="J58" s="384">
        <v>16</v>
      </c>
      <c r="K58" s="384">
        <v>17</v>
      </c>
      <c r="L58" s="384">
        <v>17.3</v>
      </c>
      <c r="M58" s="384">
        <v>17.5</v>
      </c>
      <c r="N58" s="385">
        <v>18</v>
      </c>
    </row>
    <row r="59" spans="3:14">
      <c r="C59" s="122"/>
      <c r="J59" s="367"/>
      <c r="K59" s="367"/>
      <c r="L59" s="386"/>
      <c r="M59" s="367"/>
      <c r="N59" s="382"/>
    </row>
    <row r="60" spans="3:14">
      <c r="C60" s="149" t="s">
        <v>107</v>
      </c>
      <c r="J60" s="367"/>
      <c r="K60" s="367"/>
      <c r="L60" s="386"/>
      <c r="M60" s="367"/>
      <c r="N60" s="382"/>
    </row>
    <row r="61" spans="3:14">
      <c r="C61" s="122"/>
      <c r="D61" t="s">
        <v>111</v>
      </c>
      <c r="G61" t="s">
        <v>77</v>
      </c>
      <c r="J61" s="384">
        <v>5</v>
      </c>
      <c r="K61" s="384">
        <v>5</v>
      </c>
      <c r="L61" s="384">
        <v>5</v>
      </c>
      <c r="M61" s="384">
        <v>5</v>
      </c>
      <c r="N61" s="385">
        <v>5</v>
      </c>
    </row>
    <row r="62" spans="3:14">
      <c r="C62" s="122"/>
      <c r="J62" s="367"/>
      <c r="K62" s="367"/>
      <c r="L62" s="386"/>
      <c r="M62" s="367"/>
      <c r="N62" s="382"/>
    </row>
    <row r="63" spans="3:14">
      <c r="C63" s="149" t="s">
        <v>108</v>
      </c>
      <c r="J63" s="367"/>
      <c r="K63" s="367"/>
      <c r="L63" s="386"/>
      <c r="M63" s="367"/>
      <c r="N63" s="382"/>
    </row>
    <row r="64" spans="3:14">
      <c r="C64" s="122"/>
      <c r="D64" t="s">
        <v>11</v>
      </c>
      <c r="G64" t="s">
        <v>117</v>
      </c>
      <c r="J64" s="387">
        <v>48</v>
      </c>
      <c r="K64" s="387">
        <v>44</v>
      </c>
      <c r="L64" s="387">
        <v>40</v>
      </c>
      <c r="M64" s="387">
        <v>40</v>
      </c>
      <c r="N64" s="388">
        <v>40</v>
      </c>
    </row>
    <row r="65" spans="3:15">
      <c r="C65" s="138"/>
      <c r="D65" t="s">
        <v>112</v>
      </c>
      <c r="G65" t="s">
        <v>117</v>
      </c>
      <c r="J65" s="387">
        <v>70</v>
      </c>
      <c r="K65" s="387">
        <v>65</v>
      </c>
      <c r="L65" s="387">
        <v>60</v>
      </c>
      <c r="M65" s="387">
        <v>60</v>
      </c>
      <c r="N65" s="388">
        <v>55</v>
      </c>
    </row>
    <row r="66" spans="3:15">
      <c r="C66" s="138"/>
      <c r="D66" t="s">
        <v>55</v>
      </c>
      <c r="G66" t="s">
        <v>117</v>
      </c>
      <c r="J66" s="387">
        <v>30</v>
      </c>
      <c r="K66" s="387">
        <v>30</v>
      </c>
      <c r="L66" s="387">
        <v>30</v>
      </c>
      <c r="M66" s="387">
        <v>30</v>
      </c>
      <c r="N66" s="388">
        <v>30</v>
      </c>
    </row>
    <row r="67" spans="3:15">
      <c r="C67" s="138"/>
      <c r="D67" t="s">
        <v>113</v>
      </c>
      <c r="G67" t="s">
        <v>117</v>
      </c>
      <c r="J67" s="387">
        <v>3</v>
      </c>
      <c r="K67" s="387">
        <v>3</v>
      </c>
      <c r="L67" s="387">
        <v>3</v>
      </c>
      <c r="M67" s="387">
        <v>3</v>
      </c>
      <c r="N67" s="388">
        <v>3</v>
      </c>
    </row>
    <row r="68" spans="3:15">
      <c r="C68" s="117"/>
      <c r="D68" t="s">
        <v>17</v>
      </c>
      <c r="G68" t="s">
        <v>117</v>
      </c>
      <c r="J68" s="387">
        <v>40</v>
      </c>
      <c r="K68" s="387">
        <v>40</v>
      </c>
      <c r="L68" s="387">
        <v>40</v>
      </c>
      <c r="M68" s="387">
        <v>40</v>
      </c>
      <c r="N68" s="388">
        <v>40</v>
      </c>
    </row>
    <row r="69" spans="3:15">
      <c r="C69" s="117"/>
      <c r="D69" t="s">
        <v>114</v>
      </c>
      <c r="G69" t="s">
        <v>117</v>
      </c>
      <c r="J69" s="387">
        <v>10</v>
      </c>
      <c r="K69" s="387">
        <v>10</v>
      </c>
      <c r="L69" s="387">
        <v>10</v>
      </c>
      <c r="M69" s="387">
        <v>10</v>
      </c>
      <c r="N69" s="388">
        <v>10</v>
      </c>
    </row>
    <row r="70" spans="3:15">
      <c r="C70" s="117"/>
      <c r="J70" s="367"/>
      <c r="K70" s="367"/>
      <c r="L70" s="367"/>
      <c r="M70" s="367"/>
      <c r="N70" s="382"/>
    </row>
    <row r="71" spans="3:15">
      <c r="C71" s="152" t="s">
        <v>109</v>
      </c>
      <c r="J71" s="367"/>
      <c r="K71" s="367"/>
      <c r="L71" s="367"/>
      <c r="M71" s="367"/>
      <c r="N71" s="382"/>
    </row>
    <row r="72" spans="3:15">
      <c r="C72" s="102"/>
      <c r="D72" t="s">
        <v>115</v>
      </c>
      <c r="G72" t="s">
        <v>77</v>
      </c>
      <c r="J72" s="384">
        <v>-25</v>
      </c>
      <c r="K72" s="384">
        <v>-25</v>
      </c>
      <c r="L72" s="384">
        <v>-25</v>
      </c>
      <c r="M72" s="384">
        <v>-25</v>
      </c>
      <c r="N72" s="385">
        <v>-25</v>
      </c>
    </row>
    <row r="73" spans="3:15">
      <c r="C73" s="117"/>
      <c r="D73" t="s">
        <v>116</v>
      </c>
      <c r="G73" t="s">
        <v>77</v>
      </c>
      <c r="J73" s="384">
        <v>0</v>
      </c>
      <c r="K73" s="384">
        <v>0</v>
      </c>
      <c r="L73" s="384">
        <v>0</v>
      </c>
      <c r="M73" s="384">
        <v>0</v>
      </c>
      <c r="N73" s="385">
        <v>0</v>
      </c>
    </row>
    <row r="74" spans="3:15">
      <c r="C74" s="119"/>
      <c r="D74" s="104"/>
      <c r="E74" s="104"/>
      <c r="F74" s="104"/>
      <c r="G74" s="104"/>
      <c r="H74" s="104"/>
      <c r="I74" s="104"/>
      <c r="J74" s="153"/>
      <c r="K74" s="153"/>
      <c r="L74" s="153"/>
      <c r="M74" s="153"/>
      <c r="N74" s="154"/>
    </row>
    <row r="75" spans="3:15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0B09-0A0C-4072-A1B0-6BC70C8727AE}">
  <dimension ref="A1:K36"/>
  <sheetViews>
    <sheetView showGridLines="0" workbookViewId="0">
      <selection activeCell="G23" sqref="G23"/>
    </sheetView>
  </sheetViews>
  <sheetFormatPr defaultRowHeight="12.75"/>
  <cols>
    <col min="1" max="1" width="4.42578125" customWidth="1"/>
    <col min="2" max="2" width="2.5703125" customWidth="1"/>
    <col min="3" max="3" width="17.85546875" customWidth="1"/>
    <col min="4" max="4" width="13.85546875" customWidth="1"/>
    <col min="5" max="5" width="2.5703125" customWidth="1"/>
    <col min="6" max="6" width="5.7109375" customWidth="1"/>
    <col min="7" max="11" width="12.85546875" customWidth="1"/>
  </cols>
  <sheetData>
    <row r="1" spans="2:11" ht="18">
      <c r="B1" s="155" t="str">
        <f>Assumptions!C1</f>
        <v>Blu Containers Company</v>
      </c>
      <c r="C1" s="2"/>
      <c r="D1" s="2"/>
      <c r="E1" s="2"/>
      <c r="F1" s="2"/>
      <c r="G1" s="2"/>
      <c r="H1" s="2"/>
      <c r="I1" s="2"/>
      <c r="J1" s="2"/>
      <c r="K1" s="2"/>
    </row>
    <row r="2" spans="2:11" ht="18">
      <c r="B2" s="155" t="s">
        <v>118</v>
      </c>
      <c r="C2" s="2"/>
      <c r="D2" s="2"/>
      <c r="E2" s="2"/>
      <c r="F2" s="2"/>
      <c r="G2" s="2"/>
      <c r="H2" s="2"/>
      <c r="I2" s="2"/>
      <c r="J2" s="2"/>
      <c r="K2" s="2"/>
    </row>
    <row r="3" spans="2:11" ht="1.5" customHeight="1" thickBot="1">
      <c r="B3" s="156"/>
      <c r="C3" s="156"/>
      <c r="D3" s="156"/>
      <c r="E3" s="156"/>
      <c r="F3" s="156"/>
      <c r="G3" s="156"/>
      <c r="H3" s="156"/>
      <c r="I3" s="156"/>
      <c r="J3" s="156"/>
      <c r="K3" s="156"/>
    </row>
    <row r="5" spans="2:11" ht="6.75" customHeight="1">
      <c r="B5" s="158"/>
      <c r="C5" s="159"/>
      <c r="D5" s="160"/>
      <c r="E5" s="161"/>
    </row>
    <row r="6" spans="2:11">
      <c r="B6" s="157" t="s">
        <v>119</v>
      </c>
      <c r="C6" s="162"/>
      <c r="D6" s="300">
        <v>1</v>
      </c>
      <c r="E6" s="163"/>
      <c r="G6" s="168">
        <f>Assumptions!G8</f>
        <v>2023</v>
      </c>
      <c r="H6" s="168">
        <f>G6+1</f>
        <v>2024</v>
      </c>
      <c r="I6" s="168">
        <f>H6+1</f>
        <v>2025</v>
      </c>
      <c r="J6" s="168">
        <f>I6+1</f>
        <v>2026</v>
      </c>
      <c r="K6" s="168">
        <f>J6+1</f>
        <v>2027</v>
      </c>
    </row>
    <row r="7" spans="2:11" ht="7.5" customHeight="1">
      <c r="B7" s="164"/>
      <c r="C7" s="165"/>
      <c r="D7" s="166"/>
      <c r="E7" s="167"/>
    </row>
    <row r="10" spans="2:11" ht="15">
      <c r="B10" s="169" t="s">
        <v>120</v>
      </c>
      <c r="C10" s="170"/>
      <c r="D10" s="171"/>
      <c r="E10" s="171"/>
      <c r="F10" s="170"/>
      <c r="G10" s="170"/>
      <c r="H10" s="170"/>
      <c r="I10" s="170"/>
      <c r="J10" s="170"/>
      <c r="K10" s="170"/>
    </row>
    <row r="11" spans="2:11">
      <c r="B11" s="170"/>
      <c r="C11" s="170"/>
      <c r="D11" s="171"/>
      <c r="E11" s="171"/>
      <c r="F11" s="170"/>
      <c r="G11" s="301" t="s">
        <v>139</v>
      </c>
      <c r="H11" s="301" t="s">
        <v>138</v>
      </c>
      <c r="I11" s="301" t="s">
        <v>84</v>
      </c>
      <c r="J11" s="301" t="s">
        <v>85</v>
      </c>
      <c r="K11" s="170"/>
    </row>
    <row r="12" spans="2:11">
      <c r="B12" s="172" t="s">
        <v>121</v>
      </c>
      <c r="C12" s="170"/>
      <c r="D12" s="301" t="s">
        <v>137</v>
      </c>
      <c r="E12" s="173"/>
      <c r="F12" s="170"/>
      <c r="G12" s="294">
        <f>IF($D$6=1,G14,IF($D$6=2,G15,IF($D$6=3,G16)))</f>
        <v>0.02</v>
      </c>
      <c r="H12" s="295">
        <f>CHOOSE($D$6,H14,H15,H16)</f>
        <v>0.02</v>
      </c>
      <c r="I12" s="295">
        <f ca="1">OFFSET(I13,$D$6,0)</f>
        <v>0.02</v>
      </c>
      <c r="J12" s="295" cm="1">
        <f t="array" ref="J12">INDEX(J14:J16,$D$6)</f>
        <v>2.5000000000000001E-2</v>
      </c>
      <c r="K12" s="295" cm="1">
        <f t="array" ref="K12">INDEX(K14:K16,$D$6)</f>
        <v>2.5000000000000001E-2</v>
      </c>
    </row>
    <row r="13" spans="2:11" ht="6.75" customHeight="1">
      <c r="B13" s="174"/>
      <c r="C13" s="170"/>
      <c r="D13" s="173"/>
      <c r="E13" s="173"/>
      <c r="F13" s="170"/>
      <c r="G13" s="175"/>
      <c r="H13" s="176"/>
      <c r="I13" s="176"/>
      <c r="J13" s="176"/>
      <c r="K13" s="176"/>
    </row>
    <row r="14" spans="2:11">
      <c r="B14" s="174"/>
      <c r="C14" s="170" t="str">
        <f>Assumptions!C18</f>
        <v>Base Case</v>
      </c>
      <c r="D14" s="173"/>
      <c r="E14" s="173"/>
      <c r="F14" s="170"/>
      <c r="G14" s="177">
        <v>0.02</v>
      </c>
      <c r="H14" s="178">
        <v>0.02</v>
      </c>
      <c r="I14" s="178">
        <v>0.02</v>
      </c>
      <c r="J14" s="178">
        <v>2.5000000000000001E-2</v>
      </c>
      <c r="K14" s="179">
        <v>2.5000000000000001E-2</v>
      </c>
    </row>
    <row r="15" spans="2:11">
      <c r="B15" s="174"/>
      <c r="C15" s="170" t="str">
        <f>Assumptions!C19</f>
        <v>Best Case</v>
      </c>
      <c r="D15" s="173"/>
      <c r="E15" s="173"/>
      <c r="F15" s="170"/>
      <c r="G15" s="180">
        <v>1.7999999999999999E-2</v>
      </c>
      <c r="H15" s="181">
        <v>1.7999999999999999E-2</v>
      </c>
      <c r="I15" s="181">
        <v>1.7999999999999999E-2</v>
      </c>
      <c r="J15" s="181">
        <v>0.02</v>
      </c>
      <c r="K15" s="182">
        <v>0.02</v>
      </c>
    </row>
    <row r="16" spans="2:11">
      <c r="B16" s="174"/>
      <c r="C16" s="170" t="str">
        <f>Assumptions!C20</f>
        <v>Worst Case</v>
      </c>
      <c r="D16" s="173"/>
      <c r="E16" s="173"/>
      <c r="F16" s="170"/>
      <c r="G16" s="183">
        <v>2.5000000000000001E-2</v>
      </c>
      <c r="H16" s="184">
        <v>2.5000000000000001E-2</v>
      </c>
      <c r="I16" s="184">
        <v>2.5000000000000001E-2</v>
      </c>
      <c r="J16" s="184">
        <v>2.5000000000000001E-2</v>
      </c>
      <c r="K16" s="185">
        <v>2.5000000000000001E-2</v>
      </c>
    </row>
    <row r="18" spans="1:11">
      <c r="B18" s="186"/>
      <c r="C18" s="186"/>
      <c r="D18" s="187"/>
      <c r="E18" s="187"/>
      <c r="F18" s="186"/>
      <c r="G18" s="186"/>
      <c r="H18" s="186"/>
      <c r="I18" s="186"/>
      <c r="J18" s="186"/>
      <c r="K18" s="186"/>
    </row>
    <row r="19" spans="1:11">
      <c r="B19" s="170"/>
      <c r="C19" s="170"/>
      <c r="D19" s="171"/>
      <c r="E19" s="171"/>
      <c r="F19" s="170"/>
      <c r="G19" s="170"/>
      <c r="H19" s="170"/>
      <c r="I19" s="170"/>
      <c r="J19" s="170"/>
      <c r="K19" s="170"/>
    </row>
    <row r="20" spans="1:11">
      <c r="B20" s="170"/>
      <c r="C20" s="170"/>
      <c r="D20" s="171"/>
      <c r="E20" s="171"/>
      <c r="F20" s="170"/>
      <c r="G20" s="170"/>
      <c r="H20" s="170"/>
      <c r="I20" s="170"/>
      <c r="J20" s="170"/>
      <c r="K20" s="170"/>
    </row>
    <row r="21" spans="1:11" ht="15">
      <c r="B21" s="169" t="s">
        <v>122</v>
      </c>
      <c r="C21" s="170"/>
      <c r="D21" s="171"/>
      <c r="E21" s="171"/>
      <c r="F21" s="170"/>
      <c r="G21" s="170"/>
      <c r="H21" s="170"/>
      <c r="I21" s="170"/>
      <c r="J21" s="170"/>
      <c r="K21" s="170"/>
    </row>
    <row r="22" spans="1:11">
      <c r="B22" s="170"/>
      <c r="C22" s="170"/>
      <c r="D22" s="171"/>
      <c r="E22" s="171"/>
      <c r="F22" s="170"/>
      <c r="G22" s="170"/>
      <c r="H22" s="170"/>
      <c r="I22" s="170"/>
      <c r="J22" s="170"/>
      <c r="K22" s="170"/>
    </row>
    <row r="23" spans="1:11">
      <c r="B23" s="172" t="s">
        <v>123</v>
      </c>
      <c r="C23" s="188"/>
      <c r="D23" s="189"/>
      <c r="E23" s="189"/>
      <c r="F23" s="188"/>
      <c r="G23" s="297" cm="1">
        <f t="array" ref="G23">INDEX(G25:G27,$D$6)</f>
        <v>800</v>
      </c>
      <c r="H23" s="298" cm="1">
        <f t="array" ref="H23">INDEX(H25:H27,$D$6)</f>
        <v>725</v>
      </c>
      <c r="I23" s="298" cm="1">
        <f t="array" ref="I23">INDEX(I25:I27,$D$6)</f>
        <v>825</v>
      </c>
      <c r="J23" s="298" cm="1">
        <f t="array" ref="J23">INDEX(J25:J27,$D$6)</f>
        <v>800</v>
      </c>
      <c r="K23" s="299" cm="1">
        <f t="array" ref="K23">INDEX(K25:K27,$D$6)</f>
        <v>750</v>
      </c>
    </row>
    <row r="24" spans="1:11" ht="6.75" customHeight="1">
      <c r="B24" s="190"/>
      <c r="C24" s="170"/>
      <c r="D24" s="173"/>
      <c r="E24" s="173"/>
      <c r="F24" s="170"/>
      <c r="G24" s="191"/>
      <c r="H24" s="191"/>
      <c r="I24" s="191"/>
      <c r="J24" s="191"/>
      <c r="K24" s="191"/>
    </row>
    <row r="25" spans="1:11">
      <c r="B25" s="170"/>
      <c r="C25" s="192" t="str">
        <f>C14</f>
        <v>Base Case</v>
      </c>
      <c r="D25" s="193"/>
      <c r="E25" s="193"/>
      <c r="F25" s="170"/>
      <c r="G25" s="194">
        <v>800</v>
      </c>
      <c r="H25" s="195">
        <v>725</v>
      </c>
      <c r="I25" s="195">
        <v>825</v>
      </c>
      <c r="J25" s="195">
        <v>800</v>
      </c>
      <c r="K25" s="196">
        <v>750</v>
      </c>
    </row>
    <row r="26" spans="1:11">
      <c r="A26" s="293">
        <f>Assumptions!F19</f>
        <v>0.04</v>
      </c>
      <c r="B26" s="170"/>
      <c r="C26" s="292" t="s">
        <v>135</v>
      </c>
      <c r="D26" s="193"/>
      <c r="E26" s="193"/>
      <c r="F26" s="170"/>
      <c r="G26" s="197">
        <f>G$25*(1+$A$26)</f>
        <v>832</v>
      </c>
      <c r="H26" s="198">
        <f>H$25*(1+$A$26)</f>
        <v>754</v>
      </c>
      <c r="I26" s="198">
        <f t="shared" ref="I26:J26" si="0">I$25*(1+$A$26)</f>
        <v>858</v>
      </c>
      <c r="J26" s="198">
        <f t="shared" si="0"/>
        <v>832</v>
      </c>
      <c r="K26" s="199">
        <f>K$25*(1+$A$26)</f>
        <v>780</v>
      </c>
    </row>
    <row r="27" spans="1:11">
      <c r="A27" s="293">
        <f>Assumptions!F20</f>
        <v>-0.04</v>
      </c>
      <c r="B27" s="170"/>
      <c r="C27" s="292" t="s">
        <v>136</v>
      </c>
      <c r="D27" s="193"/>
      <c r="E27" s="193"/>
      <c r="F27" s="170"/>
      <c r="G27" s="200">
        <f>G$25*(1+$A$27)</f>
        <v>768</v>
      </c>
      <c r="H27" s="201">
        <f>H$25*(1+$A$27)</f>
        <v>696</v>
      </c>
      <c r="I27" s="201">
        <f t="shared" ref="I27:J27" si="1">I$25*(1+$A$27)</f>
        <v>792</v>
      </c>
      <c r="J27" s="201">
        <f t="shared" si="1"/>
        <v>768</v>
      </c>
      <c r="K27" s="302">
        <f>K$25*(1+$A$27)</f>
        <v>720</v>
      </c>
    </row>
    <row r="28" spans="1:11">
      <c r="B28" s="170"/>
      <c r="C28" s="202"/>
      <c r="D28" s="193"/>
      <c r="E28" s="193"/>
      <c r="F28" s="170"/>
      <c r="G28" s="203"/>
      <c r="H28" s="203"/>
      <c r="I28" s="203"/>
      <c r="J28" s="203"/>
      <c r="K28" s="204"/>
    </row>
    <row r="29" spans="1:11">
      <c r="B29" s="170"/>
      <c r="C29" s="202"/>
      <c r="D29" s="193"/>
      <c r="E29" s="193"/>
      <c r="F29" s="170"/>
      <c r="G29" s="203"/>
      <c r="H29" s="203"/>
      <c r="I29" s="203"/>
      <c r="J29" s="203"/>
      <c r="K29" s="204"/>
    </row>
    <row r="30" spans="1:11">
      <c r="B30" s="172" t="s">
        <v>124</v>
      </c>
      <c r="C30" s="170"/>
      <c r="D30" s="173"/>
      <c r="E30" s="173"/>
      <c r="F30" s="170"/>
      <c r="G30" s="294">
        <f>CHOOSE($D$6,G32,G33,G34)</f>
        <v>0.05</v>
      </c>
      <c r="H30" s="295">
        <f>CHOOSE($D$6,H32,H33,H34)</f>
        <v>0.04</v>
      </c>
      <c r="I30" s="295">
        <f t="shared" ref="I30:J30" si="2">CHOOSE($D$6,I32,I33,I34)</f>
        <v>0.04</v>
      </c>
      <c r="J30" s="295">
        <f t="shared" si="2"/>
        <v>0.04</v>
      </c>
      <c r="K30" s="296">
        <f>CHOOSE($D$6,K32,K33,K34)</f>
        <v>0.04</v>
      </c>
    </row>
    <row r="31" spans="1:11">
      <c r="B31" s="174"/>
      <c r="C31" s="170"/>
      <c r="D31" s="173"/>
      <c r="E31" s="173"/>
      <c r="F31" s="170"/>
      <c r="G31" s="175"/>
      <c r="H31" s="176"/>
      <c r="I31" s="176"/>
      <c r="J31" s="176"/>
      <c r="K31" s="176"/>
    </row>
    <row r="32" spans="1:11">
      <c r="B32" s="174"/>
      <c r="C32" s="170" t="str">
        <f>C14</f>
        <v>Base Case</v>
      </c>
      <c r="D32" s="173"/>
      <c r="E32" s="173"/>
      <c r="F32" s="170"/>
      <c r="G32" s="205">
        <v>0.05</v>
      </c>
      <c r="H32" s="206">
        <v>0.04</v>
      </c>
      <c r="I32" s="206">
        <v>0.04</v>
      </c>
      <c r="J32" s="206">
        <v>0.04</v>
      </c>
      <c r="K32" s="207">
        <v>0.04</v>
      </c>
    </row>
    <row r="33" spans="2:11">
      <c r="B33" s="174"/>
      <c r="C33" s="170" t="str">
        <f>C15</f>
        <v>Best Case</v>
      </c>
      <c r="D33" s="173"/>
      <c r="E33" s="173"/>
      <c r="F33" s="170"/>
      <c r="G33" s="208">
        <v>0.05</v>
      </c>
      <c r="H33" s="209">
        <v>0.04</v>
      </c>
      <c r="I33" s="209">
        <v>0.05</v>
      </c>
      <c r="J33" s="209">
        <v>0.05</v>
      </c>
      <c r="K33" s="210">
        <v>0.04</v>
      </c>
    </row>
    <row r="34" spans="2:11">
      <c r="B34" s="174"/>
      <c r="C34" s="170" t="str">
        <f>C16</f>
        <v>Worst Case</v>
      </c>
      <c r="D34" s="173"/>
      <c r="E34" s="173"/>
      <c r="F34" s="170"/>
      <c r="G34" s="211">
        <v>0.04</v>
      </c>
      <c r="H34" s="212">
        <v>0.04</v>
      </c>
      <c r="I34" s="212">
        <v>0.03</v>
      </c>
      <c r="J34" s="212">
        <v>0.03</v>
      </c>
      <c r="K34" s="213">
        <v>0.02</v>
      </c>
    </row>
    <row r="35" spans="2:11">
      <c r="B35" s="170"/>
      <c r="C35" s="202"/>
      <c r="D35" s="193"/>
      <c r="E35" s="193"/>
      <c r="F35" s="170"/>
      <c r="G35" s="203"/>
      <c r="H35" s="203"/>
      <c r="I35" s="203"/>
      <c r="J35" s="203"/>
      <c r="K35" s="204"/>
    </row>
    <row r="36" spans="2:11">
      <c r="B36" s="214"/>
      <c r="C36" s="214"/>
      <c r="D36" s="215"/>
      <c r="E36" s="215"/>
      <c r="F36" s="214"/>
      <c r="G36" s="214"/>
      <c r="H36" s="214"/>
      <c r="I36" s="214"/>
      <c r="J36" s="214"/>
      <c r="K36" s="21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3</xdr:col>
                    <xdr:colOff>38100</xdr:colOff>
                    <xdr:row>4</xdr:row>
                    <xdr:rowOff>76200</xdr:rowOff>
                  </from>
                  <to>
                    <xdr:col>4</xdr:col>
                    <xdr:colOff>95250</xdr:colOff>
                    <xdr:row>6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2:P344"/>
  <sheetViews>
    <sheetView showGridLines="0" zoomScale="115" zoomScaleNormal="115" zoomScaleSheetLayoutView="90" workbookViewId="0">
      <selection activeCell="J10" sqref="J10"/>
    </sheetView>
  </sheetViews>
  <sheetFormatPr defaultColWidth="9.42578125" defaultRowHeight="12.75"/>
  <cols>
    <col min="1" max="1" width="3.5703125" customWidth="1"/>
    <col min="2" max="2" width="1.85546875" customWidth="1"/>
    <col min="3" max="3" width="2.42578125" customWidth="1"/>
    <col min="4" max="4" width="11.42578125" customWidth="1"/>
    <col min="5" max="5" width="12.5703125" customWidth="1"/>
    <col min="6" max="6" width="10.42578125" style="15" customWidth="1"/>
    <col min="7" max="7" width="1.85546875" customWidth="1"/>
    <col min="8" max="10" width="10.7109375" customWidth="1"/>
  </cols>
  <sheetData>
    <row r="2" spans="2:15" ht="23.25">
      <c r="B2" s="1" t="str">
        <f>B73</f>
        <v>Blu Containers Company</v>
      </c>
      <c r="C2" s="2"/>
      <c r="D2" s="2"/>
      <c r="E2" s="2"/>
      <c r="F2" s="9"/>
      <c r="G2" s="2"/>
      <c r="H2" s="2"/>
      <c r="I2" s="2"/>
      <c r="J2" s="2"/>
      <c r="K2" s="2"/>
      <c r="L2" s="2"/>
      <c r="M2" s="2"/>
      <c r="N2" s="2"/>
      <c r="O2" s="358" t="str">
        <f>UPPER("Currently Running: "&amp;CHOOSE(Scenarios!$D$6,Scenarios!C14,Scenarios!C15,Scenarios!C16)&amp;" Scenario")</f>
        <v>CURRENTLY RUNNING: BASE CASE SCENARIO</v>
      </c>
    </row>
    <row r="3" spans="2:15" ht="18.75">
      <c r="B3" s="12" t="s">
        <v>140</v>
      </c>
      <c r="C3" s="13"/>
      <c r="D3" s="13"/>
      <c r="E3" s="13"/>
      <c r="F3" s="14"/>
      <c r="G3" s="13"/>
      <c r="H3" s="13"/>
      <c r="I3" s="13"/>
      <c r="J3" s="13"/>
      <c r="K3" s="2"/>
      <c r="L3" s="2"/>
      <c r="M3" s="2"/>
      <c r="N3" s="2"/>
      <c r="O3" s="2"/>
    </row>
    <row r="4" spans="2:15" ht="6" customHeight="1" thickBot="1">
      <c r="B4" s="1"/>
      <c r="C4" s="303"/>
      <c r="D4" s="303"/>
      <c r="E4" s="303"/>
      <c r="F4" s="304"/>
      <c r="G4" s="303"/>
      <c r="H4" s="303"/>
      <c r="I4" s="303"/>
      <c r="J4" s="303"/>
      <c r="K4" s="303"/>
      <c r="L4" s="303"/>
      <c r="M4" s="303"/>
      <c r="N4" s="303"/>
      <c r="O4" s="303"/>
    </row>
    <row r="6" spans="2:15">
      <c r="H6" s="2"/>
      <c r="I6" s="2"/>
      <c r="J6" s="2"/>
      <c r="K6" s="306" t="s">
        <v>126</v>
      </c>
      <c r="L6" s="305"/>
      <c r="M6" s="305"/>
      <c r="N6" s="305"/>
      <c r="O6" s="305"/>
    </row>
    <row r="7" spans="2:15">
      <c r="F7" s="15" t="s">
        <v>141</v>
      </c>
      <c r="H7" s="88">
        <v>2020</v>
      </c>
      <c r="I7" s="88">
        <f>H7+1</f>
        <v>2021</v>
      </c>
      <c r="J7" s="88">
        <f>I7+1</f>
        <v>2022</v>
      </c>
      <c r="K7" s="20">
        <f>Scenarios!G6</f>
        <v>2023</v>
      </c>
      <c r="L7" s="20">
        <f>Scenarios!H6</f>
        <v>2024</v>
      </c>
      <c r="M7" s="20">
        <f>Scenarios!I6</f>
        <v>2025</v>
      </c>
      <c r="N7" s="20">
        <f>Scenarios!J6</f>
        <v>2026</v>
      </c>
      <c r="O7" s="20">
        <f>Scenarios!K6</f>
        <v>2027</v>
      </c>
    </row>
    <row r="9" spans="2:15">
      <c r="B9" s="27" t="s">
        <v>142</v>
      </c>
      <c r="F9" s="17"/>
      <c r="H9" s="307"/>
      <c r="I9" s="307"/>
      <c r="J9" s="307"/>
      <c r="K9" s="308"/>
    </row>
    <row r="10" spans="2:15">
      <c r="C10" s="5" t="s">
        <v>143</v>
      </c>
      <c r="F10" s="309" t="s">
        <v>144</v>
      </c>
      <c r="H10" s="310"/>
      <c r="I10" s="310"/>
      <c r="J10" s="311">
        <v>694.4</v>
      </c>
      <c r="K10" s="359">
        <f>Scenarios!G23</f>
        <v>800</v>
      </c>
      <c r="L10" s="359">
        <f>Scenarios!H23</f>
        <v>725</v>
      </c>
      <c r="M10" s="359">
        <f>Scenarios!I23</f>
        <v>825</v>
      </c>
      <c r="N10" s="359">
        <f>Scenarios!J23</f>
        <v>800</v>
      </c>
      <c r="O10" s="359">
        <f>Scenarios!K23</f>
        <v>750</v>
      </c>
    </row>
    <row r="11" spans="2:15">
      <c r="C11" t="s">
        <v>121</v>
      </c>
      <c r="F11" s="17" t="s">
        <v>132</v>
      </c>
      <c r="H11" s="312"/>
      <c r="I11" s="313"/>
      <c r="J11" s="313"/>
      <c r="K11" s="360">
        <f>Scenarios!G12</f>
        <v>0.02</v>
      </c>
      <c r="L11" s="360">
        <f>Scenarios!H12</f>
        <v>0.02</v>
      </c>
      <c r="M11" s="360">
        <f ca="1">Scenarios!I12</f>
        <v>0.02</v>
      </c>
      <c r="N11" s="360">
        <f>Scenarios!J12</f>
        <v>2.5000000000000001E-2</v>
      </c>
      <c r="O11" s="360">
        <f>Scenarios!K12</f>
        <v>2.5000000000000001E-2</v>
      </c>
    </row>
    <row r="12" spans="2:15">
      <c r="C12" s="18" t="s">
        <v>30</v>
      </c>
      <c r="F12" s="309" t="s">
        <v>144</v>
      </c>
      <c r="H12" s="314"/>
      <c r="I12" s="314"/>
      <c r="J12" s="315">
        <v>100</v>
      </c>
      <c r="K12" s="361">
        <f>J12*(1+K11)</f>
        <v>102</v>
      </c>
      <c r="L12" s="361">
        <f t="shared" ref="L12:O12" si="0">K12*(1+L11)</f>
        <v>104.04</v>
      </c>
      <c r="M12" s="361">
        <f t="shared" ca="1" si="0"/>
        <v>106.1208</v>
      </c>
      <c r="N12" s="361">
        <f t="shared" ca="1" si="0"/>
        <v>108.77381999999999</v>
      </c>
      <c r="O12" s="361">
        <f t="shared" ca="1" si="0"/>
        <v>111.49316549999998</v>
      </c>
    </row>
    <row r="13" spans="2:15">
      <c r="C13" s="19" t="s">
        <v>145</v>
      </c>
      <c r="F13" s="317" t="s">
        <v>144</v>
      </c>
      <c r="H13" s="318"/>
      <c r="I13" s="318"/>
      <c r="J13" s="319">
        <f t="shared" ref="J13" si="1">J10-J12</f>
        <v>594.4</v>
      </c>
      <c r="K13" s="362">
        <f>K10-K12</f>
        <v>698</v>
      </c>
      <c r="L13" s="362">
        <f t="shared" ref="L13:O13" si="2">L10-L12</f>
        <v>620.96</v>
      </c>
      <c r="M13" s="362">
        <f t="shared" ca="1" si="2"/>
        <v>718.87919999999997</v>
      </c>
      <c r="N13" s="362">
        <f t="shared" ca="1" si="2"/>
        <v>691.22618</v>
      </c>
      <c r="O13" s="362">
        <f t="shared" ca="1" si="2"/>
        <v>638.50683449999997</v>
      </c>
    </row>
    <row r="14" spans="2:15">
      <c r="B14" s="320"/>
      <c r="C14" s="321"/>
      <c r="D14" s="320"/>
      <c r="E14" s="320"/>
      <c r="F14" s="322"/>
      <c r="G14" s="320"/>
      <c r="H14" s="323"/>
      <c r="I14" s="323"/>
      <c r="J14" s="323"/>
      <c r="K14" s="316"/>
      <c r="L14" s="316"/>
      <c r="M14" s="316"/>
    </row>
    <row r="15" spans="2:15">
      <c r="C15" s="27"/>
      <c r="F15" s="317"/>
      <c r="H15" s="324"/>
      <c r="I15" s="324"/>
      <c r="J15" s="324"/>
      <c r="K15" s="325"/>
      <c r="L15" s="325"/>
      <c r="M15" s="325"/>
      <c r="N15" s="325"/>
      <c r="O15" s="325"/>
    </row>
    <row r="16" spans="2:15">
      <c r="B16" s="19" t="s">
        <v>146</v>
      </c>
      <c r="F16" s="17"/>
    </row>
    <row r="17" spans="2:15">
      <c r="B17" s="19"/>
      <c r="C17" t="s">
        <v>147</v>
      </c>
      <c r="F17" s="17" t="s">
        <v>148</v>
      </c>
      <c r="H17" s="311"/>
      <c r="I17" s="311"/>
      <c r="J17" s="311"/>
      <c r="K17" s="359">
        <f>Assumptions!$N$17</f>
        <v>420</v>
      </c>
      <c r="L17" s="326">
        <f>Assumptions!$N$17</f>
        <v>420</v>
      </c>
      <c r="M17" s="326">
        <f>Assumptions!$N$17</f>
        <v>420</v>
      </c>
      <c r="N17" s="326">
        <f>Assumptions!$N$17</f>
        <v>420</v>
      </c>
      <c r="O17" s="326">
        <f>Assumptions!$N$17</f>
        <v>420</v>
      </c>
    </row>
    <row r="18" spans="2:15">
      <c r="B18" s="19"/>
      <c r="F18" s="17"/>
    </row>
    <row r="19" spans="2:15">
      <c r="C19" t="s">
        <v>124</v>
      </c>
      <c r="F19" s="17" t="s">
        <v>132</v>
      </c>
      <c r="H19" s="312"/>
      <c r="I19" s="313"/>
      <c r="J19" s="327"/>
      <c r="K19" s="363">
        <f>Scenarios!G30</f>
        <v>0.05</v>
      </c>
      <c r="L19" s="363">
        <f>Scenarios!H30</f>
        <v>0.04</v>
      </c>
      <c r="M19" s="363">
        <f>Scenarios!I30</f>
        <v>0.04</v>
      </c>
      <c r="N19" s="363">
        <f>Scenarios!J30</f>
        <v>0.04</v>
      </c>
      <c r="O19" s="363">
        <f>Scenarios!K30</f>
        <v>0.04</v>
      </c>
    </row>
    <row r="20" spans="2:15">
      <c r="C20" s="20" t="s">
        <v>149</v>
      </c>
      <c r="F20" s="21" t="s">
        <v>148</v>
      </c>
      <c r="H20" s="328"/>
      <c r="I20" s="328"/>
      <c r="J20" s="319">
        <f>J26*1000/J10</f>
        <v>344.4700460829493</v>
      </c>
      <c r="K20" s="362">
        <f>MIN(K17,J20*(1+K19))</f>
        <v>361.69354838709677</v>
      </c>
      <c r="L20" s="362">
        <f t="shared" ref="L20:O20" si="3">MIN(L17,K20*(1+L19))</f>
        <v>376.16129032258067</v>
      </c>
      <c r="M20" s="362">
        <f t="shared" si="3"/>
        <v>391.20774193548391</v>
      </c>
      <c r="N20" s="362">
        <f t="shared" si="3"/>
        <v>406.85605161290329</v>
      </c>
      <c r="O20" s="362">
        <f t="shared" si="3"/>
        <v>420</v>
      </c>
    </row>
    <row r="21" spans="2:15" ht="11.25" customHeight="1">
      <c r="C21" s="20"/>
      <c r="F21" s="21"/>
      <c r="H21" s="325"/>
      <c r="I21" s="325"/>
      <c r="J21" s="325"/>
      <c r="K21" s="364"/>
      <c r="L21" s="364"/>
      <c r="M21" s="364"/>
      <c r="N21" s="364"/>
      <c r="O21" s="364"/>
    </row>
    <row r="22" spans="2:15">
      <c r="C22" t="s">
        <v>150</v>
      </c>
      <c r="F22" s="21"/>
      <c r="H22" s="329"/>
      <c r="I22" s="329"/>
      <c r="J22" s="329"/>
      <c r="K22" s="365">
        <f>K20/K17</f>
        <v>0.86117511520737322</v>
      </c>
      <c r="L22" s="365">
        <f t="shared" ref="L22:O22" si="4">L20/L17</f>
        <v>0.8956221198156683</v>
      </c>
      <c r="M22" s="365">
        <f t="shared" si="4"/>
        <v>0.93144700460829499</v>
      </c>
      <c r="N22" s="365">
        <f t="shared" si="4"/>
        <v>0.96870488479262684</v>
      </c>
      <c r="O22" s="365">
        <f t="shared" si="4"/>
        <v>1</v>
      </c>
    </row>
    <row r="23" spans="2:15">
      <c r="B23" s="320"/>
      <c r="C23" s="320"/>
      <c r="D23" s="320"/>
      <c r="E23" s="320"/>
      <c r="F23" s="330"/>
      <c r="G23" s="320"/>
      <c r="H23" s="320"/>
      <c r="I23" s="320"/>
      <c r="J23" s="320"/>
      <c r="K23" s="366"/>
      <c r="L23" s="366"/>
      <c r="M23" s="366"/>
      <c r="N23" s="366"/>
      <c r="O23" s="366"/>
    </row>
    <row r="24" spans="2:15">
      <c r="F24" s="17"/>
      <c r="K24" s="367"/>
      <c r="L24" s="367"/>
      <c r="M24" s="367"/>
      <c r="N24" s="367"/>
      <c r="O24" s="367"/>
    </row>
    <row r="25" spans="2:15">
      <c r="B25" s="20" t="s">
        <v>25</v>
      </c>
      <c r="F25" s="17"/>
      <c r="K25" s="367"/>
      <c r="L25" s="367"/>
      <c r="M25" s="367"/>
      <c r="N25" s="367"/>
      <c r="O25" s="367"/>
    </row>
    <row r="26" spans="2:15">
      <c r="C26" s="5" t="s">
        <v>26</v>
      </c>
      <c r="F26" s="17" t="s">
        <v>151</v>
      </c>
      <c r="H26" s="331"/>
      <c r="I26" s="331"/>
      <c r="J26" s="332">
        <f>J81</f>
        <v>239.2</v>
      </c>
      <c r="K26" s="368">
        <f>K$20*K10/1000</f>
        <v>289.35483870967738</v>
      </c>
      <c r="L26" s="368">
        <f t="shared" ref="L26:O26" si="5">L$20*L10/1000</f>
        <v>272.716935483871</v>
      </c>
      <c r="M26" s="368">
        <f t="shared" si="5"/>
        <v>322.74638709677424</v>
      </c>
      <c r="N26" s="368">
        <f t="shared" si="5"/>
        <v>325.48484129032266</v>
      </c>
      <c r="O26" s="368">
        <f t="shared" si="5"/>
        <v>315</v>
      </c>
    </row>
    <row r="27" spans="2:15">
      <c r="C27" s="18" t="s">
        <v>30</v>
      </c>
      <c r="F27" s="17" t="s">
        <v>151</v>
      </c>
      <c r="H27" s="331"/>
      <c r="I27" s="331"/>
      <c r="J27" s="332">
        <f>J82</f>
        <v>34.4</v>
      </c>
      <c r="K27" s="368">
        <f>K$20*K12/1000</f>
        <v>36.892741935483869</v>
      </c>
      <c r="L27" s="368">
        <f t="shared" ref="L27:O27" si="6">L$20*L12/1000</f>
        <v>39.135820645161296</v>
      </c>
      <c r="M27" s="368">
        <f t="shared" ca="1" si="6"/>
        <v>41.515278540387101</v>
      </c>
      <c r="N27" s="368">
        <f t="shared" ca="1" si="6"/>
        <v>44.255286924052648</v>
      </c>
      <c r="O27" s="368">
        <f t="shared" ca="1" si="6"/>
        <v>46.827129509999992</v>
      </c>
    </row>
    <row r="28" spans="2:15">
      <c r="C28" s="20" t="s">
        <v>0</v>
      </c>
      <c r="F28" s="21" t="s">
        <v>151</v>
      </c>
      <c r="H28" s="333"/>
      <c r="I28" s="333"/>
      <c r="J28" s="334">
        <f t="shared" ref="J28" si="7">J26-J27</f>
        <v>204.79999999999998</v>
      </c>
      <c r="K28" s="369">
        <f>K26-K27</f>
        <v>252.46209677419353</v>
      </c>
      <c r="L28" s="369">
        <f t="shared" ref="L28:O28" si="8">L26-L27</f>
        <v>233.58111483870971</v>
      </c>
      <c r="M28" s="369">
        <f t="shared" ca="1" si="8"/>
        <v>281.23110855638714</v>
      </c>
      <c r="N28" s="369">
        <f t="shared" ca="1" si="8"/>
        <v>281.22955436627001</v>
      </c>
      <c r="O28" s="369">
        <f t="shared" ca="1" si="8"/>
        <v>268.17287049000004</v>
      </c>
    </row>
    <row r="29" spans="2:15">
      <c r="B29" s="6"/>
      <c r="C29" s="6"/>
      <c r="D29" s="6"/>
      <c r="E29" s="6"/>
      <c r="F29" s="335"/>
      <c r="G29" s="6"/>
      <c r="H29" s="6"/>
      <c r="I29" s="6"/>
      <c r="J29" s="6"/>
      <c r="K29" s="6"/>
      <c r="L29" s="6"/>
      <c r="M29" s="6"/>
      <c r="N29" s="6"/>
      <c r="O29" s="6"/>
    </row>
    <row r="31" spans="2:15">
      <c r="O31" s="358" t="str">
        <f>$O$2</f>
        <v>CURRENTLY RUNNING: BASE CASE SCENARIO</v>
      </c>
    </row>
    <row r="32" spans="2:15" ht="23.25">
      <c r="B32" s="1" t="str">
        <f>B73</f>
        <v>Blu Containers Company</v>
      </c>
      <c r="C32" s="2"/>
      <c r="D32" s="2"/>
      <c r="E32" s="2"/>
      <c r="F32" s="9"/>
      <c r="G32" s="2"/>
      <c r="H32" s="2"/>
      <c r="I32" s="2"/>
      <c r="J32" s="2"/>
      <c r="K32" s="2"/>
      <c r="L32" s="2"/>
      <c r="M32" s="2"/>
      <c r="N32" s="2"/>
      <c r="O32" s="2"/>
    </row>
    <row r="33" spans="2:15" ht="18.75">
      <c r="B33" s="12" t="s">
        <v>152</v>
      </c>
      <c r="C33" s="13"/>
      <c r="D33" s="13"/>
      <c r="E33" s="13"/>
      <c r="F33" s="14"/>
      <c r="G33" s="13"/>
      <c r="H33" s="13"/>
      <c r="I33" s="13"/>
      <c r="J33" s="13"/>
      <c r="K33" s="2"/>
      <c r="L33" s="2"/>
      <c r="M33" s="2"/>
      <c r="N33" s="2"/>
      <c r="O33" s="2"/>
    </row>
    <row r="34" spans="2:15" ht="24" thickBot="1">
      <c r="B34" s="1"/>
      <c r="C34" s="303"/>
      <c r="D34" s="303"/>
      <c r="E34" s="303"/>
      <c r="F34" s="304"/>
      <c r="G34" s="303"/>
      <c r="H34" s="303"/>
      <c r="I34" s="303"/>
      <c r="J34" s="303"/>
      <c r="K34" s="303"/>
      <c r="L34" s="303"/>
      <c r="M34" s="303"/>
      <c r="N34" s="303"/>
      <c r="O34" s="303"/>
    </row>
    <row r="36" spans="2:15">
      <c r="H36" s="2"/>
      <c r="I36" s="2"/>
      <c r="J36" s="2"/>
      <c r="K36" s="306" t="s">
        <v>126</v>
      </c>
      <c r="L36" s="305"/>
      <c r="M36" s="305"/>
      <c r="N36" s="305"/>
      <c r="O36" s="305"/>
    </row>
    <row r="37" spans="2:15">
      <c r="F37" s="15" t="s">
        <v>141</v>
      </c>
      <c r="H37" s="88">
        <f>H7</f>
        <v>2020</v>
      </c>
      <c r="I37" s="88">
        <f t="shared" ref="I37:J37" si="9">I7</f>
        <v>2021</v>
      </c>
      <c r="J37" s="88">
        <f t="shared" si="9"/>
        <v>2022</v>
      </c>
      <c r="K37" s="20">
        <f>Scenarios!G6</f>
        <v>2023</v>
      </c>
      <c r="L37" s="20">
        <f>Scenarios!H6</f>
        <v>2024</v>
      </c>
      <c r="M37" s="20">
        <f>Scenarios!I6</f>
        <v>2025</v>
      </c>
      <c r="N37" s="20">
        <f>Scenarios!J6</f>
        <v>2026</v>
      </c>
      <c r="O37" s="20">
        <f>Scenarios!K6</f>
        <v>2027</v>
      </c>
    </row>
    <row r="39" spans="2:15">
      <c r="B39" s="336" t="s">
        <v>149</v>
      </c>
      <c r="C39" s="337"/>
      <c r="D39" s="337"/>
      <c r="E39" s="337"/>
      <c r="F39" s="338" t="s">
        <v>148</v>
      </c>
      <c r="G39" s="339"/>
      <c r="H39" s="340"/>
      <c r="I39" s="340"/>
      <c r="J39" s="340">
        <f t="shared" ref="J39:O39" si="10">J20</f>
        <v>344.4700460829493</v>
      </c>
      <c r="K39" s="340">
        <f t="shared" si="10"/>
        <v>361.69354838709677</v>
      </c>
      <c r="L39" s="340">
        <f t="shared" si="10"/>
        <v>376.16129032258067</v>
      </c>
      <c r="M39" s="340">
        <f t="shared" si="10"/>
        <v>391.20774193548391</v>
      </c>
      <c r="N39" s="340">
        <f t="shared" si="10"/>
        <v>406.85605161290329</v>
      </c>
      <c r="O39" s="341">
        <f t="shared" si="10"/>
        <v>420</v>
      </c>
    </row>
    <row r="40" spans="2:15">
      <c r="B40" s="342" t="s">
        <v>121</v>
      </c>
      <c r="C40" s="320"/>
      <c r="D40" s="320"/>
      <c r="E40" s="320"/>
      <c r="F40" s="330" t="s">
        <v>132</v>
      </c>
      <c r="G40" s="343"/>
      <c r="H40" s="344"/>
      <c r="I40" s="344"/>
      <c r="J40" s="344"/>
      <c r="K40" s="344"/>
      <c r="L40" s="345">
        <f>L11</f>
        <v>0.02</v>
      </c>
      <c r="M40" s="345">
        <f ca="1">M11</f>
        <v>0.02</v>
      </c>
      <c r="N40" s="345">
        <f>N11</f>
        <v>2.5000000000000001E-2</v>
      </c>
      <c r="O40" s="346">
        <f>O11</f>
        <v>2.5000000000000001E-2</v>
      </c>
    </row>
    <row r="41" spans="2:15">
      <c r="B41" s="347"/>
      <c r="G41" s="7"/>
      <c r="H41" s="7"/>
      <c r="I41" s="7"/>
      <c r="J41" s="7"/>
      <c r="K41" s="7"/>
      <c r="L41" s="7"/>
      <c r="M41" s="7"/>
      <c r="N41" s="7"/>
      <c r="O41" s="7"/>
    </row>
    <row r="42" spans="2:15">
      <c r="B42" s="348" t="s">
        <v>153</v>
      </c>
      <c r="G42" s="7"/>
      <c r="H42" s="7"/>
      <c r="I42" s="7"/>
      <c r="J42" s="7"/>
      <c r="K42" s="7"/>
      <c r="M42" s="7"/>
      <c r="N42" s="7"/>
      <c r="O42" s="7"/>
    </row>
    <row r="43" spans="2:15">
      <c r="C43" s="20" t="s">
        <v>154</v>
      </c>
    </row>
    <row r="44" spans="2:15">
      <c r="D44" s="18" t="str">
        <f>Assumptions!C27</f>
        <v>Raw Materials</v>
      </c>
      <c r="F44" s="15" t="s">
        <v>144</v>
      </c>
      <c r="H44" s="23"/>
      <c r="I44" s="23"/>
      <c r="J44" s="23"/>
      <c r="K44" s="390">
        <f>Assumptions!E27</f>
        <v>226</v>
      </c>
      <c r="L44" s="391">
        <f>K44*(1+L40)</f>
        <v>230.52</v>
      </c>
      <c r="M44" s="391">
        <f t="shared" ref="M44:O44" ca="1" si="11">L44*(1+M40)</f>
        <v>235.13040000000001</v>
      </c>
      <c r="N44" s="391">
        <f t="shared" ca="1" si="11"/>
        <v>241.00865999999999</v>
      </c>
      <c r="O44" s="391">
        <f t="shared" ca="1" si="11"/>
        <v>247.03387649999996</v>
      </c>
    </row>
    <row r="45" spans="2:15">
      <c r="D45" s="18" t="str">
        <f>Assumptions!C28</f>
        <v>Utilities</v>
      </c>
      <c r="F45" s="15" t="s">
        <v>144</v>
      </c>
      <c r="H45" s="23"/>
      <c r="I45" s="23"/>
      <c r="J45" s="23"/>
      <c r="K45" s="392">
        <f>Assumptions!E28</f>
        <v>66.2</v>
      </c>
      <c r="L45" s="394">
        <f>K45*(1+L40)</f>
        <v>67.524000000000001</v>
      </c>
      <c r="M45" s="394">
        <f t="shared" ref="M45:O45" ca="1" si="12">L45*(1+M40)</f>
        <v>68.874480000000005</v>
      </c>
      <c r="N45" s="394">
        <f t="shared" ca="1" si="12"/>
        <v>70.596341999999993</v>
      </c>
      <c r="O45" s="394">
        <f t="shared" ca="1" si="12"/>
        <v>72.36125054999998</v>
      </c>
    </row>
    <row r="46" spans="2:15">
      <c r="D46" s="20" t="s">
        <v>155</v>
      </c>
      <c r="F46" s="349" t="s">
        <v>144</v>
      </c>
      <c r="H46" s="25"/>
      <c r="I46" s="25"/>
      <c r="J46" s="25"/>
      <c r="K46" s="393">
        <f>SUM(K44:K45)</f>
        <v>292.2</v>
      </c>
      <c r="L46" s="393">
        <f t="shared" ref="L46:O46" si="13">SUM(L44:L45)</f>
        <v>298.04399999999998</v>
      </c>
      <c r="M46" s="393">
        <f t="shared" ca="1" si="13"/>
        <v>304.00488000000001</v>
      </c>
      <c r="N46" s="393">
        <f t="shared" ca="1" si="13"/>
        <v>311.60500200000001</v>
      </c>
      <c r="O46" s="393">
        <f t="shared" ca="1" si="13"/>
        <v>319.39512704999993</v>
      </c>
    </row>
    <row r="47" spans="2:15">
      <c r="D47" s="18"/>
      <c r="H47" s="26"/>
      <c r="I47" s="26"/>
      <c r="J47" s="26"/>
      <c r="K47" s="26"/>
      <c r="L47" s="26"/>
      <c r="M47" s="26"/>
      <c r="N47" s="26"/>
      <c r="O47" s="26"/>
    </row>
    <row r="48" spans="2:15">
      <c r="C48" s="19" t="s">
        <v>156</v>
      </c>
      <c r="D48" s="18"/>
      <c r="H48" s="350"/>
      <c r="I48" s="350"/>
      <c r="J48" s="350"/>
      <c r="K48" s="350"/>
      <c r="L48" s="351"/>
      <c r="M48" s="351"/>
      <c r="N48" s="351"/>
      <c r="O48" s="351"/>
    </row>
    <row r="49" spans="2:15">
      <c r="D49" s="18" t="str">
        <f>Assumptions!C29</f>
        <v>Rent</v>
      </c>
      <c r="F49" s="15" t="s">
        <v>144</v>
      </c>
      <c r="H49" s="24"/>
      <c r="I49" s="24"/>
      <c r="J49" s="24"/>
      <c r="K49" s="391">
        <f>K64*1000/K$39</f>
        <v>64.972129319955414</v>
      </c>
      <c r="L49" s="391">
        <f t="shared" ref="L49:O49" si="14">L64*1000/L$39</f>
        <v>63.722665294571648</v>
      </c>
      <c r="M49" s="391">
        <f t="shared" ca="1" si="14"/>
        <v>62.497229423522192</v>
      </c>
      <c r="N49" s="391">
        <f t="shared" ca="1" si="14"/>
        <v>61.595827076067536</v>
      </c>
      <c r="O49" s="391">
        <f t="shared" ca="1" si="14"/>
        <v>61.159883035714273</v>
      </c>
    </row>
    <row r="50" spans="2:15">
      <c r="D50" s="18" t="str">
        <f>Assumptions!C30</f>
        <v>Operating Labour</v>
      </c>
      <c r="F50" s="15" t="s">
        <v>144</v>
      </c>
      <c r="H50" s="24"/>
      <c r="I50" s="24"/>
      <c r="J50" s="24"/>
      <c r="K50" s="391">
        <f t="shared" ref="K50:O51" si="15">K65*1000/K$39</f>
        <v>120.2675585284281</v>
      </c>
      <c r="L50" s="391">
        <f t="shared" si="15"/>
        <v>117.95472086441985</v>
      </c>
      <c r="M50" s="391">
        <f t="shared" ca="1" si="15"/>
        <v>115.68636084779638</v>
      </c>
      <c r="N50" s="391">
        <f t="shared" ca="1" si="15"/>
        <v>114.01780756633777</v>
      </c>
      <c r="O50" s="391">
        <f t="shared" ca="1" si="15"/>
        <v>113.21084732142855</v>
      </c>
    </row>
    <row r="51" spans="2:15">
      <c r="D51" t="s">
        <v>7</v>
      </c>
      <c r="F51" s="15" t="s">
        <v>144</v>
      </c>
      <c r="H51" s="24"/>
      <c r="I51" s="24"/>
      <c r="J51" s="24"/>
      <c r="K51" s="394">
        <f t="shared" si="15"/>
        <v>5.5295429208472688</v>
      </c>
      <c r="L51" s="394">
        <f t="shared" si="15"/>
        <v>5.4232055569848212</v>
      </c>
      <c r="M51" s="394">
        <f t="shared" ca="1" si="15"/>
        <v>5.3189131424274203</v>
      </c>
      <c r="N51" s="394">
        <f t="shared" ca="1" si="15"/>
        <v>5.2421980490270235</v>
      </c>
      <c r="O51" s="394">
        <f t="shared" ca="1" si="15"/>
        <v>5.2050964285714274</v>
      </c>
    </row>
    <row r="52" spans="2:15">
      <c r="D52" s="27" t="s">
        <v>157</v>
      </c>
      <c r="F52" s="349" t="s">
        <v>144</v>
      </c>
      <c r="H52" s="25"/>
      <c r="I52" s="25"/>
      <c r="J52" s="25"/>
      <c r="K52" s="393">
        <f>SUM(K49:K51)</f>
        <v>190.76923076923077</v>
      </c>
      <c r="L52" s="393">
        <f t="shared" ref="L52:O52" si="16">SUM(L49:L51)</f>
        <v>187.10059171597632</v>
      </c>
      <c r="M52" s="393">
        <f t="shared" ca="1" si="16"/>
        <v>183.50250341374598</v>
      </c>
      <c r="N52" s="393">
        <f t="shared" ca="1" si="16"/>
        <v>180.85583269143234</v>
      </c>
      <c r="O52" s="393">
        <f t="shared" ca="1" si="16"/>
        <v>179.57582678571424</v>
      </c>
    </row>
    <row r="53" spans="2:15">
      <c r="C53" s="20"/>
      <c r="F53" s="349"/>
      <c r="H53" s="28"/>
      <c r="I53" s="28"/>
      <c r="J53" s="28"/>
      <c r="K53" s="28"/>
      <c r="L53" s="28"/>
      <c r="M53" s="28"/>
      <c r="N53" s="28"/>
      <c r="O53" s="28"/>
    </row>
    <row r="54" spans="2:15" ht="13.5" thickBot="1">
      <c r="C54" s="27" t="s">
        <v>27</v>
      </c>
      <c r="F54" s="349" t="s">
        <v>144</v>
      </c>
      <c r="H54" s="352"/>
      <c r="I54" s="352"/>
      <c r="J54" s="352"/>
      <c r="K54" s="395">
        <f>SUM(K52,K46)</f>
        <v>482.96923076923076</v>
      </c>
      <c r="L54" s="395">
        <f t="shared" ref="L54:O54" si="17">SUM(L52,L46)</f>
        <v>485.14459171597628</v>
      </c>
      <c r="M54" s="395">
        <f t="shared" ca="1" si="17"/>
        <v>487.50738341374597</v>
      </c>
      <c r="N54" s="395">
        <f t="shared" ca="1" si="17"/>
        <v>492.46083469143235</v>
      </c>
      <c r="O54" s="395">
        <f t="shared" ca="1" si="17"/>
        <v>498.97095383571417</v>
      </c>
    </row>
    <row r="55" spans="2:15" ht="13.5" thickTop="1">
      <c r="B55" s="321"/>
      <c r="C55" s="353"/>
      <c r="D55" s="320"/>
      <c r="E55" s="320"/>
      <c r="F55" s="354"/>
      <c r="G55" s="355"/>
      <c r="H55" s="355"/>
      <c r="I55" s="355"/>
      <c r="J55" s="355"/>
      <c r="K55" s="355"/>
      <c r="L55" s="355"/>
      <c r="M55" s="355"/>
      <c r="N55" s="355"/>
      <c r="O55" s="355"/>
    </row>
    <row r="56" spans="2:15">
      <c r="B56" s="27"/>
      <c r="C56" s="20"/>
      <c r="F56" s="349"/>
      <c r="H56" s="28"/>
      <c r="I56" s="28"/>
      <c r="J56" s="28"/>
      <c r="K56" s="28"/>
      <c r="L56" s="28"/>
      <c r="M56" s="28"/>
      <c r="N56" s="28"/>
      <c r="O56" s="28"/>
    </row>
    <row r="57" spans="2:15">
      <c r="B57" s="348" t="s">
        <v>158</v>
      </c>
      <c r="C57" s="20"/>
      <c r="F57" s="349"/>
      <c r="H57" s="28"/>
      <c r="I57" s="28"/>
      <c r="J57" s="28"/>
      <c r="K57" s="28"/>
      <c r="L57" s="28"/>
      <c r="M57" s="28"/>
      <c r="N57" s="28"/>
      <c r="O57" s="28"/>
    </row>
    <row r="58" spans="2:15">
      <c r="C58" s="20" t="s">
        <v>154</v>
      </c>
      <c r="F58" s="349"/>
      <c r="H58" s="28"/>
      <c r="I58" s="28"/>
      <c r="J58" s="28"/>
      <c r="K58" s="28"/>
      <c r="L58" s="28"/>
      <c r="M58" s="28"/>
      <c r="N58" s="28"/>
      <c r="O58" s="28"/>
    </row>
    <row r="59" spans="2:15">
      <c r="D59" s="18" t="str">
        <f>D44</f>
        <v>Raw Materials</v>
      </c>
      <c r="F59" s="15" t="s">
        <v>151</v>
      </c>
      <c r="H59" s="24"/>
      <c r="I59" s="24"/>
      <c r="J59" s="24"/>
      <c r="K59" s="391">
        <f>K44*K39/1000</f>
        <v>81.742741935483863</v>
      </c>
      <c r="L59" s="391">
        <f>L44*L$39/1000</f>
        <v>86.712700645161291</v>
      </c>
      <c r="M59" s="391">
        <f t="shared" ref="M59:O59" ca="1" si="18">M44*M$39/1000</f>
        <v>91.984832844387114</v>
      </c>
      <c r="N59" s="391">
        <f t="shared" ca="1" si="18"/>
        <v>98.055831812116651</v>
      </c>
      <c r="O59" s="391">
        <f t="shared" ca="1" si="18"/>
        <v>103.75422812999999</v>
      </c>
    </row>
    <row r="60" spans="2:15">
      <c r="D60" s="18" t="str">
        <f>D45</f>
        <v>Utilities</v>
      </c>
      <c r="F60" s="15" t="s">
        <v>151</v>
      </c>
      <c r="H60" s="24"/>
      <c r="I60" s="24"/>
      <c r="J60" s="24"/>
      <c r="K60" s="394">
        <f>K45*K39/1000</f>
        <v>23.944112903225808</v>
      </c>
      <c r="L60" s="394">
        <f>L45*L$39/1000</f>
        <v>25.399914967741939</v>
      </c>
      <c r="M60" s="394">
        <f t="shared" ref="M60:O60" ca="1" si="19">M45*M$39/1000</f>
        <v>26.944229797780647</v>
      </c>
      <c r="N60" s="394">
        <f t="shared" ca="1" si="19"/>
        <v>28.722548964434168</v>
      </c>
      <c r="O60" s="394">
        <f t="shared" ca="1" si="19"/>
        <v>30.391725230999992</v>
      </c>
    </row>
    <row r="61" spans="2:15">
      <c r="D61" s="20" t="s">
        <v>155</v>
      </c>
      <c r="F61" s="349" t="s">
        <v>151</v>
      </c>
      <c r="H61" s="25"/>
      <c r="I61" s="25"/>
      <c r="J61" s="25"/>
      <c r="K61" s="393">
        <f>SUM(K59:K60)</f>
        <v>105.68685483870968</v>
      </c>
      <c r="L61" s="393">
        <f t="shared" ref="L61:O61" si="20">SUM(L59:L60)</f>
        <v>112.11261561290323</v>
      </c>
      <c r="M61" s="393">
        <f t="shared" ca="1" si="20"/>
        <v>118.92906264216776</v>
      </c>
      <c r="N61" s="393">
        <f t="shared" ca="1" si="20"/>
        <v>126.77838077655082</v>
      </c>
      <c r="O61" s="393">
        <f t="shared" ca="1" si="20"/>
        <v>134.14595336099998</v>
      </c>
    </row>
    <row r="62" spans="2:15">
      <c r="D62" s="18"/>
      <c r="F62" s="349"/>
      <c r="H62" s="28"/>
      <c r="I62" s="28"/>
      <c r="J62" s="28"/>
      <c r="K62" s="28"/>
      <c r="L62" s="28"/>
      <c r="M62" s="28"/>
      <c r="N62" s="28"/>
      <c r="O62" s="28"/>
    </row>
    <row r="63" spans="2:15">
      <c r="C63" s="19" t="s">
        <v>156</v>
      </c>
      <c r="D63" s="18"/>
      <c r="F63" s="349"/>
      <c r="H63" s="28"/>
      <c r="I63" s="28"/>
      <c r="J63" s="28"/>
      <c r="K63" s="28"/>
      <c r="L63" s="28"/>
      <c r="M63" s="28"/>
      <c r="N63" s="28"/>
      <c r="O63" s="28"/>
    </row>
    <row r="64" spans="2:15">
      <c r="D64" s="18" t="str">
        <f>D49</f>
        <v>Rent</v>
      </c>
      <c r="F64" s="15" t="s">
        <v>151</v>
      </c>
      <c r="H64" s="23"/>
      <c r="I64" s="23"/>
      <c r="J64" s="23"/>
      <c r="K64" s="390">
        <f>Assumptions!E29</f>
        <v>23.5</v>
      </c>
      <c r="L64" s="391">
        <f>K64*(1+L$40)</f>
        <v>23.97</v>
      </c>
      <c r="M64" s="391">
        <f t="shared" ref="M64:O64" ca="1" si="21">L64*(1+M$40)</f>
        <v>24.449400000000001</v>
      </c>
      <c r="N64" s="391">
        <f t="shared" ca="1" si="21"/>
        <v>25.060634999999998</v>
      </c>
      <c r="O64" s="391">
        <f t="shared" ca="1" si="21"/>
        <v>25.687150874999997</v>
      </c>
    </row>
    <row r="65" spans="1:15">
      <c r="D65" s="18" t="str">
        <f>D50</f>
        <v>Operating Labour</v>
      </c>
      <c r="F65" s="15" t="s">
        <v>151</v>
      </c>
      <c r="H65" s="23"/>
      <c r="I65" s="23"/>
      <c r="J65" s="23"/>
      <c r="K65" s="390">
        <f>Assumptions!E30</f>
        <v>43.5</v>
      </c>
      <c r="L65" s="391">
        <f t="shared" ref="L65:O66" si="22">K65*(1+L$40)</f>
        <v>44.37</v>
      </c>
      <c r="M65" s="391">
        <f t="shared" ca="1" si="22"/>
        <v>45.257399999999997</v>
      </c>
      <c r="N65" s="391">
        <f t="shared" ca="1" si="22"/>
        <v>46.388834999999993</v>
      </c>
      <c r="O65" s="391">
        <f t="shared" ca="1" si="22"/>
        <v>47.548555874999991</v>
      </c>
    </row>
    <row r="66" spans="1:15">
      <c r="D66" t="str">
        <f>D51</f>
        <v>Other</v>
      </c>
      <c r="F66" s="15" t="s">
        <v>151</v>
      </c>
      <c r="H66" s="23"/>
      <c r="I66" s="23"/>
      <c r="J66" s="23"/>
      <c r="K66" s="392">
        <f>Assumptions!E31</f>
        <v>2</v>
      </c>
      <c r="L66" s="394">
        <f t="shared" si="22"/>
        <v>2.04</v>
      </c>
      <c r="M66" s="394">
        <f t="shared" ca="1" si="22"/>
        <v>2.0808</v>
      </c>
      <c r="N66" s="394">
        <f t="shared" ca="1" si="22"/>
        <v>2.1328199999999997</v>
      </c>
      <c r="O66" s="394">
        <f t="shared" ca="1" si="22"/>
        <v>2.1861404999999996</v>
      </c>
    </row>
    <row r="67" spans="1:15">
      <c r="D67" s="27" t="s">
        <v>157</v>
      </c>
      <c r="F67" s="349" t="s">
        <v>151</v>
      </c>
      <c r="H67" s="25"/>
      <c r="I67" s="25"/>
      <c r="J67" s="25"/>
      <c r="K67" s="393">
        <f>SUM(K64:K66)</f>
        <v>69</v>
      </c>
      <c r="L67" s="393">
        <f t="shared" ref="L67:O67" si="23">SUM(L64:L66)</f>
        <v>70.38000000000001</v>
      </c>
      <c r="M67" s="393">
        <f t="shared" ca="1" si="23"/>
        <v>71.787599999999998</v>
      </c>
      <c r="N67" s="393">
        <f t="shared" ca="1" si="23"/>
        <v>73.582289999999986</v>
      </c>
      <c r="O67" s="393">
        <f t="shared" ca="1" si="23"/>
        <v>75.421847249999985</v>
      </c>
    </row>
    <row r="68" spans="1:15">
      <c r="C68" s="20"/>
      <c r="H68" s="26"/>
      <c r="I68" s="26"/>
      <c r="J68" s="26"/>
      <c r="K68" s="26"/>
      <c r="L68" s="26"/>
      <c r="M68" s="26"/>
      <c r="N68" s="26"/>
      <c r="O68" s="26"/>
    </row>
    <row r="69" spans="1:15" ht="13.5" thickBot="1">
      <c r="C69" s="27" t="s">
        <v>27</v>
      </c>
      <c r="F69" s="349" t="s">
        <v>151</v>
      </c>
      <c r="H69" s="352"/>
      <c r="I69" s="352"/>
      <c r="J69" s="352"/>
      <c r="K69" s="395">
        <f>SUM(K67,K61)</f>
        <v>174.68685483870968</v>
      </c>
      <c r="L69" s="395">
        <f t="shared" ref="L69:O69" si="24">SUM(L67,L61)</f>
        <v>182.49261561290325</v>
      </c>
      <c r="M69" s="395">
        <f t="shared" ca="1" si="24"/>
        <v>190.71666264216776</v>
      </c>
      <c r="N69" s="395">
        <f t="shared" ca="1" si="24"/>
        <v>200.36067077655082</v>
      </c>
      <c r="O69" s="395">
        <f t="shared" ca="1" si="24"/>
        <v>209.56780061099997</v>
      </c>
    </row>
    <row r="70" spans="1:15" ht="13.5" thickTop="1">
      <c r="B70" s="30"/>
      <c r="C70" s="356"/>
      <c r="D70" s="6"/>
      <c r="E70" s="6"/>
      <c r="F70" s="357"/>
      <c r="G70" s="31"/>
      <c r="H70" s="31"/>
      <c r="I70" s="31"/>
      <c r="J70" s="31"/>
      <c r="K70" s="31"/>
      <c r="L70" s="31"/>
      <c r="M70" s="31"/>
      <c r="N70" s="31"/>
      <c r="O70" s="31"/>
    </row>
    <row r="72" spans="1:15" ht="12.75" customHeight="1">
      <c r="A72" s="10"/>
      <c r="B72" s="1"/>
      <c r="C72" s="2"/>
      <c r="D72" s="2"/>
      <c r="E72" s="2"/>
      <c r="F72" s="9"/>
      <c r="G72" s="2"/>
      <c r="H72" s="2"/>
      <c r="I72" s="2"/>
      <c r="J72" s="2"/>
      <c r="O72" s="358" t="str">
        <f>$O$2</f>
        <v>CURRENTLY RUNNING: BASE CASE SCENARIO</v>
      </c>
    </row>
    <row r="73" spans="1:15" ht="23.25">
      <c r="A73" s="10"/>
      <c r="B73" s="1" t="str">
        <f>'Cover Page'!$B$14</f>
        <v>Blu Containers Company</v>
      </c>
      <c r="C73" s="2"/>
      <c r="D73" s="2"/>
      <c r="E73" s="2"/>
      <c r="F73" s="9"/>
      <c r="G73" s="2"/>
      <c r="H73" s="2"/>
      <c r="I73" s="2"/>
      <c r="J73" s="2"/>
      <c r="K73" s="2"/>
      <c r="L73" s="2"/>
      <c r="M73" s="2"/>
      <c r="N73" s="2"/>
      <c r="O73" s="2"/>
    </row>
    <row r="74" spans="1:15" ht="18.75">
      <c r="A74" s="11"/>
      <c r="B74" s="12" t="s">
        <v>24</v>
      </c>
      <c r="C74" s="13"/>
      <c r="D74" s="13"/>
      <c r="E74" s="13"/>
      <c r="F74" s="14"/>
      <c r="G74" s="13"/>
      <c r="H74" s="13"/>
      <c r="I74" s="13"/>
      <c r="J74" s="13"/>
      <c r="K74" s="2"/>
      <c r="L74" s="2"/>
      <c r="M74" s="2"/>
      <c r="N74" s="2"/>
      <c r="O74" s="2"/>
    </row>
    <row r="75" spans="1:15" ht="3" customHeight="1" thickBot="1">
      <c r="A75" s="11"/>
      <c r="B75" s="89"/>
      <c r="C75" s="90"/>
      <c r="D75" s="90"/>
      <c r="E75" s="90"/>
      <c r="F75" s="91"/>
      <c r="G75" s="90"/>
      <c r="H75" s="90"/>
      <c r="I75" s="90"/>
      <c r="J75" s="90"/>
      <c r="K75" s="90"/>
      <c r="L75" s="90"/>
      <c r="M75" s="90"/>
      <c r="N75" s="90"/>
      <c r="O75" s="90"/>
    </row>
    <row r="76" spans="1:15" ht="15" customHeight="1">
      <c r="A76" s="12"/>
      <c r="B76" s="33" t="s">
        <v>56</v>
      </c>
      <c r="C76" s="13"/>
      <c r="D76" s="13"/>
      <c r="E76" s="13"/>
      <c r="F76" s="14"/>
      <c r="G76" s="13"/>
      <c r="H76" s="13"/>
      <c r="I76" s="13"/>
      <c r="J76" s="13"/>
    </row>
    <row r="77" spans="1:15">
      <c r="G77" s="16"/>
      <c r="K77" s="306" t="s">
        <v>126</v>
      </c>
      <c r="L77" s="305"/>
      <c r="M77" s="305"/>
      <c r="N77" s="305"/>
      <c r="O77" s="305"/>
    </row>
    <row r="78" spans="1:15">
      <c r="G78" s="7"/>
      <c r="H78" s="88">
        <f>H7</f>
        <v>2020</v>
      </c>
      <c r="I78" s="88">
        <f t="shared" ref="I78:J78" si="25">I7</f>
        <v>2021</v>
      </c>
      <c r="J78" s="88">
        <f t="shared" si="25"/>
        <v>2022</v>
      </c>
      <c r="K78" s="20">
        <f>Scenarios!G6</f>
        <v>2023</v>
      </c>
      <c r="L78" s="20">
        <f>Scenarios!H6</f>
        <v>2024</v>
      </c>
      <c r="M78" s="20">
        <f>Scenarios!I6</f>
        <v>2025</v>
      </c>
      <c r="N78" s="20">
        <f>Scenarios!J6</f>
        <v>2026</v>
      </c>
      <c r="O78" s="20">
        <f>Scenarios!K6</f>
        <v>2027</v>
      </c>
    </row>
    <row r="79" spans="1:15" ht="6" customHeight="1">
      <c r="G79" s="7"/>
      <c r="H79" s="7"/>
      <c r="I79" s="7"/>
      <c r="J79" s="7"/>
    </row>
    <row r="80" spans="1:15">
      <c r="B80" s="20" t="s">
        <v>25</v>
      </c>
      <c r="F80" s="17"/>
      <c r="G80" s="7"/>
      <c r="H80" s="7"/>
      <c r="I80" s="7"/>
      <c r="J80" s="7"/>
    </row>
    <row r="81" spans="1:15">
      <c r="C81" t="s">
        <v>26</v>
      </c>
      <c r="F81" s="17"/>
      <c r="G81" s="7"/>
      <c r="H81" s="23">
        <v>244.79999999999998</v>
      </c>
      <c r="I81" s="23">
        <v>269.3</v>
      </c>
      <c r="J81" s="23">
        <v>239.2</v>
      </c>
      <c r="K81" s="396">
        <f>K26</f>
        <v>289.35483870967738</v>
      </c>
      <c r="L81" s="396">
        <f t="shared" ref="L81:O82" si="26">L26</f>
        <v>272.716935483871</v>
      </c>
      <c r="M81" s="396">
        <f t="shared" si="26"/>
        <v>322.74638709677424</v>
      </c>
      <c r="N81" s="396">
        <f t="shared" si="26"/>
        <v>325.48484129032266</v>
      </c>
      <c r="O81" s="396">
        <f t="shared" si="26"/>
        <v>315</v>
      </c>
    </row>
    <row r="82" spans="1:15">
      <c r="C82" s="18" t="s">
        <v>30</v>
      </c>
      <c r="F82" s="17"/>
      <c r="G82" s="7"/>
      <c r="H82" s="34">
        <v>31.3</v>
      </c>
      <c r="I82" s="34">
        <v>32.700000000000003</v>
      </c>
      <c r="J82" s="34">
        <v>34.4</v>
      </c>
      <c r="K82" s="397">
        <f>K27</f>
        <v>36.892741935483869</v>
      </c>
      <c r="L82" s="397">
        <f t="shared" si="26"/>
        <v>39.135820645161296</v>
      </c>
      <c r="M82" s="397">
        <f t="shared" ca="1" si="26"/>
        <v>41.515278540387101</v>
      </c>
      <c r="N82" s="397">
        <f t="shared" ca="1" si="26"/>
        <v>44.255286924052648</v>
      </c>
      <c r="O82" s="397">
        <f t="shared" ca="1" si="26"/>
        <v>46.827129509999992</v>
      </c>
    </row>
    <row r="83" spans="1:15">
      <c r="C83" s="20" t="s">
        <v>0</v>
      </c>
      <c r="F83" s="21"/>
      <c r="G83" s="7"/>
      <c r="H83" s="35">
        <f t="shared" ref="H83:O83" si="27">+H81-H82</f>
        <v>213.49999999999997</v>
      </c>
      <c r="I83" s="35">
        <f t="shared" si="27"/>
        <v>236.60000000000002</v>
      </c>
      <c r="J83" s="35">
        <f t="shared" si="27"/>
        <v>204.79999999999998</v>
      </c>
      <c r="K83" s="35">
        <f t="shared" si="27"/>
        <v>252.46209677419353</v>
      </c>
      <c r="L83" s="35">
        <f t="shared" si="27"/>
        <v>233.58111483870971</v>
      </c>
      <c r="M83" s="35">
        <f t="shared" ca="1" si="27"/>
        <v>281.23110855638714</v>
      </c>
      <c r="N83" s="35">
        <f t="shared" ca="1" si="27"/>
        <v>281.22955436627001</v>
      </c>
      <c r="O83" s="35">
        <f t="shared" ca="1" si="27"/>
        <v>268.17287049000004</v>
      </c>
    </row>
    <row r="84" spans="1:15">
      <c r="F84" s="17"/>
      <c r="G84" s="7"/>
      <c r="H84" s="36"/>
      <c r="I84" s="36"/>
      <c r="J84" s="36"/>
      <c r="K84" s="36"/>
      <c r="L84" s="36"/>
      <c r="M84" s="36"/>
      <c r="N84" s="36"/>
      <c r="O84" s="36"/>
    </row>
    <row r="85" spans="1:15">
      <c r="C85" t="s">
        <v>1</v>
      </c>
      <c r="F85" s="17"/>
      <c r="G85" s="7"/>
      <c r="H85" s="37">
        <v>159.9</v>
      </c>
      <c r="I85" s="37">
        <v>164.6</v>
      </c>
      <c r="J85" s="37">
        <v>167.9</v>
      </c>
      <c r="K85" s="398">
        <f>K69</f>
        <v>174.68685483870968</v>
      </c>
      <c r="L85" s="398">
        <f t="shared" ref="L85:O85" si="28">L69</f>
        <v>182.49261561290325</v>
      </c>
      <c r="M85" s="398">
        <f t="shared" ca="1" si="28"/>
        <v>190.71666264216776</v>
      </c>
      <c r="N85" s="398">
        <f t="shared" ca="1" si="28"/>
        <v>200.36067077655082</v>
      </c>
      <c r="O85" s="398">
        <f t="shared" ca="1" si="28"/>
        <v>209.56780061099997</v>
      </c>
    </row>
    <row r="86" spans="1:15">
      <c r="A86" s="22"/>
      <c r="C86" s="5" t="s">
        <v>23</v>
      </c>
      <c r="F86" s="17"/>
      <c r="G86" s="7"/>
      <c r="H86" s="38">
        <v>3.4</v>
      </c>
      <c r="I86" s="38">
        <v>3.6</v>
      </c>
      <c r="J86" s="38">
        <v>3.8</v>
      </c>
      <c r="K86" s="399">
        <f>Assumptions!E32</f>
        <v>3.9</v>
      </c>
      <c r="L86" s="400">
        <f>K86*(1+L$11)</f>
        <v>3.9779999999999998</v>
      </c>
      <c r="M86" s="400">
        <f t="shared" ref="M86:O86" ca="1" si="29">L86*(1+M$11)</f>
        <v>4.0575599999999996</v>
      </c>
      <c r="N86" s="400">
        <f t="shared" ca="1" si="29"/>
        <v>4.1589989999999997</v>
      </c>
      <c r="O86" s="400">
        <f t="shared" ca="1" si="29"/>
        <v>4.2629739749999995</v>
      </c>
    </row>
    <row r="87" spans="1:15">
      <c r="C87" s="27" t="s">
        <v>27</v>
      </c>
      <c r="F87" s="21"/>
      <c r="G87" s="7"/>
      <c r="H87" s="35">
        <f t="shared" ref="H87:O87" si="30">SUM(H85:H86)</f>
        <v>163.30000000000001</v>
      </c>
      <c r="I87" s="35">
        <f t="shared" si="30"/>
        <v>168.2</v>
      </c>
      <c r="J87" s="35">
        <f t="shared" si="30"/>
        <v>171.70000000000002</v>
      </c>
      <c r="K87" s="35">
        <f t="shared" si="30"/>
        <v>178.58685483870968</v>
      </c>
      <c r="L87" s="35">
        <f t="shared" si="30"/>
        <v>186.47061561290326</v>
      </c>
      <c r="M87" s="35">
        <f t="shared" ca="1" si="30"/>
        <v>194.77422264216776</v>
      </c>
      <c r="N87" s="35">
        <f t="shared" ca="1" si="30"/>
        <v>204.51966977655081</v>
      </c>
      <c r="O87" s="35">
        <f t="shared" ca="1" si="30"/>
        <v>213.83077458599996</v>
      </c>
    </row>
    <row r="88" spans="1:15">
      <c r="C88" s="27"/>
      <c r="F88" s="21"/>
      <c r="G88" s="7"/>
      <c r="H88" s="39"/>
      <c r="I88" s="39"/>
      <c r="J88" s="39"/>
      <c r="K88" s="39"/>
      <c r="L88" s="39"/>
      <c r="M88" s="39"/>
      <c r="N88" s="39"/>
      <c r="O88" s="39"/>
    </row>
    <row r="89" spans="1:15">
      <c r="A89" s="22"/>
      <c r="C89" s="5" t="s">
        <v>54</v>
      </c>
      <c r="F89" s="17"/>
      <c r="G89" s="7"/>
      <c r="H89" s="40">
        <v>0</v>
      </c>
      <c r="I89" s="40">
        <v>0</v>
      </c>
      <c r="J89" s="40">
        <v>0</v>
      </c>
      <c r="K89" s="401">
        <f>Assumptions!J53</f>
        <v>0</v>
      </c>
      <c r="L89" s="401">
        <f>Assumptions!K53</f>
        <v>0</v>
      </c>
      <c r="M89" s="401">
        <f>Assumptions!L53</f>
        <v>0</v>
      </c>
      <c r="N89" s="401">
        <f>Assumptions!M53</f>
        <v>0</v>
      </c>
      <c r="O89" s="401">
        <f>Assumptions!N53</f>
        <v>0</v>
      </c>
    </row>
    <row r="90" spans="1:15">
      <c r="B90" s="20"/>
      <c r="C90" s="20" t="s">
        <v>2</v>
      </c>
      <c r="F90" s="21"/>
      <c r="H90" s="41">
        <f t="shared" ref="H90:O90" si="31">H83-H87+H89</f>
        <v>50.19999999999996</v>
      </c>
      <c r="I90" s="41">
        <f t="shared" si="31"/>
        <v>68.400000000000034</v>
      </c>
      <c r="J90" s="41">
        <f t="shared" si="31"/>
        <v>33.099999999999966</v>
      </c>
      <c r="K90" s="41">
        <f t="shared" si="31"/>
        <v>73.875241935483842</v>
      </c>
      <c r="L90" s="41">
        <f t="shared" si="31"/>
        <v>47.11049922580645</v>
      </c>
      <c r="M90" s="41">
        <f t="shared" ca="1" si="31"/>
        <v>86.456885914219384</v>
      </c>
      <c r="N90" s="41">
        <f t="shared" ca="1" si="31"/>
        <v>76.709884589719195</v>
      </c>
      <c r="O90" s="41">
        <f t="shared" ca="1" si="31"/>
        <v>54.342095904000075</v>
      </c>
    </row>
    <row r="91" spans="1:15">
      <c r="F91" s="17"/>
      <c r="H91" s="26"/>
      <c r="I91" s="26"/>
      <c r="J91" s="42"/>
      <c r="K91" s="42"/>
      <c r="L91" s="42"/>
      <c r="M91" s="42"/>
      <c r="N91" s="42"/>
      <c r="O91" s="42"/>
    </row>
    <row r="92" spans="1:15">
      <c r="C92" t="s">
        <v>28</v>
      </c>
      <c r="F92" s="17"/>
      <c r="H92" s="43">
        <v>15.4</v>
      </c>
      <c r="I92" s="43">
        <v>15.5</v>
      </c>
      <c r="J92" s="43">
        <v>15.8</v>
      </c>
      <c r="K92" s="475">
        <f>K210</f>
        <v>16.174666666666667</v>
      </c>
      <c r="L92" s="475">
        <f t="shared" ref="L92:O92" si="32">L210</f>
        <v>16.724666666666668</v>
      </c>
      <c r="M92" s="475">
        <f t="shared" si="32"/>
        <v>17.296333333333333</v>
      </c>
      <c r="N92" s="475">
        <f t="shared" si="32"/>
        <v>17.876333333333335</v>
      </c>
      <c r="O92" s="475">
        <f t="shared" si="32"/>
        <v>18.468</v>
      </c>
    </row>
    <row r="93" spans="1:15">
      <c r="C93" s="27" t="s">
        <v>4</v>
      </c>
      <c r="F93" s="21"/>
      <c r="H93" s="25">
        <f t="shared" ref="H93:J93" si="33">H90-H92</f>
        <v>34.799999999999962</v>
      </c>
      <c r="I93" s="25">
        <f t="shared" si="33"/>
        <v>52.900000000000034</v>
      </c>
      <c r="J93" s="25">
        <f t="shared" si="33"/>
        <v>17.299999999999965</v>
      </c>
      <c r="K93" s="25">
        <f>K90-K92</f>
        <v>57.700575268817175</v>
      </c>
      <c r="L93" s="25">
        <f t="shared" ref="L93:O93" si="34">L90-L92</f>
        <v>30.385832559139782</v>
      </c>
      <c r="M93" s="25">
        <f t="shared" ca="1" si="34"/>
        <v>69.160552580886048</v>
      </c>
      <c r="N93" s="25">
        <f t="shared" ca="1" si="34"/>
        <v>58.83355125638586</v>
      </c>
      <c r="O93" s="25">
        <f t="shared" ca="1" si="34"/>
        <v>35.874095904000072</v>
      </c>
    </row>
    <row r="94" spans="1:15" ht="6" customHeight="1">
      <c r="C94" s="27"/>
      <c r="F94" s="21"/>
      <c r="H94" s="28"/>
      <c r="I94" s="28"/>
      <c r="J94" s="28"/>
      <c r="K94" s="28"/>
      <c r="L94" s="28"/>
      <c r="M94" s="28"/>
      <c r="N94" s="28"/>
      <c r="O94" s="28"/>
    </row>
    <row r="95" spans="1:15">
      <c r="C95" s="18" t="s">
        <v>36</v>
      </c>
      <c r="F95" s="17"/>
      <c r="H95" s="44">
        <v>15</v>
      </c>
      <c r="I95" s="44">
        <v>15</v>
      </c>
      <c r="J95" s="44">
        <v>14</v>
      </c>
      <c r="K95" s="510">
        <f>K318</f>
        <v>11.997</v>
      </c>
      <c r="L95" s="510">
        <f t="shared" ref="L95:O95" si="35">L318</f>
        <v>10.564527457357491</v>
      </c>
      <c r="M95" s="510">
        <f t="shared" si="35"/>
        <v>9.4645185852770624</v>
      </c>
      <c r="N95" s="510">
        <f t="shared" ca="1" si="35"/>
        <v>7.5736377461636701</v>
      </c>
      <c r="O95" s="510">
        <f t="shared" ca="1" si="35"/>
        <v>5.9858178051259161</v>
      </c>
    </row>
    <row r="96" spans="1:15">
      <c r="C96" s="19" t="s">
        <v>37</v>
      </c>
      <c r="F96" s="21"/>
      <c r="H96" s="24">
        <f t="shared" ref="H96:J96" si="36">H93-H95</f>
        <v>19.799999999999962</v>
      </c>
      <c r="I96" s="24">
        <f t="shared" si="36"/>
        <v>37.900000000000034</v>
      </c>
      <c r="J96" s="24">
        <f t="shared" si="36"/>
        <v>3.2999999999999652</v>
      </c>
      <c r="K96" s="24">
        <f>K93-K95</f>
        <v>45.703575268817175</v>
      </c>
      <c r="L96" s="24">
        <f t="shared" ref="L96:O96" si="37">L93-L95</f>
        <v>19.821305101782293</v>
      </c>
      <c r="M96" s="24">
        <f t="shared" ca="1" si="37"/>
        <v>59.696033995608985</v>
      </c>
      <c r="N96" s="24">
        <f t="shared" ca="1" si="37"/>
        <v>51.259913510222191</v>
      </c>
      <c r="O96" s="24">
        <f t="shared" ca="1" si="37"/>
        <v>29.888278098874157</v>
      </c>
    </row>
    <row r="97" spans="1:15" ht="6" customHeight="1">
      <c r="C97" s="27"/>
      <c r="F97" s="21"/>
      <c r="H97" s="45"/>
      <c r="I97" s="45"/>
      <c r="J97" s="45"/>
      <c r="K97" s="45"/>
      <c r="L97" s="45"/>
      <c r="M97" s="45"/>
      <c r="N97" s="45"/>
      <c r="O97" s="45"/>
    </row>
    <row r="98" spans="1:15">
      <c r="C98" t="s">
        <v>38</v>
      </c>
      <c r="F98" s="17"/>
      <c r="H98" s="23">
        <v>3</v>
      </c>
      <c r="I98" s="23">
        <v>8</v>
      </c>
      <c r="J98" s="23">
        <v>0</v>
      </c>
      <c r="K98" s="493">
        <f>K233</f>
        <v>14.24625134408601</v>
      </c>
      <c r="L98" s="493">
        <f t="shared" ref="L98:O98" si="38">L233</f>
        <v>5.1874567856238025</v>
      </c>
      <c r="M98" s="493">
        <f t="shared" ca="1" si="38"/>
        <v>19.143611898463142</v>
      </c>
      <c r="N98" s="493">
        <f t="shared" ca="1" si="38"/>
        <v>16.190969728577766</v>
      </c>
      <c r="O98" s="493">
        <f t="shared" ca="1" si="38"/>
        <v>8.7108973346059546</v>
      </c>
    </row>
    <row r="99" spans="1:15">
      <c r="C99" t="s">
        <v>53</v>
      </c>
      <c r="F99" s="17"/>
      <c r="H99" s="34">
        <v>2.7</v>
      </c>
      <c r="I99" s="34">
        <v>6.2</v>
      </c>
      <c r="J99" s="34">
        <v>1.1000000000000001</v>
      </c>
      <c r="K99" s="494">
        <f>K234</f>
        <v>1.75</v>
      </c>
      <c r="L99" s="494">
        <f t="shared" ref="L99:O99" si="39">L234</f>
        <v>1.75</v>
      </c>
      <c r="M99" s="494">
        <f t="shared" ca="1" si="39"/>
        <v>1.75</v>
      </c>
      <c r="N99" s="494">
        <f t="shared" ca="1" si="39"/>
        <v>1.75</v>
      </c>
      <c r="O99" s="494">
        <f t="shared" ca="1" si="39"/>
        <v>1.75</v>
      </c>
    </row>
    <row r="100" spans="1:15">
      <c r="C100" s="20" t="s">
        <v>39</v>
      </c>
      <c r="F100" s="21"/>
      <c r="H100" s="46">
        <f t="shared" ref="H100:J100" si="40">SUM(H98:H99)</f>
        <v>5.7</v>
      </c>
      <c r="I100" s="46">
        <f t="shared" si="40"/>
        <v>14.2</v>
      </c>
      <c r="J100" s="46">
        <f t="shared" si="40"/>
        <v>1.1000000000000001</v>
      </c>
      <c r="K100" s="46">
        <f>SUM(K98:K99)</f>
        <v>15.99625134408601</v>
      </c>
      <c r="L100" s="46">
        <f t="shared" ref="L100:O100" si="41">SUM(L98:L99)</f>
        <v>6.9374567856238025</v>
      </c>
      <c r="M100" s="46">
        <f t="shared" ca="1" si="41"/>
        <v>20.893611898463142</v>
      </c>
      <c r="N100" s="46">
        <f t="shared" ca="1" si="41"/>
        <v>17.940969728577766</v>
      </c>
      <c r="O100" s="46">
        <f t="shared" ca="1" si="41"/>
        <v>10.460897334605955</v>
      </c>
    </row>
    <row r="101" spans="1:15">
      <c r="F101" s="17"/>
    </row>
    <row r="102" spans="1:15" ht="13.5" thickBot="1">
      <c r="C102" s="47" t="s">
        <v>5</v>
      </c>
      <c r="D102" s="20"/>
      <c r="E102" s="20"/>
      <c r="F102" s="21"/>
      <c r="H102" s="48">
        <f t="shared" ref="H102:J102" si="42">H96-H100</f>
        <v>14.099999999999962</v>
      </c>
      <c r="I102" s="48">
        <f t="shared" si="42"/>
        <v>23.700000000000035</v>
      </c>
      <c r="J102" s="48">
        <f t="shared" si="42"/>
        <v>2.1999999999999651</v>
      </c>
      <c r="K102" s="48">
        <f>K96-K100</f>
        <v>29.707323924731163</v>
      </c>
      <c r="L102" s="48">
        <f t="shared" ref="L102:O102" si="43">L96-L100</f>
        <v>12.883848316158492</v>
      </c>
      <c r="M102" s="48">
        <f t="shared" ca="1" si="43"/>
        <v>38.802422097145843</v>
      </c>
      <c r="N102" s="48">
        <f t="shared" ca="1" si="43"/>
        <v>33.318943781644421</v>
      </c>
      <c r="O102" s="48">
        <f t="shared" ca="1" si="43"/>
        <v>19.4273807642682</v>
      </c>
    </row>
    <row r="103" spans="1:15" ht="13.5" thickTop="1">
      <c r="C103" s="47"/>
      <c r="D103" s="20"/>
      <c r="E103" s="20"/>
      <c r="F103" s="21"/>
      <c r="H103" s="484"/>
      <c r="I103" s="484"/>
      <c r="J103" s="484"/>
      <c r="K103" s="484"/>
      <c r="L103" s="484"/>
      <c r="M103" s="484"/>
      <c r="N103" s="484"/>
      <c r="O103" s="484"/>
    </row>
    <row r="104" spans="1:15">
      <c r="C104" s="534" t="s">
        <v>209</v>
      </c>
      <c r="D104" s="523"/>
      <c r="E104" s="523"/>
      <c r="F104" s="524"/>
      <c r="G104" s="3"/>
      <c r="H104" s="525"/>
      <c r="I104" s="525"/>
      <c r="J104" s="525"/>
      <c r="K104" s="525"/>
      <c r="L104" s="525"/>
      <c r="M104" s="525"/>
      <c r="N104" s="525"/>
      <c r="O104" s="526"/>
    </row>
    <row r="105" spans="1:15">
      <c r="C105" s="535"/>
      <c r="D105" s="536" t="s">
        <v>210</v>
      </c>
      <c r="E105" s="527"/>
      <c r="F105" s="528"/>
      <c r="G105" s="529"/>
      <c r="H105" s="530">
        <f>H90/H83</f>
        <v>0.23512880562060876</v>
      </c>
      <c r="I105" s="530">
        <f t="shared" ref="I105:O105" si="44">I90/I83</f>
        <v>0.28909551986475074</v>
      </c>
      <c r="J105" s="530">
        <f t="shared" si="44"/>
        <v>0.16162109374999983</v>
      </c>
      <c r="K105" s="530">
        <f t="shared" si="44"/>
        <v>0.29261914116778937</v>
      </c>
      <c r="L105" s="530">
        <f t="shared" si="44"/>
        <v>0.20168796290888824</v>
      </c>
      <c r="M105" s="530">
        <f t="shared" ca="1" si="44"/>
        <v>0.30742291049528286</v>
      </c>
      <c r="N105" s="530">
        <f t="shared" ca="1" si="44"/>
        <v>0.27276608520956924</v>
      </c>
      <c r="O105" s="531">
        <f t="shared" ca="1" si="44"/>
        <v>0.20263830492885912</v>
      </c>
    </row>
    <row r="106" spans="1:15">
      <c r="C106" s="535"/>
      <c r="D106" s="536" t="s">
        <v>211</v>
      </c>
      <c r="E106" s="527"/>
      <c r="F106" s="528"/>
      <c r="G106" s="529"/>
      <c r="H106" s="530">
        <f>H93/H83</f>
        <v>0.16299765807962513</v>
      </c>
      <c r="I106" s="530">
        <f t="shared" ref="I106:O106" si="45">I93/I83</f>
        <v>0.22358410819949293</v>
      </c>
      <c r="J106" s="530">
        <f t="shared" si="45"/>
        <v>8.4472656249999833E-2</v>
      </c>
      <c r="K106" s="530">
        <f t="shared" si="45"/>
        <v>0.22855143804190761</v>
      </c>
      <c r="L106" s="530">
        <f t="shared" si="45"/>
        <v>0.13008685475331142</v>
      </c>
      <c r="M106" s="530">
        <f t="shared" ca="1" si="45"/>
        <v>0.24592070534408636</v>
      </c>
      <c r="N106" s="530">
        <f t="shared" ca="1" si="45"/>
        <v>0.20920116802433128</v>
      </c>
      <c r="O106" s="531">
        <f t="shared" ca="1" si="45"/>
        <v>0.13377227845028339</v>
      </c>
    </row>
    <row r="107" spans="1:15">
      <c r="C107" s="537"/>
      <c r="D107" s="538" t="s">
        <v>212</v>
      </c>
      <c r="E107" s="6"/>
      <c r="F107" s="335"/>
      <c r="G107" s="6"/>
      <c r="H107" s="532"/>
      <c r="I107" s="532"/>
      <c r="J107" s="532">
        <f>J102/J181</f>
        <v>8.5106382978722053E-3</v>
      </c>
      <c r="K107" s="532">
        <f t="shared" ref="K107:O107" si="46">K102/K181</f>
        <v>0.1052458983713626</v>
      </c>
      <c r="L107" s="532">
        <f t="shared" si="46"/>
        <v>4.4036363764056376E-2</v>
      </c>
      <c r="M107" s="532">
        <f t="shared" ca="1" si="46"/>
        <v>0.11990308554493986</v>
      </c>
      <c r="N107" s="532">
        <f t="shared" ca="1" si="46"/>
        <v>9.5123592887714298E-2</v>
      </c>
      <c r="O107" s="533">
        <f t="shared" ca="1" si="46"/>
        <v>5.310756402351189E-2</v>
      </c>
    </row>
    <row r="108" spans="1:15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>
      <c r="C109" s="50"/>
      <c r="F109" s="49"/>
      <c r="H109" s="51"/>
      <c r="I109" s="51"/>
      <c r="J109" s="51"/>
    </row>
    <row r="110" spans="1:15" ht="12.75" customHeight="1">
      <c r="A110" s="10"/>
      <c r="B110" s="1"/>
      <c r="C110" s="2"/>
      <c r="D110" s="2"/>
      <c r="E110" s="2"/>
      <c r="F110" s="9"/>
      <c r="G110" s="2"/>
      <c r="H110" s="2"/>
      <c r="I110" s="2"/>
      <c r="J110" s="2"/>
      <c r="O110" s="358" t="str">
        <f>$O$2</f>
        <v>CURRENTLY RUNNING: BASE CASE SCENARIO</v>
      </c>
    </row>
    <row r="111" spans="1:15" ht="23.25">
      <c r="A111" s="10"/>
      <c r="B111" s="1" t="str">
        <f>B73</f>
        <v>Blu Containers Company</v>
      </c>
      <c r="C111" s="2"/>
      <c r="D111" s="2"/>
      <c r="E111" s="2"/>
      <c r="F111" s="9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8.75">
      <c r="A112" s="11"/>
      <c r="B112" s="12" t="s">
        <v>29</v>
      </c>
      <c r="C112" s="13"/>
      <c r="D112" s="13"/>
      <c r="E112" s="13"/>
      <c r="F112" s="14"/>
      <c r="G112" s="13"/>
      <c r="H112" s="13"/>
      <c r="I112" s="13"/>
      <c r="J112" s="13"/>
      <c r="K112" s="2"/>
      <c r="L112" s="2"/>
      <c r="M112" s="2"/>
      <c r="N112" s="2"/>
      <c r="O112" s="2"/>
    </row>
    <row r="113" spans="1:15" ht="3" customHeight="1" thickBot="1">
      <c r="A113" s="10"/>
      <c r="B113" s="1"/>
      <c r="C113" s="303"/>
      <c r="D113" s="303"/>
      <c r="E113" s="303"/>
      <c r="F113" s="304"/>
      <c r="G113" s="303"/>
      <c r="H113" s="303"/>
      <c r="I113" s="303"/>
      <c r="J113" s="303"/>
      <c r="K113" s="303"/>
      <c r="L113" s="303"/>
      <c r="M113" s="303"/>
      <c r="N113" s="303"/>
      <c r="O113" s="303"/>
    </row>
    <row r="114" spans="1:15">
      <c r="B114" s="33" t="s">
        <v>56</v>
      </c>
      <c r="F114"/>
    </row>
    <row r="115" spans="1:15">
      <c r="F115"/>
      <c r="K115" s="306" t="s">
        <v>126</v>
      </c>
      <c r="L115" s="305"/>
      <c r="M115" s="305"/>
      <c r="N115" s="305"/>
      <c r="O115" s="305"/>
    </row>
    <row r="116" spans="1:15">
      <c r="B116" s="52"/>
      <c r="F116" s="53"/>
      <c r="G116" s="54"/>
      <c r="H116" s="88">
        <f>H7</f>
        <v>2020</v>
      </c>
      <c r="I116" s="88">
        <f t="shared" ref="I116:J116" si="47">I7</f>
        <v>2021</v>
      </c>
      <c r="J116" s="88">
        <f t="shared" si="47"/>
        <v>2022</v>
      </c>
      <c r="K116" s="20">
        <f>Scenarios!G6</f>
        <v>2023</v>
      </c>
      <c r="L116" s="20">
        <f>Scenarios!H6</f>
        <v>2024</v>
      </c>
      <c r="M116" s="20">
        <f>Scenarios!I6</f>
        <v>2025</v>
      </c>
      <c r="N116" s="20">
        <f>Scenarios!J6</f>
        <v>2026</v>
      </c>
      <c r="O116" s="20">
        <f>Scenarios!K6</f>
        <v>2027</v>
      </c>
    </row>
    <row r="117" spans="1:15">
      <c r="B117" s="20" t="s">
        <v>6</v>
      </c>
      <c r="F117"/>
    </row>
    <row r="118" spans="1:15">
      <c r="C118" t="s">
        <v>5</v>
      </c>
      <c r="F118"/>
      <c r="G118" s="56"/>
      <c r="H118" s="57">
        <v>14.099999999999962</v>
      </c>
      <c r="I118" s="57">
        <v>23.700000000000035</v>
      </c>
      <c r="J118" s="57">
        <v>2.2000000000000002</v>
      </c>
      <c r="K118" s="539">
        <f>K102</f>
        <v>29.707323924731163</v>
      </c>
      <c r="L118" s="539">
        <f t="shared" ref="L118:O118" si="48">L102</f>
        <v>12.883848316158492</v>
      </c>
      <c r="M118" s="539">
        <f t="shared" ca="1" si="48"/>
        <v>38.802422097145843</v>
      </c>
      <c r="N118" s="539">
        <f t="shared" ca="1" si="48"/>
        <v>33.318943781644421</v>
      </c>
      <c r="O118" s="539">
        <f t="shared" ca="1" si="48"/>
        <v>19.4273807642682</v>
      </c>
    </row>
    <row r="119" spans="1:15">
      <c r="C119" t="s">
        <v>3</v>
      </c>
      <c r="F119"/>
      <c r="G119" s="56"/>
      <c r="H119" s="57">
        <v>15.4</v>
      </c>
      <c r="I119" s="57">
        <v>15.5</v>
      </c>
      <c r="J119" s="57">
        <v>15.8</v>
      </c>
      <c r="K119" s="539">
        <f>K92</f>
        <v>16.174666666666667</v>
      </c>
      <c r="L119" s="539">
        <f t="shared" ref="L119:O119" si="49">L92</f>
        <v>16.724666666666668</v>
      </c>
      <c r="M119" s="539">
        <f t="shared" si="49"/>
        <v>17.296333333333333</v>
      </c>
      <c r="N119" s="539">
        <f t="shared" si="49"/>
        <v>17.876333333333335</v>
      </c>
      <c r="O119" s="539">
        <f t="shared" si="49"/>
        <v>18.468</v>
      </c>
    </row>
    <row r="120" spans="1:15">
      <c r="C120" t="s">
        <v>53</v>
      </c>
      <c r="F120"/>
      <c r="G120" s="59"/>
      <c r="H120" s="57">
        <v>2.7</v>
      </c>
      <c r="I120" s="57">
        <v>6.2</v>
      </c>
      <c r="J120" s="57">
        <v>1.1000000000000001</v>
      </c>
      <c r="K120" s="402">
        <f>K99</f>
        <v>1.75</v>
      </c>
      <c r="L120" s="402">
        <f t="shared" ref="L120:O120" si="50">L99</f>
        <v>1.75</v>
      </c>
      <c r="M120" s="402">
        <f t="shared" ca="1" si="50"/>
        <v>1.75</v>
      </c>
      <c r="N120" s="402">
        <f t="shared" ca="1" si="50"/>
        <v>1.75</v>
      </c>
      <c r="O120" s="402">
        <f t="shared" ca="1" si="50"/>
        <v>1.75</v>
      </c>
    </row>
    <row r="121" spans="1:15">
      <c r="C121" t="s">
        <v>48</v>
      </c>
      <c r="F121"/>
      <c r="G121" s="60"/>
      <c r="H121" s="61">
        <v>0</v>
      </c>
      <c r="I121" s="61">
        <v>0</v>
      </c>
      <c r="J121" s="62">
        <v>0</v>
      </c>
      <c r="K121" s="511">
        <f>K271</f>
        <v>-2.0659834290764323</v>
      </c>
      <c r="L121" s="511">
        <f t="shared" ref="L121:O121" si="51">L271</f>
        <v>6.5517358817469855</v>
      </c>
      <c r="M121" s="511">
        <f t="shared" ca="1" si="51"/>
        <v>-1.2735903591601243</v>
      </c>
      <c r="N121" s="511">
        <f t="shared" ca="1" si="51"/>
        <v>-1.1359731018459769</v>
      </c>
      <c r="O121" s="511">
        <f t="shared" ca="1" si="51"/>
        <v>3.2169856855465184</v>
      </c>
    </row>
    <row r="122" spans="1:15">
      <c r="C122" s="27" t="s">
        <v>8</v>
      </c>
      <c r="F122"/>
      <c r="G122" s="28"/>
      <c r="H122" s="63">
        <f t="shared" ref="H122:J122" si="52">SUM(H118:H121)</f>
        <v>32.199999999999967</v>
      </c>
      <c r="I122" s="63">
        <f t="shared" si="52"/>
        <v>45.400000000000034</v>
      </c>
      <c r="J122" s="63">
        <f t="shared" si="52"/>
        <v>19.100000000000001</v>
      </c>
      <c r="K122" s="63">
        <f>SUM(K118:K121)</f>
        <v>45.566007162321398</v>
      </c>
      <c r="L122" s="63">
        <f t="shared" ref="L122:O122" si="53">SUM(L118:L121)</f>
        <v>37.910250864572149</v>
      </c>
      <c r="M122" s="63">
        <f t="shared" ca="1" si="53"/>
        <v>56.575165071319049</v>
      </c>
      <c r="N122" s="63">
        <f t="shared" ca="1" si="53"/>
        <v>51.809304013131779</v>
      </c>
      <c r="O122" s="63">
        <f t="shared" ca="1" si="53"/>
        <v>42.862366449814715</v>
      </c>
    </row>
    <row r="123" spans="1:15">
      <c r="B123" s="5"/>
      <c r="F123"/>
      <c r="G123" s="32"/>
      <c r="H123" s="64"/>
      <c r="I123" s="64"/>
      <c r="J123" s="64"/>
      <c r="K123" s="64"/>
      <c r="L123" s="64"/>
      <c r="M123" s="64"/>
      <c r="N123" s="64"/>
      <c r="O123" s="64"/>
    </row>
    <row r="124" spans="1:15">
      <c r="B124" s="5"/>
      <c r="F124"/>
      <c r="G124" s="32"/>
      <c r="H124" s="64"/>
      <c r="I124" s="64"/>
      <c r="J124" s="64"/>
      <c r="K124" s="64"/>
      <c r="L124" s="64"/>
      <c r="M124" s="64"/>
      <c r="N124" s="64"/>
      <c r="O124" s="64"/>
    </row>
    <row r="125" spans="1:15">
      <c r="B125" s="20" t="s">
        <v>40</v>
      </c>
      <c r="F125"/>
      <c r="G125" s="65"/>
      <c r="H125" s="66"/>
      <c r="I125" s="66"/>
      <c r="J125" s="66"/>
      <c r="K125" s="66"/>
      <c r="L125" s="66"/>
      <c r="M125" s="66"/>
      <c r="N125" s="66"/>
      <c r="O125" s="66"/>
    </row>
    <row r="126" spans="1:15">
      <c r="C126" t="s">
        <v>31</v>
      </c>
      <c r="H126" s="67">
        <v>-14.1</v>
      </c>
      <c r="I126" s="67">
        <v>-15</v>
      </c>
      <c r="J126" s="67">
        <v>-15.5</v>
      </c>
      <c r="K126" s="403">
        <f>-Assumptions!J58</f>
        <v>-16</v>
      </c>
      <c r="L126" s="403">
        <f>-Assumptions!K58</f>
        <v>-17</v>
      </c>
      <c r="M126" s="403">
        <f>-Assumptions!L58</f>
        <v>-17.3</v>
      </c>
      <c r="N126" s="403">
        <f>-Assumptions!M58</f>
        <v>-17.5</v>
      </c>
      <c r="O126" s="403">
        <f>-Assumptions!N58</f>
        <v>-18</v>
      </c>
    </row>
    <row r="127" spans="1:15">
      <c r="C127" t="s">
        <v>7</v>
      </c>
      <c r="H127" s="43">
        <v>-5</v>
      </c>
      <c r="I127" s="43">
        <v>4</v>
      </c>
      <c r="J127" s="43">
        <v>3</v>
      </c>
      <c r="K127" s="403">
        <f>Assumptions!J56</f>
        <v>0</v>
      </c>
      <c r="L127" s="403">
        <f>Assumptions!K56</f>
        <v>0</v>
      </c>
      <c r="M127" s="403">
        <f>Assumptions!L56</f>
        <v>0</v>
      </c>
      <c r="N127" s="403">
        <f>Assumptions!M56</f>
        <v>0</v>
      </c>
      <c r="O127" s="403">
        <f>Assumptions!N56</f>
        <v>0</v>
      </c>
    </row>
    <row r="128" spans="1:15">
      <c r="A128" s="20"/>
      <c r="C128" s="20" t="s">
        <v>41</v>
      </c>
      <c r="F128"/>
      <c r="G128" s="28"/>
      <c r="H128" s="68">
        <f t="shared" ref="H128:J128" si="54">SUM(H126:H127)</f>
        <v>-19.100000000000001</v>
      </c>
      <c r="I128" s="68">
        <f t="shared" si="54"/>
        <v>-11</v>
      </c>
      <c r="J128" s="68">
        <f t="shared" si="54"/>
        <v>-12.5</v>
      </c>
      <c r="K128" s="68">
        <f>SUM(K126:K127)</f>
        <v>-16</v>
      </c>
      <c r="L128" s="68">
        <f t="shared" ref="L128:O128" si="55">SUM(L126:L127)</f>
        <v>-17</v>
      </c>
      <c r="M128" s="68">
        <f t="shared" si="55"/>
        <v>-17.3</v>
      </c>
      <c r="N128" s="68">
        <f t="shared" si="55"/>
        <v>-17.5</v>
      </c>
      <c r="O128" s="68">
        <f t="shared" si="55"/>
        <v>-18</v>
      </c>
    </row>
    <row r="129" spans="1:15">
      <c r="A129" s="20"/>
      <c r="B129" s="19"/>
      <c r="F129"/>
      <c r="G129" s="28"/>
      <c r="H129" s="69"/>
      <c r="I129" s="69"/>
      <c r="J129" s="70"/>
      <c r="K129" s="70"/>
      <c r="L129" s="70"/>
      <c r="M129" s="70"/>
      <c r="N129" s="70"/>
      <c r="O129" s="70"/>
    </row>
    <row r="130" spans="1:15">
      <c r="A130" s="20"/>
      <c r="B130" s="19"/>
      <c r="F130"/>
      <c r="G130" s="28"/>
      <c r="H130" s="69"/>
      <c r="I130" s="69"/>
      <c r="J130" s="69"/>
      <c r="K130" s="69"/>
      <c r="L130" s="69"/>
      <c r="M130" s="69"/>
      <c r="N130" s="69"/>
      <c r="O130" s="69"/>
    </row>
    <row r="131" spans="1:15">
      <c r="A131" s="20"/>
      <c r="B131" s="19" t="s">
        <v>35</v>
      </c>
      <c r="F131"/>
      <c r="G131" s="28"/>
      <c r="H131" s="71"/>
      <c r="I131" s="71"/>
      <c r="J131" s="71"/>
      <c r="K131" s="71"/>
      <c r="L131" s="71"/>
      <c r="M131" s="71"/>
      <c r="N131" s="71"/>
      <c r="O131" s="71"/>
    </row>
    <row r="132" spans="1:15">
      <c r="A132" s="20"/>
      <c r="B132" s="19"/>
      <c r="C132" t="s">
        <v>50</v>
      </c>
      <c r="F132"/>
      <c r="G132" s="28"/>
      <c r="H132" s="67">
        <v>0</v>
      </c>
      <c r="I132" s="67">
        <v>0</v>
      </c>
      <c r="J132" s="67">
        <v>0</v>
      </c>
      <c r="K132" s="512">
        <f>K302</f>
        <v>1.0754576226248351</v>
      </c>
      <c r="L132" s="512">
        <f t="shared" ref="L132:O132" si="56">L302</f>
        <v>6.6665187986595473</v>
      </c>
      <c r="M132" s="512">
        <f t="shared" ca="1" si="56"/>
        <v>-6.5146806518898854</v>
      </c>
      <c r="N132" s="512">
        <f t="shared" ca="1" si="56"/>
        <v>-1.2272957693944972</v>
      </c>
      <c r="O132" s="512">
        <f t="shared" ca="1" si="56"/>
        <v>2.6048902156305287</v>
      </c>
    </row>
    <row r="133" spans="1:15">
      <c r="A133" s="20"/>
      <c r="B133" s="19"/>
      <c r="C133" t="s">
        <v>51</v>
      </c>
      <c r="F133"/>
      <c r="G133" s="28"/>
      <c r="H133" s="67">
        <v>-25</v>
      </c>
      <c r="I133" s="67">
        <v>-25</v>
      </c>
      <c r="J133" s="67">
        <v>-25</v>
      </c>
      <c r="K133" s="512">
        <f>K311</f>
        <v>-25</v>
      </c>
      <c r="L133" s="512">
        <f t="shared" ref="L133:O133" si="57">L311</f>
        <v>-25</v>
      </c>
      <c r="M133" s="512">
        <f t="shared" si="57"/>
        <v>-25</v>
      </c>
      <c r="N133" s="512">
        <f t="shared" si="57"/>
        <v>-25</v>
      </c>
      <c r="O133" s="512">
        <f t="shared" si="57"/>
        <v>-25</v>
      </c>
    </row>
    <row r="134" spans="1:15">
      <c r="A134" s="20"/>
      <c r="B134" s="19"/>
      <c r="C134" t="s">
        <v>46</v>
      </c>
      <c r="F134"/>
      <c r="G134" s="28"/>
      <c r="H134" s="67">
        <v>0</v>
      </c>
      <c r="I134" s="67">
        <v>0</v>
      </c>
      <c r="J134" s="67">
        <v>0</v>
      </c>
      <c r="K134" s="512">
        <f>K331</f>
        <v>0</v>
      </c>
      <c r="L134" s="512">
        <f t="shared" ref="L134:O134" si="58">L331</f>
        <v>0</v>
      </c>
      <c r="M134" s="512">
        <f t="shared" si="58"/>
        <v>0</v>
      </c>
      <c r="N134" s="512">
        <f t="shared" si="58"/>
        <v>0</v>
      </c>
      <c r="O134" s="512">
        <f t="shared" si="58"/>
        <v>0</v>
      </c>
    </row>
    <row r="135" spans="1:15">
      <c r="A135" s="20"/>
      <c r="B135" s="19"/>
      <c r="C135" t="s">
        <v>47</v>
      </c>
      <c r="F135"/>
      <c r="G135" s="28"/>
      <c r="H135" s="43">
        <v>-2.8</v>
      </c>
      <c r="I135" s="43">
        <v>-4.7</v>
      </c>
      <c r="J135" s="43">
        <v>-2.4</v>
      </c>
      <c r="K135" s="513">
        <f>-K336</f>
        <v>-5.9414647849462332</v>
      </c>
      <c r="L135" s="513">
        <f t="shared" ref="L135:O135" si="59">-L336</f>
        <v>-2.5767696632316985</v>
      </c>
      <c r="M135" s="513">
        <f t="shared" ca="1" si="59"/>
        <v>-7.7604844194291687</v>
      </c>
      <c r="N135" s="513">
        <f t="shared" ca="1" si="59"/>
        <v>-6.6637887563288842</v>
      </c>
      <c r="O135" s="513">
        <f t="shared" ca="1" si="59"/>
        <v>-3.8854761528536401</v>
      </c>
    </row>
    <row r="136" spans="1:15">
      <c r="A136" s="20"/>
      <c r="B136" s="19"/>
      <c r="C136" s="20" t="s">
        <v>42</v>
      </c>
      <c r="F136"/>
      <c r="G136" s="28"/>
      <c r="H136" s="68">
        <f t="shared" ref="H136:J136" si="60">SUM(H132:H135)</f>
        <v>-27.8</v>
      </c>
      <c r="I136" s="68">
        <f t="shared" si="60"/>
        <v>-29.7</v>
      </c>
      <c r="J136" s="68">
        <f t="shared" si="60"/>
        <v>-27.4</v>
      </c>
      <c r="K136" s="68">
        <f>SUM(K132:K135)</f>
        <v>-29.866007162321399</v>
      </c>
      <c r="L136" s="68">
        <f t="shared" ref="L136:O136" si="61">SUM(L132:L135)</f>
        <v>-20.910250864572152</v>
      </c>
      <c r="M136" s="68">
        <f t="shared" ca="1" si="61"/>
        <v>-39.275165071319051</v>
      </c>
      <c r="N136" s="68">
        <f t="shared" ca="1" si="61"/>
        <v>-32.891084525723386</v>
      </c>
      <c r="O136" s="68">
        <f t="shared" ca="1" si="61"/>
        <v>-26.280585937223112</v>
      </c>
    </row>
    <row r="137" spans="1:15">
      <c r="A137" s="20"/>
      <c r="B137" s="19"/>
      <c r="F137"/>
      <c r="G137" s="28"/>
      <c r="H137" s="71"/>
      <c r="I137" s="71"/>
      <c r="J137" s="71"/>
    </row>
    <row r="138" spans="1:15">
      <c r="A138" s="20"/>
      <c r="C138" s="27"/>
      <c r="F138"/>
      <c r="G138" s="28"/>
      <c r="H138" s="71"/>
      <c r="I138" s="71"/>
      <c r="J138" s="71"/>
    </row>
    <row r="139" spans="1:15">
      <c r="A139" s="20"/>
      <c r="B139" s="8" t="s">
        <v>32</v>
      </c>
      <c r="C139" s="72"/>
      <c r="D139" s="3"/>
      <c r="E139" s="3"/>
      <c r="F139" s="3"/>
      <c r="G139" s="73"/>
      <c r="H139" s="74">
        <f t="shared" ref="H139:J139" si="62">H136+H128+H122</f>
        <v>-14.700000000000038</v>
      </c>
      <c r="I139" s="74">
        <f t="shared" si="62"/>
        <v>4.7000000000000313</v>
      </c>
      <c r="J139" s="74">
        <f t="shared" si="62"/>
        <v>-20.799999999999997</v>
      </c>
      <c r="K139" s="74">
        <f>K136+K128+K122</f>
        <v>-0.29999999999999716</v>
      </c>
      <c r="L139" s="74">
        <f t="shared" ref="L139:O139" si="63">L136+L128+L122</f>
        <v>0</v>
      </c>
      <c r="M139" s="74">
        <f t="shared" ca="1" si="63"/>
        <v>0</v>
      </c>
      <c r="N139" s="74">
        <f t="shared" ca="1" si="63"/>
        <v>1.4182194874083933</v>
      </c>
      <c r="O139" s="74">
        <f t="shared" ca="1" si="63"/>
        <v>-1.4182194874083933</v>
      </c>
    </row>
    <row r="140" spans="1:15">
      <c r="A140" s="20"/>
      <c r="B140" s="4" t="s">
        <v>33</v>
      </c>
      <c r="C140" s="27"/>
      <c r="F140"/>
      <c r="G140" s="28"/>
      <c r="H140" s="75">
        <v>31.1</v>
      </c>
      <c r="I140" s="76">
        <f t="shared" ref="I140:J140" si="64">+H141</f>
        <v>16.399999999999963</v>
      </c>
      <c r="J140" s="76">
        <f t="shared" si="64"/>
        <v>21.099999999999994</v>
      </c>
      <c r="K140" s="76">
        <f>J141</f>
        <v>0.29999999999999716</v>
      </c>
      <c r="L140" s="76">
        <f t="shared" ref="L140:O140" si="65">K141</f>
        <v>0</v>
      </c>
      <c r="M140" s="76">
        <f t="shared" si="65"/>
        <v>0</v>
      </c>
      <c r="N140" s="76">
        <f t="shared" ca="1" si="65"/>
        <v>0</v>
      </c>
      <c r="O140" s="76">
        <f t="shared" ca="1" si="65"/>
        <v>1.4182194874083933</v>
      </c>
    </row>
    <row r="141" spans="1:15">
      <c r="A141" s="20"/>
      <c r="B141" s="77" t="s">
        <v>34</v>
      </c>
      <c r="C141" s="30"/>
      <c r="D141" s="6"/>
      <c r="E141" s="6"/>
      <c r="F141" s="6"/>
      <c r="G141" s="31"/>
      <c r="H141" s="78">
        <f t="shared" ref="H141:J141" si="66">H140+H139</f>
        <v>16.399999999999963</v>
      </c>
      <c r="I141" s="78">
        <f t="shared" si="66"/>
        <v>21.099999999999994</v>
      </c>
      <c r="J141" s="78">
        <f t="shared" si="66"/>
        <v>0.29999999999999716</v>
      </c>
      <c r="K141" s="522">
        <f>K140+K139</f>
        <v>0</v>
      </c>
      <c r="L141" s="522">
        <f t="shared" ref="L141:O141" si="67">L140+L139</f>
        <v>0</v>
      </c>
      <c r="M141" s="522">
        <f t="shared" ca="1" si="67"/>
        <v>0</v>
      </c>
      <c r="N141" s="522">
        <f t="shared" ca="1" si="67"/>
        <v>1.4182194874083933</v>
      </c>
      <c r="O141" s="522">
        <f t="shared" ca="1" si="67"/>
        <v>0</v>
      </c>
    </row>
    <row r="142" spans="1:15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>
      <c r="F143"/>
    </row>
    <row r="144" spans="1:15" ht="12.75" customHeight="1">
      <c r="A144" s="10"/>
      <c r="B144" s="1"/>
      <c r="C144" s="2"/>
      <c r="D144" s="2"/>
      <c r="E144" s="2"/>
      <c r="F144" s="9"/>
      <c r="G144" s="2"/>
      <c r="H144" s="2"/>
      <c r="I144" s="2"/>
      <c r="J144" s="2"/>
      <c r="O144" s="358" t="str">
        <f>$O$2</f>
        <v>CURRENTLY RUNNING: BASE CASE SCENARIO</v>
      </c>
    </row>
    <row r="145" spans="1:15" ht="23.25">
      <c r="A145" s="10"/>
      <c r="B145" s="1" t="str">
        <f>B73</f>
        <v>Blu Containers Company</v>
      </c>
      <c r="C145" s="2"/>
      <c r="D145" s="2"/>
      <c r="E145" s="2"/>
      <c r="F145" s="9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8.75">
      <c r="A146" s="11"/>
      <c r="B146" s="12" t="s">
        <v>43</v>
      </c>
      <c r="C146" s="13"/>
      <c r="D146" s="13"/>
      <c r="E146" s="13"/>
      <c r="F146" s="14"/>
      <c r="G146" s="13"/>
      <c r="H146" s="13"/>
      <c r="I146" s="13"/>
      <c r="J146" s="13"/>
      <c r="K146" s="2"/>
      <c r="L146" s="2"/>
      <c r="M146" s="2"/>
      <c r="N146" s="2"/>
      <c r="O146" s="2"/>
    </row>
    <row r="147" spans="1:15" ht="3" customHeight="1" thickBot="1">
      <c r="A147" s="10"/>
      <c r="B147" s="1"/>
      <c r="C147" s="303"/>
      <c r="D147" s="303"/>
      <c r="E147" s="303"/>
      <c r="F147" s="304"/>
      <c r="G147" s="303"/>
      <c r="H147" s="303"/>
      <c r="I147" s="303"/>
      <c r="J147" s="303"/>
      <c r="K147" s="303"/>
      <c r="L147" s="303"/>
      <c r="M147" s="303"/>
      <c r="N147" s="303"/>
      <c r="O147" s="303"/>
    </row>
    <row r="148" spans="1:15">
      <c r="B148" s="33" t="s">
        <v>56</v>
      </c>
      <c r="F148"/>
    </row>
    <row r="149" spans="1:15" ht="23.25">
      <c r="A149" s="10"/>
      <c r="B149" s="1"/>
      <c r="C149" s="2"/>
      <c r="D149" s="2"/>
      <c r="E149" s="2"/>
      <c r="F149" s="9"/>
      <c r="G149" s="2"/>
      <c r="H149" s="2"/>
      <c r="I149" s="2"/>
      <c r="J149" s="2"/>
      <c r="K149" s="306" t="s">
        <v>126</v>
      </c>
      <c r="L149" s="305"/>
      <c r="M149" s="305"/>
      <c r="N149" s="305"/>
      <c r="O149" s="305"/>
    </row>
    <row r="150" spans="1:15">
      <c r="B150" s="79"/>
      <c r="F150" s="55"/>
      <c r="G150" s="54"/>
      <c r="H150" s="88">
        <f>H7</f>
        <v>2020</v>
      </c>
      <c r="I150" s="88">
        <f t="shared" ref="I150:J150" si="68">I7</f>
        <v>2021</v>
      </c>
      <c r="J150" s="88">
        <f t="shared" si="68"/>
        <v>2022</v>
      </c>
      <c r="K150" s="20">
        <f>$K$78</f>
        <v>2023</v>
      </c>
      <c r="L150" s="20">
        <f>$L$78</f>
        <v>2024</v>
      </c>
      <c r="M150" s="20">
        <f>$M$78</f>
        <v>2025</v>
      </c>
      <c r="N150" s="20">
        <f>$N$78</f>
        <v>2026</v>
      </c>
      <c r="O150" s="20">
        <f>$O$78</f>
        <v>2027</v>
      </c>
    </row>
    <row r="151" spans="1:15">
      <c r="B151" s="79"/>
      <c r="F151"/>
      <c r="G151" s="54"/>
      <c r="H151" s="55"/>
      <c r="I151" s="55"/>
      <c r="J151" s="55"/>
    </row>
    <row r="152" spans="1:15">
      <c r="B152" s="20" t="s">
        <v>9</v>
      </c>
      <c r="F152"/>
    </row>
    <row r="153" spans="1:15">
      <c r="C153" t="s">
        <v>10</v>
      </c>
      <c r="F153" s="17"/>
      <c r="G153" s="60"/>
      <c r="H153" s="67">
        <v>16.399999999999963</v>
      </c>
      <c r="I153" s="67">
        <v>21.099999999999994</v>
      </c>
      <c r="J153" s="67">
        <v>0.3</v>
      </c>
      <c r="K153" s="540">
        <f>K141</f>
        <v>0</v>
      </c>
      <c r="L153" s="540">
        <f t="shared" ref="L153:O153" si="69">L141</f>
        <v>0</v>
      </c>
      <c r="M153" s="540">
        <f t="shared" ca="1" si="69"/>
        <v>0</v>
      </c>
      <c r="N153" s="540">
        <f t="shared" ca="1" si="69"/>
        <v>1.4182194874083933</v>
      </c>
      <c r="O153" s="540">
        <f t="shared" ca="1" si="69"/>
        <v>0</v>
      </c>
    </row>
    <row r="154" spans="1:15">
      <c r="C154" t="s">
        <v>11</v>
      </c>
      <c r="F154" s="17"/>
      <c r="G154" s="60"/>
      <c r="H154" s="67">
        <v>27</v>
      </c>
      <c r="I154" s="67">
        <v>27.8</v>
      </c>
      <c r="J154" s="67">
        <v>28.3</v>
      </c>
      <c r="K154" s="512">
        <f>K263</f>
        <v>33.200494918250108</v>
      </c>
      <c r="L154" s="512">
        <f t="shared" ref="L154:O154" si="70">L263</f>
        <v>28.080789762030673</v>
      </c>
      <c r="M154" s="512">
        <f t="shared" ca="1" si="70"/>
        <v>30.819847513028726</v>
      </c>
      <c r="N154" s="512">
        <f t="shared" ca="1" si="70"/>
        <v>30.819677190824109</v>
      </c>
      <c r="O154" s="512">
        <f t="shared" ca="1" si="70"/>
        <v>29.38880772493151</v>
      </c>
    </row>
    <row r="155" spans="1:15">
      <c r="C155" t="s">
        <v>12</v>
      </c>
      <c r="F155" s="17"/>
      <c r="G155" s="60"/>
      <c r="H155" s="67">
        <v>36.5</v>
      </c>
      <c r="I155" s="67">
        <v>36.1</v>
      </c>
      <c r="J155" s="67">
        <v>35.1</v>
      </c>
      <c r="K155" s="512">
        <f t="shared" ref="K155:O155" si="71">K264</f>
        <v>33.501588599204595</v>
      </c>
      <c r="L155" s="512">
        <f t="shared" si="71"/>
        <v>32.409890750925442</v>
      </c>
      <c r="M155" s="512">
        <f t="shared" ca="1" si="71"/>
        <v>31.350684269945383</v>
      </c>
      <c r="N155" s="512">
        <f t="shared" ca="1" si="71"/>
        <v>32.936000675597391</v>
      </c>
      <c r="O155" s="512">
        <f t="shared" ca="1" si="71"/>
        <v>31.578709681109586</v>
      </c>
    </row>
    <row r="156" spans="1:15">
      <c r="C156" t="s">
        <v>55</v>
      </c>
      <c r="F156" s="17"/>
      <c r="G156" s="80"/>
      <c r="H156" s="67">
        <v>14.6</v>
      </c>
      <c r="I156" s="67">
        <v>14.4</v>
      </c>
      <c r="J156" s="67">
        <v>14.9</v>
      </c>
      <c r="K156" s="512">
        <f t="shared" ref="K156:O156" si="72">K265</f>
        <v>14.357823685373399</v>
      </c>
      <c r="L156" s="512">
        <f t="shared" si="72"/>
        <v>14.958411115811742</v>
      </c>
      <c r="M156" s="512">
        <f t="shared" ca="1" si="72"/>
        <v>15.675342134972691</v>
      </c>
      <c r="N156" s="512">
        <f t="shared" ca="1" si="72"/>
        <v>16.468000337798696</v>
      </c>
      <c r="O156" s="512">
        <f t="shared" ca="1" si="72"/>
        <v>17.224750735150682</v>
      </c>
    </row>
    <row r="157" spans="1:15">
      <c r="C157" s="18" t="s">
        <v>7</v>
      </c>
      <c r="F157" s="17"/>
      <c r="G157" s="80"/>
      <c r="H157" s="43">
        <v>1.4</v>
      </c>
      <c r="I157" s="43">
        <v>1.8</v>
      </c>
      <c r="J157" s="43">
        <v>1.2</v>
      </c>
      <c r="K157" s="513">
        <f>K266</f>
        <v>1.4357823685373399</v>
      </c>
      <c r="L157" s="513">
        <f t="shared" ref="L157:O157" si="73">L266</f>
        <v>1.4958411115811741</v>
      </c>
      <c r="M157" s="513">
        <f t="shared" ca="1" si="73"/>
        <v>1.5675342134972692</v>
      </c>
      <c r="N157" s="513">
        <f t="shared" ca="1" si="73"/>
        <v>1.6468000337798698</v>
      </c>
      <c r="O157" s="513">
        <f t="shared" ca="1" si="73"/>
        <v>1.7224750735150685</v>
      </c>
    </row>
    <row r="158" spans="1:15">
      <c r="C158" s="27" t="s">
        <v>13</v>
      </c>
      <c r="F158" s="21"/>
      <c r="G158" s="26"/>
      <c r="H158" s="58">
        <f t="shared" ref="H158:J158" si="74">SUM(H153:H157)</f>
        <v>95.899999999999963</v>
      </c>
      <c r="I158" s="58">
        <f t="shared" si="74"/>
        <v>101.2</v>
      </c>
      <c r="J158" s="58">
        <f t="shared" si="74"/>
        <v>79.800000000000011</v>
      </c>
      <c r="K158" s="514">
        <f>SUM(K153:K157)</f>
        <v>82.495689571365446</v>
      </c>
      <c r="L158" s="514">
        <f t="shared" ref="L158:O158" si="75">SUM(L153:L157)</f>
        <v>76.944932740349032</v>
      </c>
      <c r="M158" s="514">
        <f t="shared" ca="1" si="75"/>
        <v>79.413408131444072</v>
      </c>
      <c r="N158" s="514">
        <f t="shared" ca="1" si="75"/>
        <v>83.288697725408454</v>
      </c>
      <c r="O158" s="514">
        <f t="shared" ca="1" si="75"/>
        <v>79.914743214706846</v>
      </c>
    </row>
    <row r="159" spans="1:15">
      <c r="F159" s="26"/>
      <c r="G159" s="56"/>
      <c r="H159" s="26"/>
      <c r="I159" s="26"/>
      <c r="J159" s="81"/>
      <c r="K159" s="81"/>
      <c r="L159" s="81"/>
      <c r="M159" s="81"/>
      <c r="N159" s="81"/>
      <c r="O159" s="81"/>
    </row>
    <row r="160" spans="1:15">
      <c r="C160" t="s">
        <v>14</v>
      </c>
      <c r="F160" s="17"/>
      <c r="G160" s="80"/>
      <c r="H160" s="67">
        <v>398.5</v>
      </c>
      <c r="I160" s="67">
        <v>398</v>
      </c>
      <c r="J160" s="67">
        <v>397.7</v>
      </c>
      <c r="K160" s="512">
        <f>J160-K126-K119</f>
        <v>397.52533333333332</v>
      </c>
      <c r="L160" s="512">
        <f t="shared" ref="L160:O160" si="76">K160-L126-L119</f>
        <v>397.80066666666664</v>
      </c>
      <c r="M160" s="512">
        <f t="shared" si="76"/>
        <v>397.80433333333332</v>
      </c>
      <c r="N160" s="512">
        <f t="shared" si="76"/>
        <v>397.428</v>
      </c>
      <c r="O160" s="512">
        <f t="shared" si="76"/>
        <v>396.96</v>
      </c>
    </row>
    <row r="161" spans="2:15">
      <c r="C161" s="18" t="s">
        <v>7</v>
      </c>
      <c r="F161" s="17"/>
      <c r="G161" s="80"/>
      <c r="H161" s="43">
        <v>19</v>
      </c>
      <c r="I161" s="43">
        <v>15</v>
      </c>
      <c r="J161" s="43">
        <v>12</v>
      </c>
      <c r="K161" s="513">
        <f>J161-K127</f>
        <v>12</v>
      </c>
      <c r="L161" s="513">
        <f t="shared" ref="L161:O161" si="77">K161-L127</f>
        <v>12</v>
      </c>
      <c r="M161" s="513">
        <f t="shared" si="77"/>
        <v>12</v>
      </c>
      <c r="N161" s="513">
        <f t="shared" si="77"/>
        <v>12</v>
      </c>
      <c r="O161" s="513">
        <f t="shared" si="77"/>
        <v>12</v>
      </c>
    </row>
    <row r="162" spans="2:15">
      <c r="C162" s="19" t="s">
        <v>57</v>
      </c>
      <c r="F162" s="17"/>
      <c r="G162" s="80"/>
      <c r="H162" s="82">
        <f>SUM(H160:H161)</f>
        <v>417.5</v>
      </c>
      <c r="I162" s="82">
        <f t="shared" ref="I162:J162" si="78">SUM(I160:I161)</f>
        <v>413</v>
      </c>
      <c r="J162" s="82">
        <f t="shared" si="78"/>
        <v>409.7</v>
      </c>
      <c r="K162" s="82">
        <f>SUM(K160:K161)</f>
        <v>409.52533333333332</v>
      </c>
      <c r="L162" s="82">
        <f t="shared" ref="L162:O162" si="79">SUM(L160:L161)</f>
        <v>409.80066666666664</v>
      </c>
      <c r="M162" s="82">
        <f t="shared" si="79"/>
        <v>409.80433333333332</v>
      </c>
      <c r="N162" s="82">
        <f t="shared" si="79"/>
        <v>409.428</v>
      </c>
      <c r="O162" s="82">
        <f t="shared" si="79"/>
        <v>408.96</v>
      </c>
    </row>
    <row r="163" spans="2:15">
      <c r="C163" s="18"/>
      <c r="F163" s="17"/>
      <c r="G163" s="80"/>
      <c r="H163" s="67"/>
      <c r="I163" s="67"/>
      <c r="J163" s="67"/>
      <c r="K163" s="67"/>
      <c r="L163" s="67"/>
      <c r="M163" s="67"/>
      <c r="N163" s="67"/>
      <c r="O163" s="67"/>
    </row>
    <row r="164" spans="2:15" ht="13.5" thickBot="1">
      <c r="C164" s="20" t="s">
        <v>15</v>
      </c>
      <c r="F164" s="21"/>
      <c r="G164" s="28"/>
      <c r="H164" s="29">
        <f>+H158+H162</f>
        <v>513.4</v>
      </c>
      <c r="I164" s="29">
        <f t="shared" ref="I164:J164" si="80">+I158+I162</f>
        <v>514.20000000000005</v>
      </c>
      <c r="J164" s="29">
        <f t="shared" si="80"/>
        <v>489.5</v>
      </c>
      <c r="K164" s="29">
        <f>SUM(K162,K158)</f>
        <v>492.02102290469878</v>
      </c>
      <c r="L164" s="29">
        <f t="shared" ref="L164:O164" si="81">SUM(L162,L158)</f>
        <v>486.74559940701567</v>
      </c>
      <c r="M164" s="29">
        <f t="shared" ca="1" si="81"/>
        <v>489.21774146477742</v>
      </c>
      <c r="N164" s="29">
        <f t="shared" ca="1" si="81"/>
        <v>492.71669772540844</v>
      </c>
      <c r="O164" s="29">
        <f t="shared" ca="1" si="81"/>
        <v>488.87474321470683</v>
      </c>
    </row>
    <row r="165" spans="2:15" ht="13.5" thickTop="1">
      <c r="F165" s="26"/>
      <c r="G165" s="56"/>
      <c r="H165" s="26"/>
      <c r="I165" s="26"/>
      <c r="J165" s="56"/>
    </row>
    <row r="166" spans="2:15">
      <c r="F166" s="26"/>
      <c r="G166" s="56"/>
    </row>
    <row r="167" spans="2:15">
      <c r="B167" s="27" t="s">
        <v>16</v>
      </c>
      <c r="F167" s="26"/>
      <c r="G167" s="56"/>
      <c r="H167" s="88"/>
      <c r="I167" s="88"/>
      <c r="J167" s="88"/>
    </row>
    <row r="168" spans="2:15">
      <c r="C168" s="18" t="s">
        <v>52</v>
      </c>
      <c r="F168" s="17"/>
      <c r="G168" s="60"/>
      <c r="H168" s="67">
        <v>0</v>
      </c>
      <c r="I168" s="67">
        <v>0</v>
      </c>
      <c r="J168" s="67">
        <v>0</v>
      </c>
      <c r="K168" s="512">
        <f>K303</f>
        <v>1.0754576226248351</v>
      </c>
      <c r="L168" s="512">
        <f t="shared" ref="L168:O168" si="82">L303</f>
        <v>7.7419764212843827</v>
      </c>
      <c r="M168" s="512">
        <f t="shared" ca="1" si="82"/>
        <v>1.2272957693944972</v>
      </c>
      <c r="N168" s="512">
        <f t="shared" ca="1" si="82"/>
        <v>0</v>
      </c>
      <c r="O168" s="512">
        <f t="shared" ca="1" si="82"/>
        <v>2.6048902156305287</v>
      </c>
    </row>
    <row r="169" spans="2:15">
      <c r="C169" s="18" t="s">
        <v>17</v>
      </c>
      <c r="F169" s="17"/>
      <c r="G169" s="60"/>
      <c r="H169" s="83">
        <v>18.299999999999997</v>
      </c>
      <c r="I169" s="83">
        <v>18.700000000000003</v>
      </c>
      <c r="J169" s="83">
        <v>18.2</v>
      </c>
      <c r="K169" s="515">
        <f>K267</f>
        <v>19.143764913831198</v>
      </c>
      <c r="L169" s="515">
        <f t="shared" ref="L169:O169" si="83">L267</f>
        <v>19.944548154415656</v>
      </c>
      <c r="M169" s="515">
        <f t="shared" ca="1" si="83"/>
        <v>20.900456179963591</v>
      </c>
      <c r="N169" s="515">
        <f t="shared" ca="1" si="83"/>
        <v>21.957333783731595</v>
      </c>
      <c r="O169" s="515">
        <f t="shared" ca="1" si="83"/>
        <v>22.966334313534244</v>
      </c>
    </row>
    <row r="170" spans="2:15">
      <c r="C170" s="18" t="s">
        <v>7</v>
      </c>
      <c r="F170" s="17"/>
      <c r="G170" s="80"/>
      <c r="H170" s="43">
        <v>4.7</v>
      </c>
      <c r="I170" s="43">
        <v>4.9000000000000004</v>
      </c>
      <c r="J170" s="43">
        <v>4.8</v>
      </c>
      <c r="K170" s="513">
        <f>K268</f>
        <v>4.7859412284577996</v>
      </c>
      <c r="L170" s="513">
        <f t="shared" ref="L170:O170" si="84">L268</f>
        <v>4.9861370386039141</v>
      </c>
      <c r="M170" s="513">
        <f t="shared" ca="1" si="84"/>
        <v>5.2251140449908977</v>
      </c>
      <c r="N170" s="513">
        <f t="shared" ca="1" si="84"/>
        <v>5.4893334459328988</v>
      </c>
      <c r="O170" s="513">
        <f t="shared" ca="1" si="84"/>
        <v>5.7415835783835609</v>
      </c>
    </row>
    <row r="171" spans="2:15">
      <c r="C171" s="27" t="s">
        <v>18</v>
      </c>
      <c r="F171" s="21"/>
      <c r="G171" s="26"/>
      <c r="H171" s="24">
        <f t="shared" ref="H171:J171" si="85">SUM(H168:H170)</f>
        <v>22.999999999999996</v>
      </c>
      <c r="I171" s="24">
        <f t="shared" si="85"/>
        <v>23.6</v>
      </c>
      <c r="J171" s="24">
        <f t="shared" si="85"/>
        <v>23</v>
      </c>
      <c r="K171" s="24">
        <f>SUM(K168:K170)</f>
        <v>25.005163764913831</v>
      </c>
      <c r="L171" s="24">
        <f t="shared" ref="L171:O171" si="86">SUM(L168:L170)</f>
        <v>32.672661614303955</v>
      </c>
      <c r="M171" s="24">
        <f t="shared" ca="1" si="86"/>
        <v>27.352865994348988</v>
      </c>
      <c r="N171" s="24">
        <f t="shared" ca="1" si="86"/>
        <v>27.446667229664495</v>
      </c>
      <c r="O171" s="24">
        <f t="shared" ca="1" si="86"/>
        <v>31.312808107548335</v>
      </c>
    </row>
    <row r="172" spans="2:15">
      <c r="F172" s="26"/>
      <c r="G172" s="56"/>
      <c r="H172" s="26"/>
      <c r="I172" s="26"/>
      <c r="J172" s="56"/>
      <c r="K172" s="56"/>
      <c r="L172" s="56"/>
      <c r="M172" s="56"/>
      <c r="N172" s="56"/>
      <c r="O172" s="56"/>
    </row>
    <row r="173" spans="2:15">
      <c r="C173" t="s">
        <v>53</v>
      </c>
      <c r="F173" s="17"/>
      <c r="G173" s="56"/>
      <c r="H173" s="84">
        <v>0.70000000000000018</v>
      </c>
      <c r="I173" s="84">
        <v>6.9</v>
      </c>
      <c r="J173" s="84">
        <v>8</v>
      </c>
      <c r="K173" s="515">
        <f>J173+K234</f>
        <v>9.75</v>
      </c>
      <c r="L173" s="515">
        <f>K173+L234</f>
        <v>11.5</v>
      </c>
      <c r="M173" s="515">
        <f ca="1">L173+M234</f>
        <v>13.25</v>
      </c>
      <c r="N173" s="515">
        <f ca="1">M173+N234</f>
        <v>15</v>
      </c>
      <c r="O173" s="515">
        <f ca="1">N173+O234</f>
        <v>16.75</v>
      </c>
    </row>
    <row r="174" spans="2:15">
      <c r="C174" s="18" t="s">
        <v>49</v>
      </c>
      <c r="F174" s="17"/>
      <c r="G174" s="85"/>
      <c r="H174" s="43">
        <v>250</v>
      </c>
      <c r="I174" s="43">
        <v>225</v>
      </c>
      <c r="J174" s="43">
        <v>200</v>
      </c>
      <c r="K174" s="513">
        <f>K312</f>
        <v>175</v>
      </c>
      <c r="L174" s="513">
        <f t="shared" ref="L174:O174" si="87">L312</f>
        <v>150</v>
      </c>
      <c r="M174" s="513">
        <f t="shared" si="87"/>
        <v>125</v>
      </c>
      <c r="N174" s="513">
        <f t="shared" si="87"/>
        <v>100</v>
      </c>
      <c r="O174" s="513">
        <f t="shared" si="87"/>
        <v>75</v>
      </c>
    </row>
    <row r="175" spans="2:15">
      <c r="C175" s="19" t="s">
        <v>19</v>
      </c>
      <c r="F175" s="21"/>
      <c r="G175" s="60"/>
      <c r="H175" s="58">
        <f t="shared" ref="H175:J175" si="88">SUM(H173:H174)</f>
        <v>250.7</v>
      </c>
      <c r="I175" s="58">
        <f t="shared" si="88"/>
        <v>231.9</v>
      </c>
      <c r="J175" s="58">
        <f t="shared" si="88"/>
        <v>208</v>
      </c>
      <c r="K175" s="58">
        <f>SUM(K173:K174)</f>
        <v>184.75</v>
      </c>
      <c r="L175" s="58">
        <f t="shared" ref="L175:O175" si="89">SUM(L173:L174)</f>
        <v>161.5</v>
      </c>
      <c r="M175" s="58">
        <f t="shared" ca="1" si="89"/>
        <v>138.25</v>
      </c>
      <c r="N175" s="58">
        <f t="shared" ca="1" si="89"/>
        <v>115</v>
      </c>
      <c r="O175" s="58">
        <f t="shared" ca="1" si="89"/>
        <v>91.75</v>
      </c>
    </row>
    <row r="176" spans="2:15">
      <c r="C176" s="27"/>
      <c r="F176" s="26"/>
      <c r="G176" s="56"/>
      <c r="H176" s="26"/>
      <c r="I176" s="26"/>
      <c r="J176" s="56"/>
      <c r="K176" s="56"/>
      <c r="L176" s="56"/>
      <c r="M176" s="56"/>
      <c r="N176" s="56"/>
      <c r="O176" s="56"/>
    </row>
    <row r="177" spans="2:15">
      <c r="C177" s="19" t="s">
        <v>20</v>
      </c>
      <c r="F177" s="21"/>
      <c r="G177" s="28"/>
      <c r="H177" s="25">
        <f t="shared" ref="H177:J177" si="90">H175+H171</f>
        <v>273.7</v>
      </c>
      <c r="I177" s="25">
        <f t="shared" si="90"/>
        <v>255.5</v>
      </c>
      <c r="J177" s="25">
        <f t="shared" si="90"/>
        <v>231</v>
      </c>
      <c r="K177" s="25">
        <f>K175+K171</f>
        <v>209.75516376491385</v>
      </c>
      <c r="L177" s="25">
        <f t="shared" ref="L177:O177" si="91">L175+L171</f>
        <v>194.17266161430396</v>
      </c>
      <c r="M177" s="25">
        <f t="shared" ca="1" si="91"/>
        <v>165.60286599434897</v>
      </c>
      <c r="N177" s="25">
        <f t="shared" ca="1" si="91"/>
        <v>142.44666722966448</v>
      </c>
      <c r="O177" s="25">
        <f t="shared" ca="1" si="91"/>
        <v>123.06280810754834</v>
      </c>
    </row>
    <row r="178" spans="2:15">
      <c r="F178" s="26"/>
      <c r="G178" s="26"/>
      <c r="H178" s="26"/>
      <c r="I178" s="26"/>
      <c r="J178" s="56"/>
      <c r="K178" s="56"/>
      <c r="L178" s="56"/>
      <c r="M178" s="56"/>
      <c r="N178" s="56"/>
      <c r="O178" s="56"/>
    </row>
    <row r="179" spans="2:15">
      <c r="C179" t="s">
        <v>44</v>
      </c>
      <c r="F179" s="17"/>
      <c r="G179" s="26"/>
      <c r="H179" s="67">
        <v>120</v>
      </c>
      <c r="I179" s="67">
        <v>120</v>
      </c>
      <c r="J179" s="67">
        <v>120</v>
      </c>
      <c r="K179" s="512">
        <f>J179</f>
        <v>120</v>
      </c>
      <c r="L179" s="512">
        <f t="shared" ref="L179:O179" si="92">K179</f>
        <v>120</v>
      </c>
      <c r="M179" s="512">
        <f t="shared" si="92"/>
        <v>120</v>
      </c>
      <c r="N179" s="512">
        <f t="shared" si="92"/>
        <v>120</v>
      </c>
      <c r="O179" s="512">
        <f t="shared" si="92"/>
        <v>120</v>
      </c>
    </row>
    <row r="180" spans="2:15">
      <c r="C180" t="s">
        <v>45</v>
      </c>
      <c r="F180" s="17"/>
      <c r="G180" s="86"/>
      <c r="H180" s="43">
        <v>119.70000000000002</v>
      </c>
      <c r="I180" s="43">
        <v>138.70000000000007</v>
      </c>
      <c r="J180" s="43">
        <v>138.50000000000003</v>
      </c>
      <c r="K180" s="513">
        <f>K343</f>
        <v>162.26585913978496</v>
      </c>
      <c r="L180" s="513">
        <f t="shared" ref="L180:O180" si="93">L343</f>
        <v>172.57293779271177</v>
      </c>
      <c r="M180" s="513">
        <f t="shared" ca="1" si="93"/>
        <v>203.61487547042844</v>
      </c>
      <c r="N180" s="513">
        <f t="shared" ca="1" si="93"/>
        <v>230.27003049574398</v>
      </c>
      <c r="O180" s="513">
        <f t="shared" ca="1" si="93"/>
        <v>245.81193510715855</v>
      </c>
    </row>
    <row r="181" spans="2:15">
      <c r="C181" s="27" t="s">
        <v>21</v>
      </c>
      <c r="F181" s="21"/>
      <c r="G181" s="60"/>
      <c r="H181" s="63">
        <f>SUM(H179:H180)</f>
        <v>239.70000000000002</v>
      </c>
      <c r="I181" s="63">
        <f>SUM(I179:I180)</f>
        <v>258.70000000000005</v>
      </c>
      <c r="J181" s="63">
        <f t="shared" ref="J181" si="94">SUM(J179:J180)</f>
        <v>258.5</v>
      </c>
      <c r="K181" s="63">
        <f>SUM(K179:K180)</f>
        <v>282.26585913978499</v>
      </c>
      <c r="L181" s="63">
        <f t="shared" ref="L181:O181" si="95">SUM(L179:L180)</f>
        <v>292.57293779271174</v>
      </c>
      <c r="M181" s="63">
        <f t="shared" ca="1" si="95"/>
        <v>323.61487547042844</v>
      </c>
      <c r="N181" s="63">
        <f t="shared" ca="1" si="95"/>
        <v>350.27003049574398</v>
      </c>
      <c r="O181" s="63">
        <f t="shared" ca="1" si="95"/>
        <v>365.81193510715855</v>
      </c>
    </row>
    <row r="182" spans="2:15">
      <c r="F182" s="26"/>
      <c r="G182" s="26"/>
      <c r="H182" s="56"/>
      <c r="I182" s="56"/>
      <c r="J182" s="56"/>
      <c r="K182" s="56"/>
      <c r="L182" s="56"/>
      <c r="M182" s="56"/>
      <c r="N182" s="56"/>
      <c r="O182" s="56"/>
    </row>
    <row r="183" spans="2:15" ht="13.5" thickBot="1">
      <c r="B183" s="27" t="s">
        <v>22</v>
      </c>
      <c r="F183" s="21"/>
      <c r="G183" s="28"/>
      <c r="H183" s="29">
        <f>H181+H177</f>
        <v>513.4</v>
      </c>
      <c r="I183" s="29">
        <f>I181+I177</f>
        <v>514.20000000000005</v>
      </c>
      <c r="J183" s="29">
        <f t="shared" ref="J183" si="96">J181+J177</f>
        <v>489.5</v>
      </c>
      <c r="K183" s="29">
        <f>K181+K177</f>
        <v>492.02102290469884</v>
      </c>
      <c r="L183" s="29">
        <f t="shared" ref="L183:O183" si="97">L181+L177</f>
        <v>486.74559940701567</v>
      </c>
      <c r="M183" s="29">
        <f t="shared" ca="1" si="97"/>
        <v>489.21774146477742</v>
      </c>
      <c r="N183" s="29">
        <f t="shared" ca="1" si="97"/>
        <v>492.71669772540849</v>
      </c>
      <c r="O183" s="29">
        <f t="shared" ca="1" si="97"/>
        <v>488.87474321470688</v>
      </c>
    </row>
    <row r="184" spans="2:15" ht="13.5" thickTop="1">
      <c r="B184" s="27"/>
      <c r="F184" s="21"/>
      <c r="G184" s="28"/>
      <c r="H184" s="352"/>
      <c r="I184" s="352"/>
      <c r="J184" s="352"/>
      <c r="K184" s="352"/>
      <c r="L184" s="352"/>
      <c r="M184" s="352"/>
      <c r="N184" s="352"/>
      <c r="O184" s="352"/>
    </row>
    <row r="185" spans="2:15" s="517" customFormat="1">
      <c r="B185" s="518"/>
      <c r="C185" s="517" t="s">
        <v>208</v>
      </c>
      <c r="F185" s="519"/>
      <c r="G185" s="520"/>
      <c r="H185" s="521">
        <f>ROUND(H164-H183,3)</f>
        <v>0</v>
      </c>
      <c r="I185" s="521">
        <f t="shared" ref="I185:O185" si="98">ROUND(I164-I183,3)</f>
        <v>0</v>
      </c>
      <c r="J185" s="521">
        <f t="shared" si="98"/>
        <v>0</v>
      </c>
      <c r="K185" s="521">
        <f t="shared" si="98"/>
        <v>0</v>
      </c>
      <c r="L185" s="521">
        <f t="shared" si="98"/>
        <v>0</v>
      </c>
      <c r="M185" s="521">
        <f t="shared" ca="1" si="98"/>
        <v>0</v>
      </c>
      <c r="N185" s="521">
        <f t="shared" ca="1" si="98"/>
        <v>0</v>
      </c>
      <c r="O185" s="521">
        <f t="shared" ca="1" si="98"/>
        <v>0</v>
      </c>
    </row>
    <row r="186" spans="2:15">
      <c r="B186" s="87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2:15">
      <c r="O187" s="429" t="str">
        <f>$O$2</f>
        <v>CURRENTLY RUNNING: BASE CASE SCENARIO</v>
      </c>
    </row>
    <row r="188" spans="2:15" ht="26.25">
      <c r="B188" s="404" t="str">
        <f>B$2</f>
        <v>Blu Containers Company</v>
      </c>
      <c r="C188" s="405"/>
      <c r="D188" s="405"/>
      <c r="E188" s="406"/>
      <c r="F188" s="406"/>
      <c r="G188" s="407"/>
      <c r="H188" s="407"/>
      <c r="I188" s="407"/>
      <c r="J188" s="407"/>
      <c r="K188" s="407"/>
      <c r="L188" s="407"/>
      <c r="M188" s="407"/>
      <c r="N188" s="407"/>
      <c r="O188" s="407"/>
    </row>
    <row r="189" spans="2:15" ht="18">
      <c r="B189" s="12" t="s">
        <v>201</v>
      </c>
      <c r="C189" s="12"/>
      <c r="D189" s="12"/>
      <c r="E189" s="408"/>
      <c r="F189" s="408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2:15" ht="19.5" thickBot="1">
      <c r="B190" s="89"/>
      <c r="C190" s="90"/>
      <c r="D190" s="90"/>
      <c r="E190" s="90"/>
      <c r="F190" s="91"/>
      <c r="G190" s="90"/>
      <c r="H190" s="90"/>
      <c r="I190" s="90"/>
      <c r="J190" s="90"/>
      <c r="K190" s="90"/>
      <c r="L190" s="90"/>
      <c r="M190" s="90"/>
      <c r="N190" s="90"/>
      <c r="O190" s="90"/>
    </row>
    <row r="191" spans="2:15">
      <c r="B191" s="33" t="s">
        <v>56</v>
      </c>
      <c r="C191" s="52"/>
      <c r="E191" s="15"/>
      <c r="G191" s="52"/>
    </row>
    <row r="192" spans="2:15">
      <c r="E192" s="15"/>
      <c r="K192" s="409" t="s">
        <v>126</v>
      </c>
      <c r="L192" s="306"/>
      <c r="M192" s="306"/>
      <c r="N192" s="306"/>
      <c r="O192" s="306"/>
    </row>
    <row r="193" spans="2:16">
      <c r="C193" s="20"/>
      <c r="D193" s="20"/>
      <c r="E193" s="349"/>
      <c r="F193" s="410"/>
      <c r="G193" s="411"/>
      <c r="H193" s="88">
        <f t="shared" ref="H193:J193" si="99">H$7</f>
        <v>2020</v>
      </c>
      <c r="I193" s="88">
        <f t="shared" si="99"/>
        <v>2021</v>
      </c>
      <c r="J193" s="88">
        <f t="shared" si="99"/>
        <v>2022</v>
      </c>
      <c r="K193" s="412">
        <f>K$7</f>
        <v>2023</v>
      </c>
      <c r="L193" s="412">
        <f>L$7</f>
        <v>2024</v>
      </c>
      <c r="M193" s="412">
        <f>M$7</f>
        <v>2025</v>
      </c>
      <c r="N193" s="412">
        <f>N$7</f>
        <v>2026</v>
      </c>
      <c r="O193" s="412">
        <f>O$7</f>
        <v>2027</v>
      </c>
    </row>
    <row r="195" spans="2:16" ht="15">
      <c r="B195" s="413" t="s">
        <v>160</v>
      </c>
      <c r="C195" s="3"/>
      <c r="D195" s="3"/>
      <c r="E195" s="3"/>
      <c r="F195" s="469">
        <f>Assumptions!H39</f>
        <v>25</v>
      </c>
      <c r="K195" s="414"/>
      <c r="L195" s="415"/>
      <c r="M195" s="415"/>
      <c r="N195" s="415"/>
      <c r="P195" s="416"/>
    </row>
    <row r="196" spans="2:16" ht="15">
      <c r="B196" s="417" t="s">
        <v>161</v>
      </c>
      <c r="C196" s="6"/>
      <c r="D196" s="418"/>
      <c r="E196" s="419"/>
      <c r="F196" s="470">
        <f>Assumptions!H40</f>
        <v>30</v>
      </c>
      <c r="K196" s="414"/>
      <c r="L196" s="415"/>
      <c r="M196" s="415"/>
      <c r="N196" s="415"/>
      <c r="P196" s="416"/>
    </row>
    <row r="197" spans="2:16" ht="15">
      <c r="B197" s="478"/>
      <c r="D197" s="479"/>
      <c r="E197" s="480"/>
      <c r="F197" s="481"/>
      <c r="K197" s="414"/>
      <c r="L197" s="415"/>
      <c r="M197" s="415"/>
      <c r="N197" s="415"/>
      <c r="P197" s="416"/>
    </row>
    <row r="198" spans="2:16" ht="15">
      <c r="B198" s="478"/>
      <c r="D198" s="479" t="s">
        <v>203</v>
      </c>
      <c r="E198" s="480"/>
      <c r="F198" s="481"/>
      <c r="K198" s="482">
        <f>J212</f>
        <v>397.7</v>
      </c>
      <c r="L198" s="482">
        <f t="shared" ref="L198:O198" si="100">K212</f>
        <v>397.79199999999997</v>
      </c>
      <c r="M198" s="482">
        <f t="shared" si="100"/>
        <v>398.88399999999996</v>
      </c>
      <c r="N198" s="482">
        <f t="shared" si="100"/>
        <v>400.27599999999995</v>
      </c>
      <c r="O198" s="482">
        <f t="shared" si="100"/>
        <v>401.86799999999994</v>
      </c>
      <c r="P198" s="416"/>
    </row>
    <row r="199" spans="2:16" ht="15">
      <c r="B199" s="478"/>
      <c r="D199" t="s">
        <v>204</v>
      </c>
      <c r="K199" s="46">
        <f>-K126</f>
        <v>16</v>
      </c>
      <c r="L199" s="46">
        <f>-L126</f>
        <v>17</v>
      </c>
      <c r="M199" s="46">
        <f>-M126</f>
        <v>17.3</v>
      </c>
      <c r="N199" s="46">
        <f>-N126</f>
        <v>17.5</v>
      </c>
      <c r="O199" s="46">
        <f>-O126</f>
        <v>18</v>
      </c>
      <c r="P199" s="416"/>
    </row>
    <row r="200" spans="2:16">
      <c r="F200"/>
      <c r="K200" s="420"/>
    </row>
    <row r="201" spans="2:16">
      <c r="D201" t="s">
        <v>162</v>
      </c>
      <c r="F201"/>
      <c r="H201" s="150"/>
      <c r="I201" s="150"/>
      <c r="J201" s="150"/>
      <c r="K201" s="471">
        <f>J160/F195</f>
        <v>15.907999999999999</v>
      </c>
      <c r="L201" s="421">
        <f>K201</f>
        <v>15.907999999999999</v>
      </c>
      <c r="M201" s="421">
        <f>L201</f>
        <v>15.907999999999999</v>
      </c>
      <c r="N201" s="421">
        <f>M201</f>
        <v>15.907999999999999</v>
      </c>
      <c r="O201" s="421">
        <f>N201</f>
        <v>15.907999999999999</v>
      </c>
    </row>
    <row r="202" spans="2:16">
      <c r="F202"/>
    </row>
    <row r="203" spans="2:16">
      <c r="D203" s="422" t="s">
        <v>31</v>
      </c>
      <c r="F203"/>
    </row>
    <row r="204" spans="2:16">
      <c r="D204" s="423">
        <f>K193</f>
        <v>2023</v>
      </c>
      <c r="E204" s="471">
        <f>-HLOOKUP(D204,$K$116:$O$126,MATCH($D$203,$C$116:$C$126,0),FALSE)</f>
        <v>16</v>
      </c>
      <c r="F204" s="421"/>
      <c r="H204" s="415"/>
      <c r="I204" s="415"/>
      <c r="J204" s="415"/>
      <c r="K204" s="472">
        <f>IF(K$193=$D204,$E204/$F$196/2,MIN($E204/$F$196,$E204-SUM($J204:J204)))</f>
        <v>0.26666666666666666</v>
      </c>
      <c r="L204" s="472">
        <f>IF(L$193=$D204,$E204/$F$196/2,MIN($E204/$F$196,$E204-SUM($J204:K204)))</f>
        <v>0.53333333333333333</v>
      </c>
      <c r="M204" s="472">
        <f>IF(M$193=$D204,$E204/$F$196/2,MIN($E204/$F$196,$E204-SUM($J204:L204)))</f>
        <v>0.53333333333333333</v>
      </c>
      <c r="N204" s="472">
        <f>IF(N$193=$D204,$E204/$F$196/2,MIN($E204/$F$196,$E204-SUM($J204:M204)))</f>
        <v>0.53333333333333333</v>
      </c>
      <c r="O204" s="472">
        <f>IF(O$193=$D204,$E204/$F$196/2,MIN($E204/$F$196,$E204-SUM($J204:N204)))</f>
        <v>0.53333333333333333</v>
      </c>
    </row>
    <row r="205" spans="2:16">
      <c r="D205" s="423">
        <f>D204+1</f>
        <v>2024</v>
      </c>
      <c r="E205" s="471">
        <f>-HLOOKUP(D205,$K$116:$O$126,MATCH($D$203,$C$116:$C$126,0),FALSE)</f>
        <v>17</v>
      </c>
      <c r="F205" s="421"/>
      <c r="H205" s="415"/>
      <c r="I205" s="415"/>
      <c r="J205" s="415"/>
      <c r="K205" s="472"/>
      <c r="L205" s="472">
        <f>IF(L$193=$D205,$E205/$F$196/2,MIN($E205/$F$196,$E205-SUM($J205:K205)))</f>
        <v>0.28333333333333333</v>
      </c>
      <c r="M205" s="472">
        <f>IF(M$193=$D205,$E205/$F$196/2,MIN($E205/$F$196,$E205-SUM($J205:L205)))</f>
        <v>0.56666666666666665</v>
      </c>
      <c r="N205" s="472">
        <f>IF(N$193=$D205,$E205/$F$196/2,MIN($E205/$F$196,$E205-SUM($J205:M205)))</f>
        <v>0.56666666666666665</v>
      </c>
      <c r="O205" s="472">
        <f>IF(O$193=$D205,$E205/$F$196/2,MIN($E205/$F$196,$E205-SUM($J205:N205)))</f>
        <v>0.56666666666666665</v>
      </c>
    </row>
    <row r="206" spans="2:16">
      <c r="D206" s="423">
        <f>D205+1</f>
        <v>2025</v>
      </c>
      <c r="E206" s="471">
        <f>-HLOOKUP(D206,$K$116:$O$126,MATCH($D$203,$C$116:$C$126,0),FALSE)</f>
        <v>17.3</v>
      </c>
      <c r="F206" s="421"/>
      <c r="H206" s="425"/>
      <c r="I206" s="425"/>
      <c r="J206" s="425"/>
      <c r="K206" s="472"/>
      <c r="L206" s="472"/>
      <c r="M206" s="472">
        <f>IF(M$193=$D206,$E206/$F$196/2,MIN($E206/$F$196,$E206-SUM($J206:L206)))</f>
        <v>0.28833333333333333</v>
      </c>
      <c r="N206" s="472">
        <f>IF(N$193=$D206,$E206/$F$196/2,MIN($E206/$F$196,$E206-SUM($J206:M206)))</f>
        <v>0.57666666666666666</v>
      </c>
      <c r="O206" s="472">
        <f>IF(O$193=$D206,$E206/$F$196/2,MIN($E206/$F$196,$E206-SUM($J206:N206)))</f>
        <v>0.57666666666666666</v>
      </c>
    </row>
    <row r="207" spans="2:16">
      <c r="D207" s="423">
        <f>D206+1</f>
        <v>2026</v>
      </c>
      <c r="E207" s="471">
        <f>-HLOOKUP(D207,$K$116:$O$126,MATCH($D$203,$C$116:$C$126,0),FALSE)</f>
        <v>17.5</v>
      </c>
      <c r="F207" s="421"/>
      <c r="H207" s="425"/>
      <c r="I207" s="425"/>
      <c r="J207" s="425"/>
      <c r="K207" s="473"/>
      <c r="L207" s="472"/>
      <c r="M207" s="472"/>
      <c r="N207" s="472">
        <f>IF(N$193=$D207,$E207/$F$196/2,MIN($E207/$F$196,$E207-SUM($J207:M207)))</f>
        <v>0.29166666666666669</v>
      </c>
      <c r="O207" s="472">
        <f>IF(O$193=$D207,$E207/$F$196/2,MIN($E207/$F$196,$E207-SUM($J207:N207)))</f>
        <v>0.58333333333333337</v>
      </c>
    </row>
    <row r="208" spans="2:16">
      <c r="D208" s="423">
        <f>D207+1</f>
        <v>2027</v>
      </c>
      <c r="E208" s="471">
        <f>-HLOOKUP(D208,$K$116:$O$126,MATCH($D$203,$C$116:$C$126,0),FALSE)</f>
        <v>18</v>
      </c>
      <c r="F208" s="421"/>
      <c r="H208" s="425"/>
      <c r="I208" s="425"/>
      <c r="J208" s="425"/>
      <c r="K208" s="473"/>
      <c r="L208" s="473"/>
      <c r="M208" s="472"/>
      <c r="N208" s="472"/>
      <c r="O208" s="472">
        <f>IF(O$193=$D208,$E208/$F$196/2,MIN($E208/$F$196,$E208-SUM($J208:N208)))</f>
        <v>0.3</v>
      </c>
    </row>
    <row r="209" spans="2:15">
      <c r="K209" s="367"/>
      <c r="L209" s="367"/>
      <c r="M209" s="367"/>
      <c r="N209" s="367"/>
      <c r="O209" s="367"/>
    </row>
    <row r="210" spans="2:15" ht="13.5" thickBot="1">
      <c r="D210" s="426" t="s">
        <v>163</v>
      </c>
      <c r="H210" s="427"/>
      <c r="I210" s="427"/>
      <c r="J210" s="427"/>
      <c r="K210" s="474">
        <f>SUM(K201:K208)</f>
        <v>16.174666666666667</v>
      </c>
      <c r="L210" s="474">
        <f t="shared" ref="L210:O210" si="101">SUM(L201:L208)</f>
        <v>16.724666666666668</v>
      </c>
      <c r="M210" s="474">
        <f t="shared" si="101"/>
        <v>17.296333333333333</v>
      </c>
      <c r="N210" s="474">
        <f t="shared" si="101"/>
        <v>17.876333333333335</v>
      </c>
      <c r="O210" s="474">
        <f t="shared" si="101"/>
        <v>18.468</v>
      </c>
    </row>
    <row r="211" spans="2:15" ht="13.5" thickTop="1">
      <c r="D211" s="426"/>
      <c r="H211" s="476"/>
      <c r="I211" s="476"/>
      <c r="J211" s="476"/>
      <c r="K211" s="477"/>
      <c r="L211" s="477"/>
      <c r="M211" s="477"/>
      <c r="N211" s="477"/>
      <c r="O211" s="477"/>
    </row>
    <row r="212" spans="2:15">
      <c r="D212" s="426" t="s">
        <v>202</v>
      </c>
      <c r="H212" s="476"/>
      <c r="I212" s="476"/>
      <c r="J212" s="476">
        <f>J160</f>
        <v>397.7</v>
      </c>
      <c r="K212" s="477">
        <f>K198+K199-K201</f>
        <v>397.79199999999997</v>
      </c>
      <c r="L212" s="477">
        <f t="shared" ref="L212:O212" si="102">L198+L199-L201</f>
        <v>398.88399999999996</v>
      </c>
      <c r="M212" s="477">
        <f t="shared" si="102"/>
        <v>400.27599999999995</v>
      </c>
      <c r="N212" s="477">
        <f t="shared" si="102"/>
        <v>401.86799999999994</v>
      </c>
      <c r="O212" s="477">
        <f t="shared" si="102"/>
        <v>403.95999999999992</v>
      </c>
    </row>
    <row r="213" spans="2:15">
      <c r="D213" s="426"/>
      <c r="H213" s="476"/>
      <c r="I213" s="476"/>
      <c r="J213" s="476"/>
      <c r="K213" s="477"/>
      <c r="L213" s="477"/>
      <c r="M213" s="477"/>
      <c r="N213" s="477"/>
      <c r="O213" s="477"/>
    </row>
    <row r="214" spans="2:15">
      <c r="B214" s="6"/>
      <c r="C214" s="6"/>
      <c r="D214" s="6"/>
      <c r="E214" s="6"/>
      <c r="F214" s="335"/>
      <c r="G214" s="6"/>
      <c r="H214" s="428"/>
      <c r="I214" s="428"/>
      <c r="J214" s="428"/>
      <c r="K214" s="428"/>
      <c r="L214" s="428"/>
      <c r="M214" s="428"/>
      <c r="N214" s="428"/>
      <c r="O214" s="6"/>
    </row>
    <row r="215" spans="2:15">
      <c r="F215"/>
    </row>
    <row r="216" spans="2:15" ht="23.25">
      <c r="B216" s="1"/>
      <c r="C216" s="2"/>
      <c r="D216" s="2"/>
      <c r="E216" s="2"/>
      <c r="F216" s="9"/>
      <c r="G216" s="2"/>
      <c r="H216" s="2"/>
      <c r="I216" s="2"/>
      <c r="J216" s="2"/>
      <c r="K216" s="2"/>
      <c r="L216" s="2"/>
      <c r="M216" s="2"/>
      <c r="N216" s="2"/>
      <c r="O216" s="429" t="str">
        <f>$O$2</f>
        <v>CURRENTLY RUNNING: BASE CASE SCENARIO</v>
      </c>
    </row>
    <row r="217" spans="2:15" ht="23.25">
      <c r="B217" s="1" t="str">
        <f>B$2</f>
        <v>Blu Containers Company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2:15" ht="18">
      <c r="B218" s="12" t="s">
        <v>164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2:15" ht="12" customHeight="1" thickBot="1">
      <c r="B219" s="89"/>
      <c r="C219" s="90"/>
      <c r="D219" s="90"/>
      <c r="E219" s="90"/>
      <c r="F219" s="91"/>
      <c r="G219" s="90"/>
      <c r="H219" s="90"/>
      <c r="I219" s="90"/>
      <c r="J219" s="90"/>
      <c r="K219" s="90"/>
      <c r="L219" s="90"/>
      <c r="M219" s="90"/>
      <c r="N219" s="90"/>
      <c r="O219" s="90"/>
    </row>
    <row r="220" spans="2:15">
      <c r="B220" s="33" t="s">
        <v>56</v>
      </c>
      <c r="F220"/>
    </row>
    <row r="221" spans="2:15">
      <c r="F221"/>
      <c r="H221" s="430"/>
      <c r="I221" s="430"/>
      <c r="J221" s="430"/>
      <c r="K221" s="409" t="s">
        <v>126</v>
      </c>
      <c r="L221" s="305"/>
      <c r="M221" s="305"/>
      <c r="N221" s="305"/>
      <c r="O221" s="305"/>
    </row>
    <row r="222" spans="2:15">
      <c r="B222" s="431"/>
      <c r="C222" s="432" t="s">
        <v>165</v>
      </c>
      <c r="D222" s="433"/>
      <c r="E222" s="483">
        <f>Assumptions!$N$39</f>
        <v>0.35</v>
      </c>
      <c r="F222"/>
      <c r="H222" s="411"/>
      <c r="I222" s="411"/>
      <c r="J222" s="411"/>
      <c r="K222" s="434">
        <f>K$7</f>
        <v>2023</v>
      </c>
      <c r="L222" s="434">
        <f>L$7</f>
        <v>2024</v>
      </c>
      <c r="M222" s="434">
        <f>M$7</f>
        <v>2025</v>
      </c>
      <c r="N222" s="434">
        <f>N$7</f>
        <v>2026</v>
      </c>
      <c r="O222" s="434">
        <f>O$7</f>
        <v>2027</v>
      </c>
    </row>
    <row r="223" spans="2:15">
      <c r="B223" s="431"/>
      <c r="C223" s="20"/>
      <c r="E223" s="435"/>
      <c r="F223"/>
      <c r="H223" s="411"/>
      <c r="I223" s="411"/>
      <c r="J223" s="411"/>
      <c r="K223" s="434"/>
      <c r="L223" s="434"/>
      <c r="M223" s="434"/>
      <c r="N223" s="434"/>
      <c r="O223" s="434"/>
    </row>
    <row r="224" spans="2:15">
      <c r="F224"/>
    </row>
    <row r="225" spans="2:16">
      <c r="D225" s="27" t="s">
        <v>166</v>
      </c>
      <c r="F225"/>
      <c r="H225" s="436" t="s">
        <v>167</v>
      </c>
      <c r="I225" s="415"/>
      <c r="J225" s="415"/>
      <c r="K225" s="486">
        <f>K96</f>
        <v>45.703575268817175</v>
      </c>
      <c r="L225" s="486">
        <f>L96</f>
        <v>19.821305101782293</v>
      </c>
      <c r="M225" s="486">
        <f ca="1">M96</f>
        <v>59.696033995608985</v>
      </c>
      <c r="N225" s="486">
        <f ca="1">N96</f>
        <v>51.259913510222191</v>
      </c>
      <c r="O225" s="486">
        <f ca="1">O96</f>
        <v>29.888278098874157</v>
      </c>
    </row>
    <row r="226" spans="2:16">
      <c r="E226" s="203"/>
      <c r="F226" s="203"/>
      <c r="H226" s="437"/>
      <c r="I226" s="437"/>
      <c r="J226" s="437"/>
      <c r="K226" s="437"/>
      <c r="L226" s="437"/>
      <c r="M226" s="437"/>
      <c r="N226" s="437"/>
      <c r="O226" s="437"/>
    </row>
    <row r="227" spans="2:16" ht="14.25">
      <c r="D227" t="s">
        <v>168</v>
      </c>
      <c r="F227"/>
      <c r="K227" s="485">
        <f>Assumptions!J61</f>
        <v>5</v>
      </c>
      <c r="L227" s="485">
        <f>Assumptions!K61</f>
        <v>5</v>
      </c>
      <c r="M227" s="485">
        <f>Assumptions!L61</f>
        <v>5</v>
      </c>
      <c r="N227" s="485">
        <f>Assumptions!M61</f>
        <v>5</v>
      </c>
      <c r="O227" s="485">
        <f>Assumptions!N61</f>
        <v>5</v>
      </c>
    </row>
    <row r="228" spans="2:16">
      <c r="D228" s="27" t="s">
        <v>205</v>
      </c>
      <c r="F228" s="203"/>
      <c r="H228" s="436" t="s">
        <v>169</v>
      </c>
      <c r="I228" s="438"/>
      <c r="J228" s="438"/>
      <c r="K228" s="486">
        <f>K225-K227</f>
        <v>40.703575268817175</v>
      </c>
      <c r="L228" s="486">
        <f t="shared" ref="L228:O228" si="103">L225-L227</f>
        <v>14.821305101782293</v>
      </c>
      <c r="M228" s="486">
        <f t="shared" ca="1" si="103"/>
        <v>54.696033995608985</v>
      </c>
      <c r="N228" s="486">
        <f t="shared" ca="1" si="103"/>
        <v>46.259913510222191</v>
      </c>
      <c r="O228" s="486">
        <f t="shared" ca="1" si="103"/>
        <v>24.888278098874157</v>
      </c>
    </row>
    <row r="229" spans="2:16">
      <c r="E229" s="20"/>
      <c r="F229"/>
      <c r="H229" s="415"/>
      <c r="I229" s="415"/>
      <c r="J229" s="415"/>
      <c r="K229" s="424"/>
      <c r="L229" s="424"/>
      <c r="M229" s="424"/>
      <c r="N229" s="424"/>
      <c r="O229" s="424"/>
      <c r="P229" s="46"/>
    </row>
    <row r="230" spans="2:16">
      <c r="D230" s="18" t="s">
        <v>206</v>
      </c>
      <c r="E230" s="203"/>
      <c r="F230" s="437"/>
      <c r="G230" s="437"/>
      <c r="H230" s="415"/>
      <c r="I230" s="415"/>
      <c r="J230" s="415"/>
      <c r="K230" s="472">
        <f>$E$222*K225</f>
        <v>15.99625134408601</v>
      </c>
      <c r="L230" s="472">
        <f t="shared" ref="L230:O230" si="104">$E$222*L225</f>
        <v>6.9374567856238025</v>
      </c>
      <c r="M230" s="472">
        <f t="shared" ca="1" si="104"/>
        <v>20.893611898463142</v>
      </c>
      <c r="N230" s="472">
        <f t="shared" ca="1" si="104"/>
        <v>17.940969728577766</v>
      </c>
      <c r="O230" s="472">
        <f t="shared" ca="1" si="104"/>
        <v>10.460897334605955</v>
      </c>
    </row>
    <row r="231" spans="2:16">
      <c r="F231" s="439"/>
      <c r="H231" s="415"/>
      <c r="I231" s="415"/>
      <c r="J231" s="415"/>
      <c r="K231" s="415"/>
      <c r="L231" s="415"/>
      <c r="M231" s="415"/>
      <c r="N231" s="415"/>
      <c r="O231" s="415"/>
    </row>
    <row r="232" spans="2:16">
      <c r="D232" s="440" t="s">
        <v>170</v>
      </c>
      <c r="E232" s="441"/>
      <c r="F232" s="442"/>
      <c r="G232" s="442"/>
      <c r="H232" s="442"/>
      <c r="I232" s="442"/>
      <c r="J232" s="442"/>
      <c r="K232" s="442"/>
      <c r="L232" s="442"/>
      <c r="M232" s="442"/>
      <c r="N232" s="442"/>
      <c r="O232" s="443"/>
    </row>
    <row r="233" spans="2:16">
      <c r="D233" s="444" t="s">
        <v>207</v>
      </c>
      <c r="E233" s="203"/>
      <c r="F233" s="437"/>
      <c r="G233" s="490"/>
      <c r="H233" s="415"/>
      <c r="I233" s="415"/>
      <c r="J233" s="415"/>
      <c r="K233" s="472">
        <f>$E$222*K228</f>
        <v>14.24625134408601</v>
      </c>
      <c r="L233" s="472">
        <f t="shared" ref="L233:O233" si="105">$E$222*L228</f>
        <v>5.1874567856238025</v>
      </c>
      <c r="M233" s="472">
        <f t="shared" ca="1" si="105"/>
        <v>19.143611898463142</v>
      </c>
      <c r="N233" s="472">
        <f t="shared" ca="1" si="105"/>
        <v>16.190969728577766</v>
      </c>
      <c r="O233" s="491">
        <f t="shared" ca="1" si="105"/>
        <v>8.7108973346059546</v>
      </c>
    </row>
    <row r="234" spans="2:16">
      <c r="D234" s="4" t="s">
        <v>171</v>
      </c>
      <c r="E234" s="203"/>
      <c r="F234" s="437"/>
      <c r="G234" s="437"/>
      <c r="H234" s="415"/>
      <c r="I234" s="415"/>
      <c r="J234" s="415"/>
      <c r="K234" s="487">
        <f>K230-K233</f>
        <v>1.75</v>
      </c>
      <c r="L234" s="487">
        <f t="shared" ref="L234:O234" si="106">L230-L233</f>
        <v>1.75</v>
      </c>
      <c r="M234" s="487">
        <f t="shared" ca="1" si="106"/>
        <v>1.75</v>
      </c>
      <c r="N234" s="487">
        <f t="shared" ca="1" si="106"/>
        <v>1.75</v>
      </c>
      <c r="O234" s="492">
        <f t="shared" ca="1" si="106"/>
        <v>1.75</v>
      </c>
    </row>
    <row r="235" spans="2:16">
      <c r="D235" s="445" t="s">
        <v>172</v>
      </c>
      <c r="E235" s="446"/>
      <c r="F235" s="447"/>
      <c r="G235" s="447"/>
      <c r="H235" s="448"/>
      <c r="I235" s="448"/>
      <c r="J235" s="448"/>
      <c r="K235" s="488">
        <f>SUM(K233:K234)</f>
        <v>15.99625134408601</v>
      </c>
      <c r="L235" s="488">
        <f t="shared" ref="L235:O235" si="107">SUM(L233:L234)</f>
        <v>6.9374567856238025</v>
      </c>
      <c r="M235" s="488">
        <f t="shared" ca="1" si="107"/>
        <v>20.893611898463142</v>
      </c>
      <c r="N235" s="488">
        <f t="shared" ca="1" si="107"/>
        <v>17.940969728577766</v>
      </c>
      <c r="O235" s="489">
        <f t="shared" ca="1" si="107"/>
        <v>10.460897334605955</v>
      </c>
    </row>
    <row r="236" spans="2:16">
      <c r="E236" s="203"/>
      <c r="F236" s="437"/>
      <c r="G236" s="437"/>
      <c r="H236" s="437"/>
      <c r="I236" s="437"/>
      <c r="J236" s="437"/>
      <c r="K236" s="437"/>
      <c r="L236" s="437"/>
      <c r="M236" s="437"/>
      <c r="N236" s="437"/>
      <c r="O236" s="437"/>
    </row>
    <row r="237" spans="2:16">
      <c r="C237" s="449" t="s">
        <v>173</v>
      </c>
      <c r="E237" s="203"/>
      <c r="F237" s="437"/>
      <c r="G237" s="437"/>
      <c r="H237" s="437"/>
      <c r="I237" s="437"/>
      <c r="J237" s="437"/>
      <c r="K237" s="437"/>
      <c r="L237" s="437"/>
      <c r="M237" s="437"/>
      <c r="N237" s="437"/>
      <c r="O237" s="437"/>
    </row>
    <row r="238" spans="2:16">
      <c r="B238" s="6"/>
      <c r="C238" s="6"/>
      <c r="D238" s="6"/>
      <c r="E238" s="450"/>
      <c r="F238" s="450"/>
      <c r="G238" s="451"/>
      <c r="H238" s="451"/>
      <c r="I238" s="451"/>
      <c r="J238" s="451"/>
      <c r="K238" s="451"/>
      <c r="L238" s="451"/>
      <c r="M238" s="451"/>
      <c r="N238" s="451"/>
      <c r="O238" s="6"/>
    </row>
    <row r="240" spans="2:16" ht="23.25">
      <c r="B240" s="1"/>
      <c r="C240" s="2"/>
      <c r="D240" s="2"/>
      <c r="E240" s="2"/>
      <c r="F240" s="9"/>
      <c r="G240" s="2"/>
      <c r="H240" s="2"/>
      <c r="I240" s="2"/>
      <c r="J240" s="2"/>
      <c r="K240" s="2"/>
      <c r="L240" s="2"/>
      <c r="M240" s="2"/>
      <c r="N240" s="2"/>
      <c r="O240" s="429" t="str">
        <f>$O$2</f>
        <v>CURRENTLY RUNNING: BASE CASE SCENARIO</v>
      </c>
    </row>
    <row r="241" spans="2:15" ht="23.25">
      <c r="B241" s="1" t="str">
        <f>B$2</f>
        <v>Blu Containers Company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2:15" ht="18">
      <c r="B242" s="12" t="s">
        <v>174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2:15" ht="19.5" thickBot="1">
      <c r="B243" s="89"/>
      <c r="C243" s="90"/>
      <c r="D243" s="90"/>
      <c r="E243" s="90"/>
      <c r="F243" s="91"/>
      <c r="G243" s="90"/>
      <c r="H243" s="90"/>
      <c r="I243" s="90"/>
      <c r="J243" s="90"/>
      <c r="K243" s="90"/>
      <c r="L243" s="90"/>
      <c r="M243" s="90"/>
      <c r="N243" s="90"/>
      <c r="O243" s="90"/>
    </row>
    <row r="244" spans="2:15">
      <c r="B244" s="33" t="s">
        <v>56</v>
      </c>
      <c r="F244"/>
      <c r="O244" s="18"/>
    </row>
    <row r="245" spans="2:15">
      <c r="F245"/>
      <c r="H245" s="2"/>
      <c r="I245" s="2"/>
      <c r="J245" s="2"/>
      <c r="K245" s="409" t="s">
        <v>126</v>
      </c>
      <c r="L245" s="305"/>
      <c r="M245" s="305"/>
      <c r="N245" s="305"/>
      <c r="O245" s="305"/>
    </row>
    <row r="246" spans="2:15">
      <c r="F246"/>
      <c r="G246" s="54"/>
      <c r="H246" s="88">
        <f t="shared" ref="H246:J246" si="108">H$7</f>
        <v>2020</v>
      </c>
      <c r="I246" s="88">
        <f t="shared" si="108"/>
        <v>2021</v>
      </c>
      <c r="J246" s="88">
        <f t="shared" si="108"/>
        <v>2022</v>
      </c>
      <c r="K246" s="434">
        <f>K$7</f>
        <v>2023</v>
      </c>
      <c r="L246" s="434">
        <f>L$7</f>
        <v>2024</v>
      </c>
      <c r="M246" s="434">
        <f>M$7</f>
        <v>2025</v>
      </c>
      <c r="N246" s="434">
        <f>N$7</f>
        <v>2026</v>
      </c>
      <c r="O246" s="434">
        <f>O$7</f>
        <v>2027</v>
      </c>
    </row>
    <row r="247" spans="2:15">
      <c r="F247"/>
    </row>
    <row r="248" spans="2:15">
      <c r="B248" s="452" t="s">
        <v>175</v>
      </c>
      <c r="C248" s="453"/>
      <c r="D248" s="453"/>
      <c r="E248" s="453"/>
      <c r="F248" s="454" t="s">
        <v>176</v>
      </c>
      <c r="G248" s="453"/>
      <c r="H248" s="453"/>
      <c r="I248" s="497">
        <f>DATE(I246,12,31)-DATE(H246,12,31)</f>
        <v>365</v>
      </c>
      <c r="J248" s="497">
        <f>DATE(J246,12,31)-DATE(I246,12,31)</f>
        <v>365</v>
      </c>
      <c r="K248" s="497">
        <f>DATE(K246,12,31)-DATE(J246,12,31)</f>
        <v>365</v>
      </c>
      <c r="L248" s="497">
        <f>DATE(L246,12,31)-DATE(K246,12,31)</f>
        <v>366</v>
      </c>
      <c r="M248" s="497">
        <f t="shared" ref="M248:O248" si="109">DATE(M246,12,31)-DATE(L246,12,31)</f>
        <v>365</v>
      </c>
      <c r="N248" s="497">
        <f t="shared" si="109"/>
        <v>365</v>
      </c>
      <c r="O248" s="497">
        <f t="shared" si="109"/>
        <v>365</v>
      </c>
    </row>
    <row r="249" spans="2:15">
      <c r="F249" s="17"/>
    </row>
    <row r="250" spans="2:15">
      <c r="B250" s="20" t="s">
        <v>128</v>
      </c>
      <c r="F250" s="17"/>
    </row>
    <row r="251" spans="2:15">
      <c r="C251" t="s">
        <v>0</v>
      </c>
      <c r="F251" s="17" t="s">
        <v>151</v>
      </c>
      <c r="H251" s="46">
        <f>H83</f>
        <v>213.49999999999997</v>
      </c>
      <c r="I251" s="46">
        <f>I83</f>
        <v>236.60000000000002</v>
      </c>
      <c r="J251" s="46">
        <f>J83</f>
        <v>204.79999999999998</v>
      </c>
      <c r="K251" s="46">
        <f>K83</f>
        <v>252.46209677419353</v>
      </c>
      <c r="L251" s="46">
        <f>L83</f>
        <v>233.58111483870971</v>
      </c>
      <c r="M251" s="46">
        <f ca="1">M83</f>
        <v>281.23110855638714</v>
      </c>
      <c r="N251" s="46">
        <f ca="1">N83</f>
        <v>281.22955436627001</v>
      </c>
      <c r="O251" s="46">
        <f ca="1">O83</f>
        <v>268.17287049000004</v>
      </c>
    </row>
    <row r="252" spans="2:15">
      <c r="C252" t="s">
        <v>1</v>
      </c>
      <c r="F252" s="17" t="s">
        <v>151</v>
      </c>
      <c r="H252" s="46">
        <f>H85</f>
        <v>159.9</v>
      </c>
      <c r="I252" s="46">
        <f>I85</f>
        <v>164.6</v>
      </c>
      <c r="J252" s="46">
        <f>J85</f>
        <v>167.9</v>
      </c>
      <c r="K252" s="46">
        <f>K85</f>
        <v>174.68685483870968</v>
      </c>
      <c r="L252" s="46">
        <f>L85</f>
        <v>182.49261561290325</v>
      </c>
      <c r="M252" s="46">
        <f ca="1">M85</f>
        <v>190.71666264216776</v>
      </c>
      <c r="N252" s="46">
        <f ca="1">N85</f>
        <v>200.36067077655082</v>
      </c>
      <c r="O252" s="46">
        <f ca="1">O85</f>
        <v>209.56780061099997</v>
      </c>
    </row>
    <row r="253" spans="2:15">
      <c r="F253" s="17"/>
    </row>
    <row r="254" spans="2:15">
      <c r="B254" s="455" t="s">
        <v>177</v>
      </c>
      <c r="C254" s="456"/>
      <c r="F254" s="17"/>
    </row>
    <row r="255" spans="2:15">
      <c r="B255" s="457"/>
      <c r="C255" s="456" t="s">
        <v>11</v>
      </c>
      <c r="F255" s="17" t="s">
        <v>176</v>
      </c>
      <c r="G255" s="458"/>
      <c r="H255" s="459"/>
      <c r="I255" s="368">
        <f>I263/I251*I248</f>
        <v>42.886728655959423</v>
      </c>
      <c r="J255" s="368">
        <f>J263/J251*J248</f>
        <v>50.437011718750007</v>
      </c>
      <c r="K255" s="495">
        <f>Assumptions!J64</f>
        <v>48</v>
      </c>
      <c r="L255" s="495">
        <f>Assumptions!K64</f>
        <v>44</v>
      </c>
      <c r="M255" s="495">
        <f>Assumptions!L64</f>
        <v>40</v>
      </c>
      <c r="N255" s="495">
        <f>Assumptions!M64</f>
        <v>40</v>
      </c>
      <c r="O255" s="495">
        <f>Assumptions!N64</f>
        <v>40</v>
      </c>
    </row>
    <row r="256" spans="2:15">
      <c r="B256" s="457"/>
      <c r="C256" s="460" t="s">
        <v>112</v>
      </c>
      <c r="F256" s="17" t="s">
        <v>176</v>
      </c>
      <c r="G256" s="458"/>
      <c r="H256" s="459"/>
      <c r="I256" s="368">
        <f>I264/I252*I248</f>
        <v>80.051640340218725</v>
      </c>
      <c r="J256" s="368">
        <f>J264/J252*J248</f>
        <v>76.304347826086953</v>
      </c>
      <c r="K256" s="495">
        <f>Assumptions!J65</f>
        <v>70</v>
      </c>
      <c r="L256" s="495">
        <f>Assumptions!K65</f>
        <v>65</v>
      </c>
      <c r="M256" s="495">
        <f>Assumptions!L65</f>
        <v>60</v>
      </c>
      <c r="N256" s="495">
        <f>Assumptions!M65</f>
        <v>60</v>
      </c>
      <c r="O256" s="495">
        <f>Assumptions!N65</f>
        <v>55</v>
      </c>
    </row>
    <row r="257" spans="2:15">
      <c r="B257" s="457"/>
      <c r="C257" s="460" t="s">
        <v>55</v>
      </c>
      <c r="F257" s="17" t="s">
        <v>176</v>
      </c>
      <c r="G257" s="461"/>
      <c r="H257" s="462"/>
      <c r="I257" s="368">
        <f>I265/I252*I248</f>
        <v>31.93195625759417</v>
      </c>
      <c r="J257" s="368">
        <f>J265/J252*J248</f>
        <v>32.391304347826086</v>
      </c>
      <c r="K257" s="495">
        <f>Assumptions!J66</f>
        <v>30</v>
      </c>
      <c r="L257" s="495">
        <f>Assumptions!K66</f>
        <v>30</v>
      </c>
      <c r="M257" s="495">
        <f>Assumptions!L66</f>
        <v>30</v>
      </c>
      <c r="N257" s="495">
        <f>Assumptions!M66</f>
        <v>30</v>
      </c>
      <c r="O257" s="495">
        <f>Assumptions!N66</f>
        <v>30</v>
      </c>
    </row>
    <row r="258" spans="2:15">
      <c r="B258" s="457"/>
      <c r="C258" s="460" t="s">
        <v>113</v>
      </c>
      <c r="F258" s="17" t="s">
        <v>176</v>
      </c>
      <c r="G258" s="461"/>
      <c r="H258" s="462"/>
      <c r="I258" s="368">
        <f>I266/I252*I248</f>
        <v>3.9914945321992712</v>
      </c>
      <c r="J258" s="368">
        <f>J266/J252*J248</f>
        <v>2.6086956521739131</v>
      </c>
      <c r="K258" s="495">
        <f>Assumptions!J67</f>
        <v>3</v>
      </c>
      <c r="L258" s="495">
        <f>Assumptions!K67</f>
        <v>3</v>
      </c>
      <c r="M258" s="495">
        <f>Assumptions!L67</f>
        <v>3</v>
      </c>
      <c r="N258" s="495">
        <f>Assumptions!M67</f>
        <v>3</v>
      </c>
      <c r="O258" s="495">
        <f>Assumptions!N67</f>
        <v>3</v>
      </c>
    </row>
    <row r="259" spans="2:15">
      <c r="B259" s="457"/>
      <c r="C259" s="456" t="s">
        <v>17</v>
      </c>
      <c r="F259" s="17" t="s">
        <v>176</v>
      </c>
      <c r="G259" s="461"/>
      <c r="H259" s="462"/>
      <c r="I259" s="368">
        <f>I267/I252*I248</f>
        <v>41.467193195625768</v>
      </c>
      <c r="J259" s="368">
        <f>J267/J252*J248</f>
        <v>39.565217391304344</v>
      </c>
      <c r="K259" s="495">
        <f>Assumptions!J68</f>
        <v>40</v>
      </c>
      <c r="L259" s="495">
        <f>Assumptions!K68</f>
        <v>40</v>
      </c>
      <c r="M259" s="495">
        <f>Assumptions!L68</f>
        <v>40</v>
      </c>
      <c r="N259" s="495">
        <f>Assumptions!M68</f>
        <v>40</v>
      </c>
      <c r="O259" s="495">
        <f>Assumptions!N68</f>
        <v>40</v>
      </c>
    </row>
    <row r="260" spans="2:15">
      <c r="B260" s="457"/>
      <c r="C260" s="456" t="s">
        <v>114</v>
      </c>
      <c r="F260" s="17" t="s">
        <v>176</v>
      </c>
      <c r="G260" s="461"/>
      <c r="H260" s="462"/>
      <c r="I260" s="368">
        <f>I268/I252*I248</f>
        <v>10.865735115431351</v>
      </c>
      <c r="J260" s="368">
        <f>J268/J252*J248</f>
        <v>10.434782608695652</v>
      </c>
      <c r="K260" s="495">
        <f>Assumptions!J69</f>
        <v>10</v>
      </c>
      <c r="L260" s="495">
        <f>Assumptions!K69</f>
        <v>10</v>
      </c>
      <c r="M260" s="495">
        <f>Assumptions!L69</f>
        <v>10</v>
      </c>
      <c r="N260" s="495">
        <f>Assumptions!M69</f>
        <v>10</v>
      </c>
      <c r="O260" s="495">
        <f>Assumptions!N69</f>
        <v>10</v>
      </c>
    </row>
    <row r="261" spans="2:15">
      <c r="B261" s="457"/>
      <c r="C261" s="456"/>
      <c r="F261" s="17"/>
      <c r="H261" s="423"/>
      <c r="I261" s="496"/>
      <c r="J261" s="496"/>
      <c r="K261" s="423"/>
      <c r="L261" s="423"/>
      <c r="M261" s="423"/>
      <c r="N261" s="423"/>
      <c r="O261" s="423"/>
    </row>
    <row r="262" spans="2:15">
      <c r="B262" s="455" t="s">
        <v>178</v>
      </c>
      <c r="C262" s="456"/>
      <c r="F262" s="17"/>
      <c r="H262" s="423"/>
      <c r="I262" s="423"/>
      <c r="J262" s="423"/>
      <c r="K262" s="423"/>
      <c r="L262" s="423"/>
      <c r="M262" s="423"/>
      <c r="N262" s="423"/>
      <c r="O262" s="423"/>
    </row>
    <row r="263" spans="2:15">
      <c r="B263" s="457"/>
      <c r="C263" s="456" t="s">
        <v>11</v>
      </c>
      <c r="F263" s="17" t="s">
        <v>151</v>
      </c>
      <c r="H263" s="46">
        <f>H154</f>
        <v>27</v>
      </c>
      <c r="I263" s="46">
        <f>I154</f>
        <v>27.8</v>
      </c>
      <c r="J263" s="46">
        <f>J154</f>
        <v>28.3</v>
      </c>
      <c r="K263" s="46">
        <f>K$251/K$248*K255</f>
        <v>33.200494918250108</v>
      </c>
      <c r="L263" s="46">
        <f t="shared" ref="L263:O263" si="110">L$251/L$248*L255</f>
        <v>28.080789762030673</v>
      </c>
      <c r="M263" s="46">
        <f t="shared" ca="1" si="110"/>
        <v>30.819847513028726</v>
      </c>
      <c r="N263" s="46">
        <f t="shared" ca="1" si="110"/>
        <v>30.819677190824109</v>
      </c>
      <c r="O263" s="46">
        <f t="shared" ca="1" si="110"/>
        <v>29.38880772493151</v>
      </c>
    </row>
    <row r="264" spans="2:15">
      <c r="B264" s="457"/>
      <c r="C264" s="460" t="s">
        <v>112</v>
      </c>
      <c r="F264" s="17" t="s">
        <v>151</v>
      </c>
      <c r="H264" s="46">
        <f>H155</f>
        <v>36.5</v>
      </c>
      <c r="I264" s="46">
        <f>I155</f>
        <v>36.1</v>
      </c>
      <c r="J264" s="46">
        <f>J155</f>
        <v>35.1</v>
      </c>
      <c r="K264" s="46">
        <f>K252/K248*K256</f>
        <v>33.501588599204595</v>
      </c>
      <c r="L264" s="46">
        <f t="shared" ref="L264:O264" si="111">L252/L248*L256</f>
        <v>32.409890750925442</v>
      </c>
      <c r="M264" s="46">
        <f t="shared" ca="1" si="111"/>
        <v>31.350684269945383</v>
      </c>
      <c r="N264" s="46">
        <f t="shared" ca="1" si="111"/>
        <v>32.936000675597391</v>
      </c>
      <c r="O264" s="46">
        <f t="shared" ca="1" si="111"/>
        <v>31.578709681109586</v>
      </c>
    </row>
    <row r="265" spans="2:15">
      <c r="B265" s="457"/>
      <c r="C265" s="460" t="s">
        <v>55</v>
      </c>
      <c r="F265" s="17" t="s">
        <v>151</v>
      </c>
      <c r="H265" s="46">
        <f>H156</f>
        <v>14.6</v>
      </c>
      <c r="I265" s="46">
        <f>I156</f>
        <v>14.4</v>
      </c>
      <c r="J265" s="46">
        <f>J156</f>
        <v>14.9</v>
      </c>
      <c r="K265" s="46">
        <f>K$252/K$248*K257</f>
        <v>14.357823685373399</v>
      </c>
      <c r="L265" s="46">
        <f t="shared" ref="L265:O265" si="112">L$252/L$248*L257</f>
        <v>14.958411115811742</v>
      </c>
      <c r="M265" s="46">
        <f t="shared" ca="1" si="112"/>
        <v>15.675342134972691</v>
      </c>
      <c r="N265" s="46">
        <f t="shared" ca="1" si="112"/>
        <v>16.468000337798696</v>
      </c>
      <c r="O265" s="46">
        <f t="shared" ca="1" si="112"/>
        <v>17.224750735150682</v>
      </c>
    </row>
    <row r="266" spans="2:15">
      <c r="B266" s="457"/>
      <c r="C266" s="460" t="s">
        <v>113</v>
      </c>
      <c r="F266" s="17" t="s">
        <v>151</v>
      </c>
      <c r="H266" s="46">
        <f>H157</f>
        <v>1.4</v>
      </c>
      <c r="I266" s="46">
        <f>I157</f>
        <v>1.8</v>
      </c>
      <c r="J266" s="46">
        <f>J157</f>
        <v>1.2</v>
      </c>
      <c r="K266" s="46">
        <f t="shared" ref="K266:O266" si="113">K$252/K$248*K258</f>
        <v>1.4357823685373399</v>
      </c>
      <c r="L266" s="46">
        <f t="shared" si="113"/>
        <v>1.4958411115811741</v>
      </c>
      <c r="M266" s="46">
        <f t="shared" ca="1" si="113"/>
        <v>1.5675342134972692</v>
      </c>
      <c r="N266" s="46">
        <f t="shared" ca="1" si="113"/>
        <v>1.6468000337798698</v>
      </c>
      <c r="O266" s="46">
        <f t="shared" ca="1" si="113"/>
        <v>1.7224750735150685</v>
      </c>
    </row>
    <row r="267" spans="2:15">
      <c r="B267" s="457"/>
      <c r="C267" s="456" t="s">
        <v>17</v>
      </c>
      <c r="F267" s="17" t="s">
        <v>151</v>
      </c>
      <c r="H267" s="46">
        <f>H169</f>
        <v>18.299999999999997</v>
      </c>
      <c r="I267" s="46">
        <f>I169</f>
        <v>18.700000000000003</v>
      </c>
      <c r="J267" s="46">
        <f>J169</f>
        <v>18.2</v>
      </c>
      <c r="K267" s="46">
        <f t="shared" ref="K267:O267" si="114">K$252/K$248*K259</f>
        <v>19.143764913831198</v>
      </c>
      <c r="L267" s="46">
        <f t="shared" si="114"/>
        <v>19.944548154415656</v>
      </c>
      <c r="M267" s="46">
        <f t="shared" ca="1" si="114"/>
        <v>20.900456179963591</v>
      </c>
      <c r="N267" s="46">
        <f t="shared" ca="1" si="114"/>
        <v>21.957333783731595</v>
      </c>
      <c r="O267" s="46">
        <f t="shared" ca="1" si="114"/>
        <v>22.966334313534244</v>
      </c>
    </row>
    <row r="268" spans="2:15">
      <c r="B268" s="457"/>
      <c r="C268" s="456" t="s">
        <v>114</v>
      </c>
      <c r="F268" s="17" t="s">
        <v>151</v>
      </c>
      <c r="H268" s="499">
        <f>H170</f>
        <v>4.7</v>
      </c>
      <c r="I268" s="499">
        <f>I170</f>
        <v>4.9000000000000004</v>
      </c>
      <c r="J268" s="499">
        <f>J170</f>
        <v>4.8</v>
      </c>
      <c r="K268" s="499">
        <f t="shared" ref="K268:O268" si="115">K$252/K$248*K260</f>
        <v>4.7859412284577996</v>
      </c>
      <c r="L268" s="499">
        <f t="shared" si="115"/>
        <v>4.9861370386039141</v>
      </c>
      <c r="M268" s="499">
        <f t="shared" ca="1" si="115"/>
        <v>5.2251140449908977</v>
      </c>
      <c r="N268" s="499">
        <f t="shared" ca="1" si="115"/>
        <v>5.4893334459328988</v>
      </c>
      <c r="O268" s="499">
        <f t="shared" ca="1" si="115"/>
        <v>5.7415835783835609</v>
      </c>
    </row>
    <row r="269" spans="2:15">
      <c r="B269" s="457"/>
      <c r="C269" s="463" t="s">
        <v>179</v>
      </c>
      <c r="D269" s="20"/>
      <c r="E269" s="20"/>
      <c r="F269" s="21" t="s">
        <v>151</v>
      </c>
      <c r="I269" s="498">
        <f>SUM(I263:I266)-SUM(I267:I268)</f>
        <v>56.500000000000007</v>
      </c>
      <c r="J269" s="498">
        <f t="shared" ref="J269:O269" si="116">SUM(J263:J266)-SUM(J267:J268)</f>
        <v>56.500000000000014</v>
      </c>
      <c r="K269" s="498">
        <f t="shared" si="116"/>
        <v>58.565983429076446</v>
      </c>
      <c r="L269" s="498">
        <f t="shared" si="116"/>
        <v>52.014247547329461</v>
      </c>
      <c r="M269" s="498">
        <f t="shared" ca="1" si="116"/>
        <v>53.287837906489585</v>
      </c>
      <c r="N269" s="498">
        <f t="shared" ca="1" si="116"/>
        <v>54.423811008335562</v>
      </c>
      <c r="O269" s="498">
        <f t="shared" ca="1" si="116"/>
        <v>51.206825322789044</v>
      </c>
    </row>
    <row r="270" spans="2:15">
      <c r="B270" s="457"/>
      <c r="C270" s="456"/>
      <c r="F270" s="17"/>
      <c r="H270" s="423"/>
      <c r="I270" s="423"/>
      <c r="J270" s="423"/>
      <c r="K270" s="423"/>
      <c r="L270" s="423"/>
      <c r="M270" s="423"/>
      <c r="N270" s="423"/>
      <c r="O270" s="423"/>
    </row>
    <row r="271" spans="2:15" ht="13.5" thickBot="1">
      <c r="B271" s="463" t="s">
        <v>180</v>
      </c>
      <c r="C271" s="457"/>
      <c r="F271" s="21" t="s">
        <v>151</v>
      </c>
      <c r="H271" s="423"/>
      <c r="I271" s="423"/>
      <c r="J271" s="395">
        <f>I269-J269</f>
        <v>0</v>
      </c>
      <c r="K271" s="395">
        <f t="shared" ref="K271:O271" si="117">J269-K269</f>
        <v>-2.0659834290764323</v>
      </c>
      <c r="L271" s="395">
        <f t="shared" si="117"/>
        <v>6.5517358817469855</v>
      </c>
      <c r="M271" s="395">
        <f t="shared" ca="1" si="117"/>
        <v>-1.2735903591601243</v>
      </c>
      <c r="N271" s="395">
        <f t="shared" ca="1" si="117"/>
        <v>-1.1359731018459769</v>
      </c>
      <c r="O271" s="395">
        <f t="shared" ca="1" si="117"/>
        <v>3.2169856855465184</v>
      </c>
    </row>
    <row r="272" spans="2:15" ht="13.5" thickTop="1">
      <c r="B272" s="6"/>
      <c r="C272" s="464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4" spans="2:15" ht="23.25">
      <c r="B274" s="1"/>
      <c r="C274" s="2"/>
      <c r="D274" s="2"/>
      <c r="E274" s="2"/>
      <c r="F274" s="9"/>
      <c r="G274" s="2"/>
      <c r="H274" s="2"/>
      <c r="I274" s="2"/>
      <c r="J274" s="2"/>
      <c r="K274" s="2"/>
      <c r="L274" s="2"/>
      <c r="M274" s="2"/>
      <c r="N274" s="2"/>
      <c r="O274" s="429" t="str">
        <f>$O$2</f>
        <v>CURRENTLY RUNNING: BASE CASE SCENARIO</v>
      </c>
    </row>
    <row r="275" spans="2:15" ht="23.25">
      <c r="B275" s="1" t="str">
        <f>B$2</f>
        <v>Blu Containers Company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2:15" ht="18">
      <c r="B276" s="12" t="s">
        <v>181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2:15" ht="19.5" thickBot="1">
      <c r="B277" s="89"/>
      <c r="C277" s="90"/>
      <c r="D277" s="90"/>
      <c r="E277" s="90"/>
      <c r="F277" s="91"/>
      <c r="G277" s="90"/>
      <c r="H277" s="90"/>
      <c r="I277" s="90"/>
      <c r="J277" s="90"/>
      <c r="K277" s="90"/>
      <c r="L277" s="90"/>
      <c r="M277" s="90"/>
      <c r="N277" s="90"/>
      <c r="O277" s="90"/>
    </row>
    <row r="278" spans="2:15">
      <c r="B278" s="33" t="s">
        <v>56</v>
      </c>
      <c r="F278"/>
      <c r="O278" s="18"/>
    </row>
    <row r="279" spans="2:15">
      <c r="F279"/>
      <c r="H279" s="2"/>
      <c r="I279" s="2"/>
      <c r="J279" s="2"/>
      <c r="K279" s="409" t="s">
        <v>126</v>
      </c>
      <c r="L279" s="305"/>
      <c r="M279" s="305"/>
      <c r="N279" s="305"/>
      <c r="O279" s="305"/>
    </row>
    <row r="280" spans="2:15">
      <c r="F280"/>
      <c r="G280" s="54"/>
      <c r="H280" s="465"/>
      <c r="I280" s="465"/>
      <c r="J280" s="88">
        <f t="shared" ref="J280:O280" si="118">J$7</f>
        <v>2022</v>
      </c>
      <c r="K280" s="434">
        <f t="shared" si="118"/>
        <v>2023</v>
      </c>
      <c r="L280" s="434">
        <f t="shared" si="118"/>
        <v>2024</v>
      </c>
      <c r="M280" s="434">
        <f t="shared" si="118"/>
        <v>2025</v>
      </c>
      <c r="N280" s="434">
        <f t="shared" si="118"/>
        <v>2026</v>
      </c>
      <c r="O280" s="434">
        <f t="shared" si="118"/>
        <v>2027</v>
      </c>
    </row>
    <row r="282" spans="2:15">
      <c r="B282" s="20" t="s">
        <v>182</v>
      </c>
      <c r="K282" s="466"/>
      <c r="L282" s="466"/>
      <c r="M282" s="466"/>
      <c r="N282" s="466"/>
      <c r="O282" s="466"/>
    </row>
    <row r="284" spans="2:15">
      <c r="C284" s="20" t="s">
        <v>10</v>
      </c>
    </row>
    <row r="285" spans="2:15">
      <c r="D285" t="s">
        <v>183</v>
      </c>
      <c r="K285" s="473">
        <f>J287</f>
        <v>0.3</v>
      </c>
      <c r="L285" s="473">
        <f t="shared" ref="L285:O285" si="119">K287</f>
        <v>2.8310687127941492E-15</v>
      </c>
      <c r="M285" s="473">
        <f t="shared" si="119"/>
        <v>2.8310687127941492E-15</v>
      </c>
      <c r="N285" s="473">
        <f t="shared" ca="1" si="119"/>
        <v>2.8310687127941492E-15</v>
      </c>
      <c r="O285" s="473">
        <f t="shared" ca="1" si="119"/>
        <v>1.4182194874083962</v>
      </c>
    </row>
    <row r="286" spans="2:15">
      <c r="D286" t="s">
        <v>184</v>
      </c>
      <c r="J286" s="6"/>
      <c r="K286" s="500">
        <f>K139</f>
        <v>-0.29999999999999716</v>
      </c>
      <c r="L286" s="500">
        <f>L139</f>
        <v>0</v>
      </c>
      <c r="M286" s="500">
        <f ca="1">M139</f>
        <v>0</v>
      </c>
      <c r="N286" s="500">
        <f ca="1">N139</f>
        <v>1.4182194874083933</v>
      </c>
      <c r="O286" s="500">
        <f ca="1">O139</f>
        <v>-1.4182194874083933</v>
      </c>
    </row>
    <row r="287" spans="2:15">
      <c r="D287" t="s">
        <v>185</v>
      </c>
      <c r="I287" s="467"/>
      <c r="J287" s="471">
        <f>J153</f>
        <v>0.3</v>
      </c>
      <c r="K287" s="471">
        <f>SUM(K285:K286)</f>
        <v>2.8310687127941492E-15</v>
      </c>
      <c r="L287" s="471">
        <f t="shared" ref="L287:O287" si="120">SUM(L285:L286)</f>
        <v>2.8310687127941492E-15</v>
      </c>
      <c r="M287" s="471">
        <f t="shared" ca="1" si="120"/>
        <v>2.8310687127941492E-15</v>
      </c>
      <c r="N287" s="471">
        <f t="shared" ca="1" si="120"/>
        <v>1.4182194874083962</v>
      </c>
      <c r="O287" s="471">
        <f t="shared" ca="1" si="120"/>
        <v>2.886579864025407E-15</v>
      </c>
    </row>
    <row r="289" spans="2:15">
      <c r="D289" t="s">
        <v>186</v>
      </c>
      <c r="K289" s="501">
        <f>Assumptions!N27</f>
        <v>0.01</v>
      </c>
      <c r="L289" s="503">
        <f>K289</f>
        <v>0.01</v>
      </c>
      <c r="M289" s="503">
        <f t="shared" ref="M289:O289" si="121">L289</f>
        <v>0.01</v>
      </c>
      <c r="N289" s="503">
        <f t="shared" si="121"/>
        <v>0.01</v>
      </c>
      <c r="O289" s="503">
        <f t="shared" si="121"/>
        <v>0.01</v>
      </c>
    </row>
    <row r="290" spans="2:15">
      <c r="D290" s="20" t="s">
        <v>187</v>
      </c>
      <c r="K290" s="502">
        <f>K289*K285</f>
        <v>3.0000000000000001E-3</v>
      </c>
      <c r="L290" s="502">
        <f t="shared" ref="L290:O290" si="122">L289*L285</f>
        <v>2.8310687127941492E-17</v>
      </c>
      <c r="M290" s="502">
        <f t="shared" si="122"/>
        <v>2.8310687127941492E-17</v>
      </c>
      <c r="N290" s="502">
        <f t="shared" ca="1" si="122"/>
        <v>2.8310687127941492E-17</v>
      </c>
      <c r="O290" s="502">
        <f t="shared" ca="1" si="122"/>
        <v>1.4182194874083962E-2</v>
      </c>
    </row>
    <row r="293" spans="2:15">
      <c r="C293" s="20" t="s">
        <v>188</v>
      </c>
    </row>
    <row r="294" spans="2:15">
      <c r="B294" s="20"/>
      <c r="D294" t="s">
        <v>8</v>
      </c>
      <c r="H294" s="468"/>
      <c r="I294" s="468"/>
      <c r="J294" s="468"/>
      <c r="K294" s="506">
        <f>K122</f>
        <v>45.566007162321398</v>
      </c>
      <c r="L294" s="506">
        <f>L122</f>
        <v>37.910250864572149</v>
      </c>
      <c r="M294" s="506">
        <f ca="1">M122</f>
        <v>56.575165071319049</v>
      </c>
      <c r="N294" s="506">
        <f ca="1">N122</f>
        <v>51.809304013131779</v>
      </c>
      <c r="O294" s="506">
        <f ca="1">O122</f>
        <v>42.862366449814715</v>
      </c>
    </row>
    <row r="295" spans="2:15">
      <c r="B295" s="20"/>
      <c r="D295" t="s">
        <v>41</v>
      </c>
      <c r="H295" s="468"/>
      <c r="I295" s="468"/>
      <c r="J295" s="468"/>
      <c r="K295" s="506">
        <f>K128</f>
        <v>-16</v>
      </c>
      <c r="L295" s="506">
        <f>L128</f>
        <v>-17</v>
      </c>
      <c r="M295" s="506">
        <f>M128</f>
        <v>-17.3</v>
      </c>
      <c r="N295" s="506">
        <f>N128</f>
        <v>-17.5</v>
      </c>
      <c r="O295" s="506">
        <f>O128</f>
        <v>-18</v>
      </c>
    </row>
    <row r="296" spans="2:15">
      <c r="B296" s="20"/>
      <c r="D296" t="s">
        <v>189</v>
      </c>
      <c r="H296" s="468"/>
      <c r="I296" s="468"/>
      <c r="J296" s="468"/>
      <c r="K296" s="506">
        <f>K311</f>
        <v>-25</v>
      </c>
      <c r="L296" s="506">
        <f t="shared" ref="L296:O296" si="123">L311</f>
        <v>-25</v>
      </c>
      <c r="M296" s="506">
        <f t="shared" si="123"/>
        <v>-25</v>
      </c>
      <c r="N296" s="506">
        <f t="shared" si="123"/>
        <v>-25</v>
      </c>
      <c r="O296" s="506">
        <f t="shared" si="123"/>
        <v>-25</v>
      </c>
    </row>
    <row r="297" spans="2:15">
      <c r="B297" s="20"/>
      <c r="D297" t="s">
        <v>116</v>
      </c>
      <c r="H297" s="468"/>
      <c r="I297" s="468"/>
      <c r="J297" s="468"/>
      <c r="K297" s="506">
        <f>K331</f>
        <v>0</v>
      </c>
      <c r="L297" s="506">
        <f t="shared" ref="L297:O297" si="124">L331</f>
        <v>0</v>
      </c>
      <c r="M297" s="506">
        <f t="shared" si="124"/>
        <v>0</v>
      </c>
      <c r="N297" s="506">
        <f t="shared" si="124"/>
        <v>0</v>
      </c>
      <c r="O297" s="506">
        <f t="shared" si="124"/>
        <v>0</v>
      </c>
    </row>
    <row r="298" spans="2:15">
      <c r="B298" s="20"/>
      <c r="D298" t="s">
        <v>190</v>
      </c>
      <c r="H298" s="468"/>
      <c r="I298" s="468"/>
      <c r="J298" s="468"/>
      <c r="K298" s="394">
        <f>K135</f>
        <v>-5.9414647849462332</v>
      </c>
      <c r="L298" s="394">
        <f t="shared" ref="L298:O298" si="125">L135</f>
        <v>-2.5767696632316985</v>
      </c>
      <c r="M298" s="394">
        <f t="shared" ca="1" si="125"/>
        <v>-7.7604844194291687</v>
      </c>
      <c r="N298" s="394">
        <f t="shared" ca="1" si="125"/>
        <v>-6.6637887563288842</v>
      </c>
      <c r="O298" s="394">
        <f t="shared" ca="1" si="125"/>
        <v>-3.8854761528536401</v>
      </c>
    </row>
    <row r="299" spans="2:15">
      <c r="D299" s="20" t="s">
        <v>191</v>
      </c>
      <c r="K299" s="507">
        <f>SUM(K294:K298)</f>
        <v>-1.3754576226248352</v>
      </c>
      <c r="L299" s="507">
        <f t="shared" ref="L299:O299" si="126">SUM(L294:L298)</f>
        <v>-6.66651879865955</v>
      </c>
      <c r="M299" s="507">
        <f t="shared" ca="1" si="126"/>
        <v>6.5146806518898828</v>
      </c>
      <c r="N299" s="507">
        <f t="shared" ca="1" si="126"/>
        <v>2.645515256802895</v>
      </c>
      <c r="O299" s="507">
        <f t="shared" ca="1" si="126"/>
        <v>-4.0231097030389247</v>
      </c>
    </row>
    <row r="300" spans="2:15">
      <c r="C300" s="20"/>
    </row>
    <row r="301" spans="2:15">
      <c r="D301" t="s">
        <v>192</v>
      </c>
      <c r="J301" s="367"/>
      <c r="K301" s="473">
        <f>J303</f>
        <v>0</v>
      </c>
      <c r="L301" s="473">
        <f t="shared" ref="L301:O301" si="127">K303</f>
        <v>1.0754576226248351</v>
      </c>
      <c r="M301" s="473">
        <f t="shared" si="127"/>
        <v>7.7419764212843827</v>
      </c>
      <c r="N301" s="473">
        <f t="shared" ca="1" si="127"/>
        <v>1.2272957693944972</v>
      </c>
      <c r="O301" s="473">
        <f t="shared" ca="1" si="127"/>
        <v>0</v>
      </c>
    </row>
    <row r="302" spans="2:15">
      <c r="D302" t="s">
        <v>193</v>
      </c>
      <c r="J302" s="508"/>
      <c r="K302" s="500">
        <f>-MIN(K299+K285,K301)</f>
        <v>1.0754576226248351</v>
      </c>
      <c r="L302" s="500">
        <f t="shared" ref="L302:O302" si="128">-MIN(L299+L285,L301)</f>
        <v>6.6665187986595473</v>
      </c>
      <c r="M302" s="500">
        <f t="shared" ca="1" si="128"/>
        <v>-6.5146806518898854</v>
      </c>
      <c r="N302" s="500">
        <f t="shared" ca="1" si="128"/>
        <v>-1.2272957693944972</v>
      </c>
      <c r="O302" s="500">
        <f t="shared" ca="1" si="128"/>
        <v>2.6048902156305287</v>
      </c>
    </row>
    <row r="303" spans="2:15">
      <c r="D303" t="s">
        <v>194</v>
      </c>
      <c r="I303" s="467"/>
      <c r="J303" s="471">
        <f>J168</f>
        <v>0</v>
      </c>
      <c r="K303" s="471">
        <f>SUM(K301:K302)</f>
        <v>1.0754576226248351</v>
      </c>
      <c r="L303" s="471">
        <f t="shared" ref="L303:O303" si="129">SUM(L301:L302)</f>
        <v>7.7419764212843827</v>
      </c>
      <c r="M303" s="471">
        <f t="shared" ca="1" si="129"/>
        <v>1.2272957693944972</v>
      </c>
      <c r="N303" s="471">
        <f t="shared" ca="1" si="129"/>
        <v>0</v>
      </c>
      <c r="O303" s="471">
        <f t="shared" ca="1" si="129"/>
        <v>2.6048902156305287</v>
      </c>
    </row>
    <row r="304" spans="2:15">
      <c r="J304" s="367"/>
      <c r="K304" s="367"/>
      <c r="L304" s="367"/>
      <c r="M304" s="367"/>
      <c r="N304" s="367"/>
      <c r="O304" s="367"/>
    </row>
    <row r="305" spans="2:15">
      <c r="D305" t="s">
        <v>186</v>
      </c>
      <c r="J305" s="367"/>
      <c r="K305" s="505">
        <f>Assumptions!N28</f>
        <v>0.06</v>
      </c>
      <c r="L305" s="365">
        <f>K305</f>
        <v>0.06</v>
      </c>
      <c r="M305" s="365">
        <f t="shared" ref="M305:O305" si="130">L305</f>
        <v>0.06</v>
      </c>
      <c r="N305" s="365">
        <f t="shared" si="130"/>
        <v>0.06</v>
      </c>
      <c r="O305" s="365">
        <f t="shared" si="130"/>
        <v>0.06</v>
      </c>
    </row>
    <row r="306" spans="2:15">
      <c r="D306" s="20" t="s">
        <v>195</v>
      </c>
      <c r="K306" s="502">
        <f>K305*K301</f>
        <v>0</v>
      </c>
      <c r="L306" s="502">
        <f t="shared" ref="L306:O306" si="131">L305*L301</f>
        <v>6.4527457357490103E-2</v>
      </c>
      <c r="M306" s="502">
        <f t="shared" si="131"/>
        <v>0.46451858527706297</v>
      </c>
      <c r="N306" s="502">
        <f t="shared" ca="1" si="131"/>
        <v>7.3637746163669832E-2</v>
      </c>
      <c r="O306" s="502">
        <f t="shared" ca="1" si="131"/>
        <v>0</v>
      </c>
    </row>
    <row r="309" spans="2:15">
      <c r="C309" s="20" t="s">
        <v>49</v>
      </c>
    </row>
    <row r="310" spans="2:15">
      <c r="D310" t="s">
        <v>183</v>
      </c>
      <c r="K310" s="473">
        <f>J312</f>
        <v>200</v>
      </c>
      <c r="L310" s="473">
        <f t="shared" ref="L310:O310" si="132">K312</f>
        <v>175</v>
      </c>
      <c r="M310" s="473">
        <f t="shared" si="132"/>
        <v>150</v>
      </c>
      <c r="N310" s="473">
        <f t="shared" si="132"/>
        <v>125</v>
      </c>
      <c r="O310" s="473">
        <f t="shared" si="132"/>
        <v>100</v>
      </c>
    </row>
    <row r="311" spans="2:15">
      <c r="D311" t="s">
        <v>193</v>
      </c>
      <c r="J311" s="6"/>
      <c r="K311" s="504">
        <f>Assumptions!J72</f>
        <v>-25</v>
      </c>
      <c r="L311" s="504">
        <f>Assumptions!K72</f>
        <v>-25</v>
      </c>
      <c r="M311" s="504">
        <f>Assumptions!L72</f>
        <v>-25</v>
      </c>
      <c r="N311" s="504">
        <f>Assumptions!M72</f>
        <v>-25</v>
      </c>
      <c r="O311" s="504">
        <f>Assumptions!N72</f>
        <v>-25</v>
      </c>
    </row>
    <row r="312" spans="2:15">
      <c r="D312" t="s">
        <v>185</v>
      </c>
      <c r="I312" s="467"/>
      <c r="J312" s="471">
        <f>J174</f>
        <v>200</v>
      </c>
      <c r="K312" s="471">
        <f>SUM(K310:K311)</f>
        <v>175</v>
      </c>
      <c r="L312" s="471">
        <f t="shared" ref="L312:O312" si="133">SUM(L310:L311)</f>
        <v>150</v>
      </c>
      <c r="M312" s="471">
        <f t="shared" si="133"/>
        <v>125</v>
      </c>
      <c r="N312" s="471">
        <f t="shared" si="133"/>
        <v>100</v>
      </c>
      <c r="O312" s="471">
        <f t="shared" si="133"/>
        <v>75</v>
      </c>
    </row>
    <row r="314" spans="2:15">
      <c r="D314" t="s">
        <v>186</v>
      </c>
      <c r="K314" s="505">
        <f>Assumptions!N29</f>
        <v>0.06</v>
      </c>
      <c r="L314" s="365">
        <f>K314</f>
        <v>0.06</v>
      </c>
      <c r="M314" s="365">
        <f t="shared" ref="M314:O314" si="134">L314</f>
        <v>0.06</v>
      </c>
      <c r="N314" s="365">
        <f t="shared" si="134"/>
        <v>0.06</v>
      </c>
      <c r="O314" s="365">
        <f t="shared" si="134"/>
        <v>0.06</v>
      </c>
    </row>
    <row r="315" spans="2:15">
      <c r="D315" s="20" t="s">
        <v>195</v>
      </c>
      <c r="K315" s="502">
        <f>K314*K310</f>
        <v>12</v>
      </c>
      <c r="L315" s="502">
        <f t="shared" ref="L315:O315" si="135">L314*L310</f>
        <v>10.5</v>
      </c>
      <c r="M315" s="502">
        <f t="shared" si="135"/>
        <v>9</v>
      </c>
      <c r="N315" s="502">
        <f t="shared" si="135"/>
        <v>7.5</v>
      </c>
      <c r="O315" s="502">
        <f t="shared" si="135"/>
        <v>6</v>
      </c>
    </row>
    <row r="318" spans="2:15" ht="13.5" thickBot="1">
      <c r="C318" s="20" t="s">
        <v>196</v>
      </c>
      <c r="K318" s="509">
        <f>K315+K306-K290</f>
        <v>11.997</v>
      </c>
      <c r="L318" s="509">
        <f t="shared" ref="L318:O318" si="136">L315+L306-L290</f>
        <v>10.564527457357491</v>
      </c>
      <c r="M318" s="509">
        <f t="shared" si="136"/>
        <v>9.4645185852770624</v>
      </c>
      <c r="N318" s="509">
        <f t="shared" ca="1" si="136"/>
        <v>7.5736377461636701</v>
      </c>
      <c r="O318" s="509">
        <f t="shared" ca="1" si="136"/>
        <v>5.9858178051259161</v>
      </c>
    </row>
    <row r="319" spans="2:15" ht="13.5" thickTop="1">
      <c r="B319" s="6"/>
      <c r="C319" s="6"/>
      <c r="D319" s="6"/>
      <c r="E319" s="6"/>
      <c r="F319" s="335"/>
      <c r="G319" s="6"/>
      <c r="H319" s="6"/>
      <c r="I319" s="6"/>
      <c r="J319" s="6"/>
      <c r="K319" s="6"/>
      <c r="L319" s="6"/>
      <c r="M319" s="6"/>
      <c r="N319" s="6"/>
      <c r="O319" s="6"/>
    </row>
    <row r="321" spans="2:15" ht="23.25">
      <c r="B321" s="1"/>
      <c r="C321" s="2"/>
      <c r="D321" s="2"/>
      <c r="E321" s="2"/>
      <c r="F321" s="9"/>
      <c r="G321" s="2"/>
      <c r="H321" s="2"/>
      <c r="I321" s="2"/>
      <c r="J321" s="2"/>
      <c r="K321" s="2"/>
      <c r="L321" s="2"/>
      <c r="M321" s="2"/>
      <c r="N321" s="2"/>
      <c r="O321" s="429" t="str">
        <f>$O$2</f>
        <v>CURRENTLY RUNNING: BASE CASE SCENARIO</v>
      </c>
    </row>
    <row r="322" spans="2:15" ht="23.25">
      <c r="B322" s="1" t="str">
        <f>B$2</f>
        <v>Blu Containers Company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2:15" ht="18">
      <c r="B323" s="12" t="s">
        <v>197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2:15" ht="19.5" thickBot="1">
      <c r="B324" s="89"/>
      <c r="C324" s="90"/>
      <c r="D324" s="90"/>
      <c r="E324" s="90"/>
      <c r="F324" s="91"/>
      <c r="G324" s="90"/>
      <c r="H324" s="90"/>
      <c r="I324" s="90"/>
      <c r="J324" s="90"/>
      <c r="K324" s="90"/>
      <c r="L324" s="90"/>
      <c r="M324" s="90"/>
      <c r="N324" s="90"/>
      <c r="O324" s="90"/>
    </row>
    <row r="325" spans="2:15">
      <c r="B325" s="33" t="s">
        <v>56</v>
      </c>
      <c r="F325"/>
      <c r="O325" s="18"/>
    </row>
    <row r="326" spans="2:15">
      <c r="F326"/>
      <c r="H326" s="2"/>
      <c r="I326" s="2"/>
      <c r="J326" s="2"/>
      <c r="K326" s="409" t="s">
        <v>126</v>
      </c>
      <c r="L326" s="305"/>
      <c r="M326" s="305"/>
      <c r="N326" s="305"/>
      <c r="O326" s="305"/>
    </row>
    <row r="327" spans="2:15">
      <c r="F327"/>
      <c r="G327" s="54"/>
      <c r="H327" s="465"/>
      <c r="I327" s="465"/>
      <c r="J327" s="88">
        <f t="shared" ref="J327:O327" si="137">J$7</f>
        <v>2022</v>
      </c>
      <c r="K327" s="434">
        <f t="shared" si="137"/>
        <v>2023</v>
      </c>
      <c r="L327" s="434">
        <f t="shared" si="137"/>
        <v>2024</v>
      </c>
      <c r="M327" s="434">
        <f t="shared" si="137"/>
        <v>2025</v>
      </c>
      <c r="N327" s="434">
        <f t="shared" si="137"/>
        <v>2026</v>
      </c>
      <c r="O327" s="434">
        <f t="shared" si="137"/>
        <v>2027</v>
      </c>
    </row>
    <row r="329" spans="2:15">
      <c r="B329" s="20"/>
      <c r="C329" s="20" t="s">
        <v>44</v>
      </c>
    </row>
    <row r="330" spans="2:15">
      <c r="D330" t="s">
        <v>183</v>
      </c>
      <c r="G330" s="17"/>
      <c r="J330" s="367"/>
      <c r="K330" s="473">
        <f>J332</f>
        <v>120</v>
      </c>
      <c r="L330" s="473">
        <f t="shared" ref="L330:O330" si="138">K332</f>
        <v>120</v>
      </c>
      <c r="M330" s="473">
        <f t="shared" si="138"/>
        <v>120</v>
      </c>
      <c r="N330" s="473">
        <f t="shared" si="138"/>
        <v>120</v>
      </c>
      <c r="O330" s="473">
        <f t="shared" si="138"/>
        <v>120</v>
      </c>
    </row>
    <row r="331" spans="2:15">
      <c r="D331" t="s">
        <v>198</v>
      </c>
      <c r="J331" s="508"/>
      <c r="K331" s="504">
        <f>Assumptions!J73</f>
        <v>0</v>
      </c>
      <c r="L331" s="504">
        <f>Assumptions!K73</f>
        <v>0</v>
      </c>
      <c r="M331" s="504">
        <f>Assumptions!L73</f>
        <v>0</v>
      </c>
      <c r="N331" s="504">
        <f>Assumptions!M73</f>
        <v>0</v>
      </c>
      <c r="O331" s="504">
        <f>Assumptions!N73</f>
        <v>0</v>
      </c>
    </row>
    <row r="332" spans="2:15">
      <c r="D332" t="s">
        <v>185</v>
      </c>
      <c r="J332" s="471">
        <f>J179</f>
        <v>120</v>
      </c>
      <c r="K332" s="471">
        <f>SUM(K330:K331)</f>
        <v>120</v>
      </c>
      <c r="L332" s="471">
        <f t="shared" ref="L332:O332" si="139">SUM(L330:L331)</f>
        <v>120</v>
      </c>
      <c r="M332" s="471">
        <f t="shared" si="139"/>
        <v>120</v>
      </c>
      <c r="N332" s="471">
        <f t="shared" si="139"/>
        <v>120</v>
      </c>
      <c r="O332" s="471">
        <f t="shared" si="139"/>
        <v>120</v>
      </c>
    </row>
    <row r="334" spans="2:15">
      <c r="D334" t="s">
        <v>199</v>
      </c>
      <c r="K334" s="505">
        <f>Assumptions!N10</f>
        <v>0.2</v>
      </c>
      <c r="L334" s="329">
        <f>K334</f>
        <v>0.2</v>
      </c>
      <c r="M334" s="329">
        <f>L334</f>
        <v>0.2</v>
      </c>
      <c r="N334" s="329">
        <f>M334</f>
        <v>0.2</v>
      </c>
      <c r="O334" s="329">
        <f>N334</f>
        <v>0.2</v>
      </c>
    </row>
    <row r="335" spans="2:15">
      <c r="D335" t="s">
        <v>5</v>
      </c>
      <c r="K335" s="473">
        <f>K102</f>
        <v>29.707323924731163</v>
      </c>
      <c r="L335" s="473">
        <f>L102</f>
        <v>12.883848316158492</v>
      </c>
      <c r="M335" s="473">
        <f ca="1">M102</f>
        <v>38.802422097145843</v>
      </c>
      <c r="N335" s="473">
        <f ca="1">N102</f>
        <v>33.318943781644421</v>
      </c>
      <c r="O335" s="473">
        <f ca="1">O102</f>
        <v>19.4273807642682</v>
      </c>
    </row>
    <row r="336" spans="2:15">
      <c r="C336" s="20"/>
      <c r="D336" s="20" t="s">
        <v>200</v>
      </c>
      <c r="K336" s="502">
        <f>MAX(K335*K334,0)</f>
        <v>5.9414647849462332</v>
      </c>
      <c r="L336" s="502">
        <f t="shared" ref="L336:O336" si="140">MAX(L335*L334,0)</f>
        <v>2.5767696632316985</v>
      </c>
      <c r="M336" s="502">
        <f t="shared" ca="1" si="140"/>
        <v>7.7604844194291687</v>
      </c>
      <c r="N336" s="502">
        <f t="shared" ca="1" si="140"/>
        <v>6.6637887563288842</v>
      </c>
      <c r="O336" s="502">
        <f t="shared" ca="1" si="140"/>
        <v>3.8854761528536401</v>
      </c>
    </row>
    <row r="339" spans="2:15">
      <c r="B339" s="20"/>
      <c r="C339" s="20" t="s">
        <v>45</v>
      </c>
      <c r="J339" s="367"/>
      <c r="K339" s="367"/>
      <c r="L339" s="367"/>
      <c r="M339" s="367"/>
      <c r="N339" s="367"/>
      <c r="O339" s="367"/>
    </row>
    <row r="340" spans="2:15">
      <c r="D340" t="s">
        <v>183</v>
      </c>
      <c r="J340" s="367"/>
      <c r="K340" s="473">
        <f>J343</f>
        <v>138.50000000000003</v>
      </c>
      <c r="L340" s="473">
        <f t="shared" ref="L340:O340" si="141">K343</f>
        <v>162.26585913978496</v>
      </c>
      <c r="M340" s="473">
        <f t="shared" si="141"/>
        <v>172.57293779271177</v>
      </c>
      <c r="N340" s="473">
        <f t="shared" ca="1" si="141"/>
        <v>203.61487547042844</v>
      </c>
      <c r="O340" s="473">
        <f t="shared" ca="1" si="141"/>
        <v>230.27003049574398</v>
      </c>
    </row>
    <row r="341" spans="2:15">
      <c r="D341" t="s">
        <v>5</v>
      </c>
      <c r="J341" s="367"/>
      <c r="K341" s="473">
        <f>K335</f>
        <v>29.707323924731163</v>
      </c>
      <c r="L341" s="473">
        <f t="shared" ref="L341:O341" si="142">L335</f>
        <v>12.883848316158492</v>
      </c>
      <c r="M341" s="473">
        <f t="shared" ca="1" si="142"/>
        <v>38.802422097145843</v>
      </c>
      <c r="N341" s="473">
        <f t="shared" ca="1" si="142"/>
        <v>33.318943781644421</v>
      </c>
      <c r="O341" s="473">
        <f t="shared" ca="1" si="142"/>
        <v>19.4273807642682</v>
      </c>
    </row>
    <row r="342" spans="2:15">
      <c r="D342" t="s">
        <v>200</v>
      </c>
      <c r="J342" s="508"/>
      <c r="K342" s="500">
        <f>-K336</f>
        <v>-5.9414647849462332</v>
      </c>
      <c r="L342" s="500">
        <f t="shared" ref="L342:O342" si="143">-L336</f>
        <v>-2.5767696632316985</v>
      </c>
      <c r="M342" s="500">
        <f t="shared" ca="1" si="143"/>
        <v>-7.7604844194291687</v>
      </c>
      <c r="N342" s="500">
        <f t="shared" ca="1" si="143"/>
        <v>-6.6637887563288842</v>
      </c>
      <c r="O342" s="500">
        <f t="shared" ca="1" si="143"/>
        <v>-3.8854761528536401</v>
      </c>
    </row>
    <row r="343" spans="2:15">
      <c r="D343" s="20" t="s">
        <v>185</v>
      </c>
      <c r="E343" s="20"/>
      <c r="F343" s="349"/>
      <c r="G343" s="20"/>
      <c r="H343" s="20"/>
      <c r="I343" s="20"/>
      <c r="J343" s="507">
        <f>J180</f>
        <v>138.50000000000003</v>
      </c>
      <c r="K343" s="507">
        <f>SUM(K340:K342)</f>
        <v>162.26585913978496</v>
      </c>
      <c r="L343" s="507">
        <f t="shared" ref="L343:O343" si="144">SUM(L340:L342)</f>
        <v>172.57293779271177</v>
      </c>
      <c r="M343" s="507">
        <f t="shared" ca="1" si="144"/>
        <v>203.61487547042844</v>
      </c>
      <c r="N343" s="507">
        <f t="shared" ca="1" si="144"/>
        <v>230.27003049574398</v>
      </c>
      <c r="O343" s="507">
        <f t="shared" ca="1" si="144"/>
        <v>245.81193510715855</v>
      </c>
    </row>
    <row r="344" spans="2:15">
      <c r="B344" s="6"/>
      <c r="C344" s="6"/>
      <c r="D344" s="6"/>
      <c r="E344" s="6"/>
      <c r="F344" s="335"/>
      <c r="G344" s="6"/>
      <c r="H344" s="6"/>
      <c r="I344" s="6"/>
      <c r="J344" s="6"/>
      <c r="K344" s="6"/>
      <c r="L344" s="6"/>
      <c r="M344" s="6"/>
      <c r="N344" s="6"/>
      <c r="O344" s="6"/>
    </row>
  </sheetData>
  <sheetProtection formatCells="0" formatColumns="0" formatRows="0" insertColumns="0" insertRows="0"/>
  <phoneticPr fontId="0" type="noConversion"/>
  <printOptions horizontalCentered="1"/>
  <pageMargins left="0.25" right="0.25" top="0.25" bottom="0.5" header="0.25" footer="0.25"/>
  <pageSetup scale="95" orientation="landscape" r:id="rId1"/>
  <headerFooter alignWithMargins="0"/>
  <ignoredErrors>
    <ignoredError sqref="K85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f44690-06d1-49fb-852d-53eb500a6f07">
      <Terms xmlns="http://schemas.microsoft.com/office/infopath/2007/PartnerControls"/>
    </lcf76f155ced4ddcb4097134ff3c332f>
    <TaxCatchAll xmlns="7c7e0179-495a-4ef3-8969-463b3802bca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98D8306A1034782492F3567A273F2" ma:contentTypeVersion="12" ma:contentTypeDescription="Create a new document." ma:contentTypeScope="" ma:versionID="4c5b699968f7936cc9e2b89b7e5f9cbe">
  <xsd:schema xmlns:xsd="http://www.w3.org/2001/XMLSchema" xmlns:xs="http://www.w3.org/2001/XMLSchema" xmlns:p="http://schemas.microsoft.com/office/2006/metadata/properties" xmlns:ns2="90f44690-06d1-49fb-852d-53eb500a6f07" xmlns:ns3="7c7e0179-495a-4ef3-8969-463b3802bcab" targetNamespace="http://schemas.microsoft.com/office/2006/metadata/properties" ma:root="true" ma:fieldsID="dadd706c7ce454de55746a2a3b085249" ns2:_="" ns3:_="">
    <xsd:import namespace="90f44690-06d1-49fb-852d-53eb500a6f07"/>
    <xsd:import namespace="7c7e0179-495a-4ef3-8969-463b3802b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44690-06d1-49fb-852d-53eb500a6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571d408-0d8c-48a4-adcf-444c1a3db9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e0179-495a-4ef3-8969-463b3802bc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205484f-7026-451c-87e6-e05ed3f56675}" ma:internalName="TaxCatchAll" ma:showField="CatchAllData" ma:web="7c7e0179-495a-4ef3-8969-463b3802bc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E5984B-8A80-41BF-A4A0-E038C92669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832110-18E0-45D4-B554-12B6975216E4}">
  <ds:schemaRefs>
    <ds:schemaRef ds:uri="http://schemas.microsoft.com/office/2006/metadata/properties"/>
    <ds:schemaRef ds:uri="http://schemas.microsoft.com/office/infopath/2007/PartnerControls"/>
    <ds:schemaRef ds:uri="90f44690-06d1-49fb-852d-53eb500a6f07"/>
    <ds:schemaRef ds:uri="7c7e0179-495a-4ef3-8969-463b3802bcab"/>
  </ds:schemaRefs>
</ds:datastoreItem>
</file>

<file path=customXml/itemProps3.xml><?xml version="1.0" encoding="utf-8"?>
<ds:datastoreItem xmlns:ds="http://schemas.openxmlformats.org/officeDocument/2006/customXml" ds:itemID="{6909FD55-0D17-4A4D-9D58-1FF4367071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f44690-06d1-49fb-852d-53eb500a6f07"/>
    <ds:schemaRef ds:uri="7c7e0179-495a-4ef3-8969-463b3802bc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Notes</vt:lpstr>
      <vt:lpstr>Cover Page</vt:lpstr>
      <vt:lpstr>Summary</vt:lpstr>
      <vt:lpstr>Assumptions</vt:lpstr>
      <vt:lpstr>Scenarios</vt:lpstr>
      <vt:lpstr>Model</vt:lpstr>
      <vt:lpstr>Summary!Print_Area</vt:lpstr>
    </vt:vector>
  </TitlesOfParts>
  <Company>Financial Modeling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Schnoor</dc:creator>
  <cp:lastModifiedBy>Eric Gauthier</cp:lastModifiedBy>
  <cp:lastPrinted>2022-12-09T14:34:08Z</cp:lastPrinted>
  <dcterms:created xsi:type="dcterms:W3CDTF">2018-03-28T17:44:41Z</dcterms:created>
  <dcterms:modified xsi:type="dcterms:W3CDTF">2024-09-20T15:15:38Z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0x01010023898D8306A1034782492F3567A273F2</vt:lpwstr>
  </property>
</Properties>
</file>