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Academic Downloads\"/>
    </mc:Choice>
  </mc:AlternateContent>
  <bookViews>
    <workbookView xWindow="240" yWindow="12" windowWidth="16092" windowHeight="9660" activeTab="3" xr2:uid="{00000000-000D-0000-FFFF-FFFF00000000}"/>
  </bookViews>
  <sheets>
    <sheet name="Data" sheetId="1" r:id="rId1"/>
    <sheet name="MCDM Sheet" sheetId="5" r:id="rId2"/>
    <sheet name="MCDM - TOPSIS" sheetId="7" r:id="rId3"/>
    <sheet name="APIC Sheet" sheetId="6" r:id="rId4"/>
  </sheets>
  <calcPr calcId="171027"/>
  <fileRecoveryPr autoRecover="0"/>
</workbook>
</file>

<file path=xl/calcChain.xml><?xml version="1.0" encoding="utf-8"?>
<calcChain xmlns="http://schemas.openxmlformats.org/spreadsheetml/2006/main">
  <c r="B9" i="6" l="1"/>
  <c r="B6" i="6"/>
  <c r="B7" i="6" s="1"/>
  <c r="B8" i="6" s="1"/>
  <c r="G3" i="6"/>
  <c r="G2" i="6"/>
  <c r="G1" i="6"/>
  <c r="C4" i="6"/>
  <c r="C3" i="6"/>
  <c r="I29" i="7"/>
  <c r="G30" i="7"/>
  <c r="G41" i="7" s="1"/>
  <c r="G31" i="7"/>
  <c r="G32" i="7"/>
  <c r="G33" i="7"/>
  <c r="G34" i="7"/>
  <c r="G35" i="7"/>
  <c r="G36" i="7"/>
  <c r="F30" i="7"/>
  <c r="F31" i="7"/>
  <c r="F32" i="7"/>
  <c r="F33" i="7"/>
  <c r="F34" i="7"/>
  <c r="F35" i="7"/>
  <c r="F36" i="7"/>
  <c r="E30" i="7"/>
  <c r="E31" i="7"/>
  <c r="E32" i="7"/>
  <c r="E33" i="7"/>
  <c r="E34" i="7"/>
  <c r="E35" i="7"/>
  <c r="E36" i="7"/>
  <c r="D30" i="7"/>
  <c r="D31" i="7"/>
  <c r="D32" i="7"/>
  <c r="D40" i="7" s="1"/>
  <c r="D33" i="7"/>
  <c r="D34" i="7"/>
  <c r="D35" i="7"/>
  <c r="D36" i="7"/>
  <c r="C30" i="7"/>
  <c r="C31" i="7"/>
  <c r="C32" i="7"/>
  <c r="C33" i="7"/>
  <c r="C34" i="7"/>
  <c r="C35" i="7"/>
  <c r="C36" i="7"/>
  <c r="G29" i="7"/>
  <c r="F29" i="7"/>
  <c r="E29" i="7"/>
  <c r="E41" i="7" s="1"/>
  <c r="D29" i="7"/>
  <c r="C29" i="7"/>
  <c r="F21" i="7"/>
  <c r="G40" i="7"/>
  <c r="N13" i="7"/>
  <c r="N14" i="7"/>
  <c r="N15" i="7"/>
  <c r="N16" i="7"/>
  <c r="N17" i="7"/>
  <c r="N18" i="7"/>
  <c r="N19" i="7"/>
  <c r="N12" i="7"/>
  <c r="O13" i="7"/>
  <c r="O14" i="7"/>
  <c r="O15" i="7"/>
  <c r="O16" i="7"/>
  <c r="O17" i="7"/>
  <c r="O18" i="7"/>
  <c r="O19" i="7"/>
  <c r="O12" i="7"/>
  <c r="M13" i="7"/>
  <c r="M14" i="7"/>
  <c r="M15" i="7"/>
  <c r="M16" i="7"/>
  <c r="M17" i="7"/>
  <c r="M18" i="7"/>
  <c r="M19" i="7"/>
  <c r="M12" i="7"/>
  <c r="G11" i="7"/>
  <c r="G12" i="7"/>
  <c r="G13" i="7"/>
  <c r="G14" i="7"/>
  <c r="G15" i="7"/>
  <c r="G16" i="7"/>
  <c r="G17" i="7"/>
  <c r="G10" i="7"/>
  <c r="F11" i="7"/>
  <c r="F12" i="7"/>
  <c r="F13" i="7"/>
  <c r="F14" i="7"/>
  <c r="F15" i="7"/>
  <c r="F16" i="7"/>
  <c r="F17" i="7"/>
  <c r="F10" i="7"/>
  <c r="E11" i="7"/>
  <c r="E21" i="7" s="1"/>
  <c r="E12" i="7"/>
  <c r="E13" i="7"/>
  <c r="E14" i="7"/>
  <c r="E15" i="7"/>
  <c r="E16" i="7"/>
  <c r="E17" i="7"/>
  <c r="E10" i="7"/>
  <c r="D11" i="7"/>
  <c r="D12" i="7"/>
  <c r="D13" i="7"/>
  <c r="D14" i="7"/>
  <c r="D15" i="7"/>
  <c r="D16" i="7"/>
  <c r="D17" i="7"/>
  <c r="D10" i="7"/>
  <c r="D21" i="7"/>
  <c r="C11" i="7"/>
  <c r="C12" i="7"/>
  <c r="C13" i="7"/>
  <c r="C14" i="7"/>
  <c r="C15" i="7"/>
  <c r="C16" i="7"/>
  <c r="C17" i="7"/>
  <c r="C10" i="7"/>
  <c r="G8" i="7"/>
  <c r="F8" i="7"/>
  <c r="E8" i="7"/>
  <c r="D8" i="7"/>
  <c r="C8" i="7"/>
  <c r="D39" i="7"/>
  <c r="E39" i="7"/>
  <c r="F39" i="7"/>
  <c r="G39" i="7"/>
  <c r="C39" i="7"/>
  <c r="D20" i="7"/>
  <c r="E20" i="7"/>
  <c r="F20" i="7"/>
  <c r="G20" i="7"/>
  <c r="C20" i="7"/>
  <c r="G6" i="7"/>
  <c r="F6" i="7"/>
  <c r="E6" i="7"/>
  <c r="D6" i="7"/>
  <c r="C6" i="7"/>
  <c r="B11" i="7"/>
  <c r="B30" i="7" s="1"/>
  <c r="B12" i="7"/>
  <c r="B13" i="7"/>
  <c r="B14" i="7"/>
  <c r="B33" i="7" s="1"/>
  <c r="B15" i="7"/>
  <c r="B34" i="7" s="1"/>
  <c r="B16" i="7"/>
  <c r="B35" i="7" s="1"/>
  <c r="B17" i="7"/>
  <c r="B36" i="7" s="1"/>
  <c r="B10" i="7"/>
  <c r="C26" i="7"/>
  <c r="D26" i="7"/>
  <c r="E26" i="7"/>
  <c r="F26" i="7"/>
  <c r="G26" i="7"/>
  <c r="D28" i="7"/>
  <c r="E28" i="7"/>
  <c r="G28" i="7"/>
  <c r="B29" i="7"/>
  <c r="B31" i="7"/>
  <c r="B32" i="7"/>
  <c r="E13" i="5"/>
  <c r="E12" i="5"/>
  <c r="E14" i="5"/>
  <c r="E16" i="5"/>
  <c r="E15" i="5"/>
  <c r="F40" i="7" l="1"/>
  <c r="D41" i="7"/>
  <c r="C41" i="7"/>
  <c r="F41" i="7"/>
  <c r="E40" i="7"/>
  <c r="C40" i="7"/>
  <c r="G21" i="7"/>
  <c r="F28" i="7"/>
  <c r="G22" i="7"/>
  <c r="F22" i="7"/>
  <c r="E22" i="7"/>
  <c r="D22" i="7"/>
  <c r="C22" i="7"/>
  <c r="C28" i="7"/>
  <c r="C21" i="7"/>
  <c r="E7" i="7"/>
  <c r="E27" i="7" s="1"/>
  <c r="D7" i="7"/>
  <c r="D27" i="7" s="1"/>
  <c r="C7" i="7"/>
  <c r="C27" i="7" s="1"/>
  <c r="G7" i="7"/>
  <c r="G27" i="7" s="1"/>
  <c r="F7" i="7"/>
  <c r="F27" i="7" s="1"/>
  <c r="E17" i="5"/>
  <c r="I35" i="7" l="1"/>
  <c r="I31" i="7"/>
  <c r="I33" i="7"/>
  <c r="I34" i="7"/>
  <c r="H34" i="7"/>
  <c r="I36" i="7"/>
  <c r="I30" i="7"/>
  <c r="I32" i="7"/>
  <c r="H29" i="7"/>
  <c r="H32" i="7"/>
  <c r="H35" i="7"/>
  <c r="H30" i="7"/>
  <c r="H36" i="7"/>
  <c r="H31" i="7"/>
  <c r="H33" i="7"/>
  <c r="J36" i="7" l="1"/>
  <c r="J34" i="7"/>
  <c r="J33" i="7"/>
  <c r="J31" i="7"/>
  <c r="J35" i="7"/>
  <c r="L18" i="7" s="1"/>
  <c r="J30" i="7"/>
  <c r="L13" i="7" s="1"/>
  <c r="J32" i="7"/>
  <c r="J29" i="7"/>
  <c r="K29" i="7" l="1"/>
  <c r="L12" i="7"/>
  <c r="K32" i="7"/>
  <c r="L15" i="7"/>
  <c r="L14" i="7"/>
  <c r="L16" i="7"/>
  <c r="L17" i="7"/>
  <c r="L19" i="7"/>
  <c r="K30" i="7"/>
  <c r="K31" i="7"/>
  <c r="K33" i="7"/>
  <c r="K36" i="7"/>
  <c r="K35" i="7"/>
  <c r="K34" i="7"/>
  <c r="L25" i="7" l="1"/>
  <c r="L23" i="7"/>
</calcChain>
</file>

<file path=xl/sharedStrings.xml><?xml version="1.0" encoding="utf-8"?>
<sst xmlns="http://schemas.openxmlformats.org/spreadsheetml/2006/main" count="105" uniqueCount="73">
  <si>
    <t>ProductId</t>
  </si>
  <si>
    <t>ReviewCount</t>
  </si>
  <si>
    <t>Helpfulness</t>
  </si>
  <si>
    <t>Polarity</t>
  </si>
  <si>
    <t>Subjectivity</t>
  </si>
  <si>
    <t>Score</t>
  </si>
  <si>
    <t>B003B3OOPA</t>
  </si>
  <si>
    <t>B001EO5Q64</t>
  </si>
  <si>
    <t>B000KV61FC</t>
  </si>
  <si>
    <t>B000KV7ZGQ</t>
  </si>
  <si>
    <t>B001EO5U3I</t>
  </si>
  <si>
    <t>B008J1HO4C</t>
  </si>
  <si>
    <t>B004CLCEDE</t>
  </si>
  <si>
    <t>B002GJ9JWS</t>
  </si>
  <si>
    <t>Cost</t>
  </si>
  <si>
    <t xml:space="preserve">Nature's Way Organic Extra Virgin Coconut Oil, 16 Ounce </t>
  </si>
  <si>
    <t>Nutiva Organic Coconut Oil, Virgin, 15 Ounce (Pack of 2)</t>
  </si>
  <si>
    <t>Note: ProductId = ASIN</t>
  </si>
  <si>
    <t>PetSafe Busy Buddy Tug-A-Jug Meal Dispensing Dog Toy Small</t>
  </si>
  <si>
    <t>PetSafe Busy Buddy Tug-A-Jug Meal Dispensing Dog Toy Medium/Large</t>
  </si>
  <si>
    <t>Mccann's Steel Cut Oatmeal, 28-Ounce Tin (Pack of 4)</t>
  </si>
  <si>
    <t>Miracle Noodle Shirataki Angel Hair Pasta, 7 Ounce (Pack of 6)</t>
  </si>
  <si>
    <t>PB2 Powdered Peanut Butter,6.5 oz</t>
  </si>
  <si>
    <t>We have 5 criteria for choosing a product.</t>
  </si>
  <si>
    <t>Let's use the TOPSIS Method for solving which alternative.</t>
  </si>
  <si>
    <t>We also have a set of weights we'd received at this point.</t>
  </si>
  <si>
    <t>Criterion</t>
  </si>
  <si>
    <t>Goal</t>
  </si>
  <si>
    <t>Goal Weight</t>
  </si>
  <si>
    <t>Criterion Weight %</t>
  </si>
  <si>
    <t>B/C</t>
  </si>
  <si>
    <t>New Weights</t>
  </si>
  <si>
    <t>Goal Weights * Criterion Weights</t>
  </si>
  <si>
    <t>Marketing</t>
  </si>
  <si>
    <t>Effectiveness</t>
  </si>
  <si>
    <t>Financial</t>
  </si>
  <si>
    <t>NIS</t>
  </si>
  <si>
    <t>PIS</t>
  </si>
  <si>
    <t>Rank</t>
  </si>
  <si>
    <t>Relative Score C*</t>
  </si>
  <si>
    <t>S*</t>
  </si>
  <si>
    <t>Attribute Weights</t>
  </si>
  <si>
    <t>Attribute Name</t>
  </si>
  <si>
    <t>BENEFIT</t>
  </si>
  <si>
    <t>COST</t>
  </si>
  <si>
    <t>Input Weights</t>
  </si>
  <si>
    <t>ProductID</t>
  </si>
  <si>
    <t>Polarity of Reviews (-1 - Low to 1 - High)</t>
  </si>
  <si>
    <t>Helpfulness of Reviews 
(0 - Low to 1 - High)</t>
  </si>
  <si>
    <t>Subjectivity of Reviews
(0 - Low to 1 - High)</t>
  </si>
  <si>
    <t>Score/Rating
(1 - Low to 5 - High)</t>
  </si>
  <si>
    <t>Cost
(USD $)</t>
  </si>
  <si>
    <t>Product Name</t>
  </si>
  <si>
    <t>The Company would choose…</t>
  </si>
  <si>
    <r>
      <t>S</t>
    </r>
    <r>
      <rPr>
        <vertAlign val="superscript"/>
        <sz val="11"/>
        <rFont val="Calibri"/>
        <family val="2"/>
        <scheme val="minor"/>
      </rPr>
      <t>-</t>
    </r>
  </si>
  <si>
    <t>Its cost/unit is…</t>
  </si>
  <si>
    <t>Review Count</t>
  </si>
  <si>
    <t>Mean</t>
  </si>
  <si>
    <t>Std</t>
  </si>
  <si>
    <t>Weeks</t>
  </si>
  <si>
    <t>Retail Cost</t>
  </si>
  <si>
    <t>Shortage Cost</t>
  </si>
  <si>
    <t>Overage Cost</t>
  </si>
  <si>
    <t>SUM(4.21 - 4.21 * (2/3))</t>
  </si>
  <si>
    <t>SUM(4.21 * (2/3) - 4.21 * (1/2))</t>
  </si>
  <si>
    <t>O/S Ratio</t>
  </si>
  <si>
    <t>Φ(z)</t>
  </si>
  <si>
    <t>Q*</t>
  </si>
  <si>
    <t>ROUND(SUM(Cs / (Co + Cs)),2)</t>
  </si>
  <si>
    <t>ROUND(NORMSINV(O/S Ratio),2)</t>
  </si>
  <si>
    <t>CEILING.MATH(SUM(Mean + Φ(z) * Std))</t>
  </si>
  <si>
    <t>E(Cost)</t>
  </si>
  <si>
    <t>SUM(Q* * (4.21 * (2/3)))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</si>
</sst>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%"/>
    <numFmt numFmtId="169" formatCode="0.0000"/>
    <numFmt numFmtId="172" formatCode="_(* #,##0_);_(* \(#,##0\);_(* &quot;-&quot;??_);_(@_)"/>
    <numFmt numFmtId="174" formatCode="#,##0.0000_);\(#,##0.0000\)"/>
    <numFmt numFmtId="17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6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6" xfId="0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1" fillId="0" borderId="2" xfId="0" applyFont="1" applyBorder="1"/>
    <xf numFmtId="0" fontId="0" fillId="0" borderId="3" xfId="0" applyBorder="1"/>
    <xf numFmtId="0" fontId="1" fillId="0" borderId="1" xfId="0" applyFont="1" applyBorder="1"/>
    <xf numFmtId="0" fontId="1" fillId="0" borderId="4" xfId="0" applyFont="1" applyBorder="1"/>
    <xf numFmtId="9" fontId="0" fillId="0" borderId="0" xfId="0" applyNumberFormat="1"/>
    <xf numFmtId="9" fontId="0" fillId="0" borderId="3" xfId="0" applyNumberFormat="1" applyBorder="1"/>
    <xf numFmtId="9" fontId="0" fillId="0" borderId="9" xfId="0" applyNumberFormat="1" applyBorder="1"/>
    <xf numFmtId="0" fontId="0" fillId="0" borderId="10" xfId="0" applyBorder="1"/>
    <xf numFmtId="9" fontId="0" fillId="0" borderId="6" xfId="0" applyNumberFormat="1" applyBorder="1"/>
    <xf numFmtId="0" fontId="0" fillId="0" borderId="5" xfId="0" applyFont="1" applyBorder="1"/>
    <xf numFmtId="9" fontId="0" fillId="0" borderId="10" xfId="0" applyNumberFormat="1" applyBorder="1"/>
    <xf numFmtId="10" fontId="0" fillId="0" borderId="3" xfId="0" applyNumberFormat="1" applyBorder="1"/>
    <xf numFmtId="168" fontId="0" fillId="0" borderId="3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0" fontId="5" fillId="0" borderId="0" xfId="1" applyFont="1" applyBorder="1"/>
    <xf numFmtId="0" fontId="5" fillId="0" borderId="0" xfId="1" applyFont="1"/>
    <xf numFmtId="0" fontId="5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0" fontId="5" fillId="0" borderId="1" xfId="1" applyFont="1" applyBorder="1"/>
    <xf numFmtId="2" fontId="5" fillId="0" borderId="1" xfId="1" applyNumberFormat="1" applyFont="1" applyBorder="1"/>
    <xf numFmtId="2" fontId="5" fillId="0" borderId="0" xfId="1" applyNumberFormat="1" applyFont="1"/>
    <xf numFmtId="9" fontId="5" fillId="0" borderId="1" xfId="1" applyNumberFormat="1" applyFont="1" applyBorder="1"/>
    <xf numFmtId="0" fontId="5" fillId="0" borderId="1" xfId="1" applyFont="1" applyBorder="1" applyAlignment="1">
      <alignment wrapText="1"/>
    </xf>
    <xf numFmtId="0" fontId="1" fillId="0" borderId="1" xfId="1" applyFont="1" applyBorder="1"/>
    <xf numFmtId="0" fontId="1" fillId="0" borderId="1" xfId="1" applyFont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0" fontId="2" fillId="0" borderId="1" xfId="1" applyFont="1" applyBorder="1"/>
    <xf numFmtId="174" fontId="2" fillId="0" borderId="1" xfId="4" applyNumberFormat="1" applyFont="1" applyBorder="1"/>
    <xf numFmtId="39" fontId="2" fillId="0" borderId="1" xfId="4" applyNumberFormat="1" applyFont="1" applyBorder="1"/>
    <xf numFmtId="0" fontId="6" fillId="0" borderId="0" xfId="5" applyFont="1" applyFill="1" applyBorder="1" applyAlignment="1">
      <alignment wrapText="1"/>
    </xf>
    <xf numFmtId="169" fontId="5" fillId="0" borderId="0" xfId="1" applyNumberFormat="1" applyFont="1"/>
    <xf numFmtId="0" fontId="7" fillId="2" borderId="1" xfId="1" applyFont="1" applyFill="1" applyBorder="1" applyAlignment="1">
      <alignment wrapText="1"/>
    </xf>
    <xf numFmtId="0" fontId="1" fillId="2" borderId="1" xfId="1" applyFont="1" applyFill="1" applyBorder="1"/>
    <xf numFmtId="0" fontId="7" fillId="2" borderId="1" xfId="1" applyFont="1" applyFill="1" applyBorder="1"/>
    <xf numFmtId="0" fontId="2" fillId="0" borderId="0" xfId="1" applyFont="1" applyBorder="1"/>
    <xf numFmtId="172" fontId="2" fillId="0" borderId="0" xfId="4" applyNumberFormat="1" applyFont="1" applyBorder="1"/>
    <xf numFmtId="9" fontId="2" fillId="0" borderId="0" xfId="1" applyNumberFormat="1" applyFont="1" applyBorder="1"/>
    <xf numFmtId="0" fontId="7" fillId="0" borderId="1" xfId="1" applyFont="1" applyBorder="1" applyAlignment="1">
      <alignment wrapText="1"/>
    </xf>
    <xf numFmtId="168" fontId="7" fillId="0" borderId="1" xfId="1" applyNumberFormat="1" applyFont="1" applyBorder="1" applyAlignment="1">
      <alignment horizontal="center" wrapText="1"/>
    </xf>
    <xf numFmtId="0" fontId="7" fillId="0" borderId="1" xfId="1" applyFont="1" applyBorder="1"/>
    <xf numFmtId="0" fontId="5" fillId="3" borderId="1" xfId="1" applyFont="1" applyFill="1" applyBorder="1" applyAlignment="1">
      <alignment wrapText="1"/>
    </xf>
    <xf numFmtId="0" fontId="5" fillId="2" borderId="1" xfId="1" applyFont="1" applyFill="1" applyBorder="1" applyAlignment="1">
      <alignment wrapText="1"/>
    </xf>
    <xf numFmtId="169" fontId="5" fillId="0" borderId="1" xfId="1" applyNumberFormat="1" applyFont="1" applyBorder="1"/>
    <xf numFmtId="169" fontId="5" fillId="0" borderId="0" xfId="1" applyNumberFormat="1" applyFont="1" applyBorder="1"/>
    <xf numFmtId="0" fontId="9" fillId="0" borderId="0" xfId="1" applyFont="1"/>
    <xf numFmtId="44" fontId="9" fillId="0" borderId="0" xfId="1" applyNumberFormat="1" applyFont="1"/>
    <xf numFmtId="0" fontId="10" fillId="0" borderId="0" xfId="1" applyFont="1"/>
    <xf numFmtId="169" fontId="5" fillId="0" borderId="1" xfId="3" applyNumberFormat="1" applyFont="1" applyBorder="1"/>
    <xf numFmtId="44" fontId="0" fillId="0" borderId="0" xfId="0" applyNumberFormat="1"/>
    <xf numFmtId="39" fontId="0" fillId="0" borderId="0" xfId="0" applyNumberFormat="1" applyFont="1"/>
    <xf numFmtId="175" fontId="0" fillId="0" borderId="0" xfId="0" applyNumberFormat="1"/>
  </cellXfs>
  <cellStyles count="6">
    <cellStyle name="Comma 2" xfId="4" xr:uid="{BD9AA7B0-6516-4B8D-BB2C-12876639F2C8}"/>
    <cellStyle name="Currency 2" xfId="2" xr:uid="{23977804-7123-452E-83A6-08B246450AB0}"/>
    <cellStyle name="Normal" xfId="0" builtinId="0"/>
    <cellStyle name="Normal 2" xfId="1" xr:uid="{E1DC5285-793E-4CFD-AC2E-7BC77A38BF6A}"/>
    <cellStyle name="Normal_Sheet3" xfId="5" xr:uid="{C71AF7E8-1EC6-4C24-9445-958706EAB790}"/>
    <cellStyle name="Percent 2" xfId="3" xr:uid="{53150037-AD1F-49FF-8EE2-12E773D8A12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opLeftCell="C1" workbookViewId="0">
      <selection activeCell="D5" sqref="D5"/>
    </sheetView>
  </sheetViews>
  <sheetFormatPr defaultRowHeight="14.4" x14ac:dyDescent="0.3"/>
  <cols>
    <col min="2" max="2" width="12" bestFit="1" customWidth="1"/>
    <col min="3" max="3" width="12.109375" bestFit="1" customWidth="1"/>
    <col min="4" max="7" width="12" bestFit="1" customWidth="1"/>
    <col min="8" max="8" width="8.88671875" style="5"/>
    <col min="9" max="9" width="51.77734375" style="5" bestFit="1" customWidth="1"/>
  </cols>
  <sheetData>
    <row r="1" spans="1:10" x14ac:dyDescent="0.3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14</v>
      </c>
      <c r="I1" s="7" t="s">
        <v>52</v>
      </c>
      <c r="J1" s="2" t="s">
        <v>17</v>
      </c>
    </row>
    <row r="2" spans="1:10" x14ac:dyDescent="0.3">
      <c r="A2" s="6">
        <v>46205</v>
      </c>
      <c r="B2" t="s">
        <v>6</v>
      </c>
      <c r="C2">
        <v>623</v>
      </c>
      <c r="D2">
        <v>0.63579713832290097</v>
      </c>
      <c r="E2">
        <v>0.30088193358804011</v>
      </c>
      <c r="F2">
        <v>0.55227490749462749</v>
      </c>
      <c r="G2">
        <v>4.739967897271268</v>
      </c>
      <c r="H2" s="5">
        <v>12.59</v>
      </c>
      <c r="I2" s="8" t="s">
        <v>15</v>
      </c>
    </row>
    <row r="3" spans="1:10" x14ac:dyDescent="0.3">
      <c r="A3" s="1">
        <v>28624</v>
      </c>
      <c r="B3" t="s">
        <v>7</v>
      </c>
      <c r="C3">
        <v>567</v>
      </c>
      <c r="D3">
        <v>0.53862480821389602</v>
      </c>
      <c r="E3">
        <v>0.30492316280347959</v>
      </c>
      <c r="F3">
        <v>0.55860594151298448</v>
      </c>
      <c r="G3">
        <v>4.746031746031746</v>
      </c>
      <c r="H3" s="5">
        <v>16.059999999999999</v>
      </c>
      <c r="I3" s="8" t="s">
        <v>16</v>
      </c>
    </row>
    <row r="4" spans="1:10" x14ac:dyDescent="0.3">
      <c r="A4" s="1">
        <v>14398</v>
      </c>
      <c r="B4" t="s">
        <v>8</v>
      </c>
      <c r="C4">
        <v>556</v>
      </c>
      <c r="D4">
        <v>0.51074815002555163</v>
      </c>
      <c r="E4">
        <v>0.117900225892984</v>
      </c>
      <c r="F4">
        <v>0.49338713134453921</v>
      </c>
      <c r="G4">
        <v>3.4118705035971222</v>
      </c>
      <c r="H4" s="5">
        <v>9.9499999999999993</v>
      </c>
      <c r="I4" s="8" t="s">
        <v>18</v>
      </c>
    </row>
    <row r="5" spans="1:10" x14ac:dyDescent="0.3">
      <c r="A5" s="1">
        <v>14399</v>
      </c>
      <c r="B5" t="s">
        <v>9</v>
      </c>
      <c r="C5">
        <v>556</v>
      </c>
      <c r="D5">
        <v>0.51074815002555163</v>
      </c>
      <c r="E5">
        <v>0.117900225892984</v>
      </c>
      <c r="F5">
        <v>0.49338713134453921</v>
      </c>
      <c r="G5">
        <v>3.4118705035971222</v>
      </c>
      <c r="H5" s="5">
        <v>14.95</v>
      </c>
      <c r="I5" s="8" t="s">
        <v>19</v>
      </c>
    </row>
    <row r="6" spans="1:10" x14ac:dyDescent="0.3">
      <c r="A6" s="1">
        <v>28745</v>
      </c>
      <c r="B6" t="s">
        <v>10</v>
      </c>
      <c r="C6">
        <v>356</v>
      </c>
      <c r="D6">
        <v>0.57363520683100344</v>
      </c>
      <c r="E6">
        <v>0.25225741578604027</v>
      </c>
      <c r="F6">
        <v>0.50443432724160719</v>
      </c>
      <c r="G6">
        <v>4.6825842696629216</v>
      </c>
      <c r="H6">
        <v>33.49</v>
      </c>
      <c r="I6" s="8" t="s">
        <v>20</v>
      </c>
    </row>
    <row r="7" spans="1:10" x14ac:dyDescent="0.3">
      <c r="A7" s="1">
        <v>73390</v>
      </c>
      <c r="B7" t="s">
        <v>11</v>
      </c>
      <c r="C7">
        <v>356</v>
      </c>
      <c r="D7">
        <v>0.57363520683100344</v>
      </c>
      <c r="E7">
        <v>0.25225741578604027</v>
      </c>
      <c r="F7">
        <v>0.50443432724160719</v>
      </c>
      <c r="G7">
        <v>4.6825842696629216</v>
      </c>
      <c r="H7">
        <v>29.76</v>
      </c>
      <c r="I7" s="8" t="s">
        <v>20</v>
      </c>
    </row>
    <row r="8" spans="1:10" x14ac:dyDescent="0.3">
      <c r="A8" s="1">
        <v>56129</v>
      </c>
      <c r="B8" t="s">
        <v>12</v>
      </c>
      <c r="C8">
        <v>324</v>
      </c>
      <c r="D8">
        <v>0.62532732454557505</v>
      </c>
      <c r="E8">
        <v>0.11693037119810069</v>
      </c>
      <c r="F8">
        <v>0.5459164805569332</v>
      </c>
      <c r="G8">
        <v>3.5092592592592591</v>
      </c>
      <c r="H8">
        <v>21.83</v>
      </c>
      <c r="I8" s="8" t="s">
        <v>21</v>
      </c>
    </row>
    <row r="9" spans="1:10" x14ac:dyDescent="0.3">
      <c r="A9" s="1">
        <v>40282</v>
      </c>
      <c r="B9" t="s">
        <v>13</v>
      </c>
      <c r="C9">
        <v>310</v>
      </c>
      <c r="D9">
        <v>0.58316669055563053</v>
      </c>
      <c r="E9">
        <v>0.27197847895211907</v>
      </c>
      <c r="F9">
        <v>0.54981877227769771</v>
      </c>
      <c r="G9">
        <v>4.467741935483871</v>
      </c>
      <c r="H9">
        <v>4.21</v>
      </c>
      <c r="I9" s="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6DFF-0623-4A21-8229-1862C441D1E6}">
  <dimension ref="A1:F17"/>
  <sheetViews>
    <sheetView workbookViewId="0">
      <selection activeCell="D11" sqref="D11:F16"/>
    </sheetView>
  </sheetViews>
  <sheetFormatPr defaultRowHeight="14.4" x14ac:dyDescent="0.3"/>
  <cols>
    <col min="2" max="2" width="21" bestFit="1" customWidth="1"/>
    <col min="3" max="3" width="11.21875" bestFit="1" customWidth="1"/>
    <col min="4" max="4" width="10.33203125" bestFit="1" customWidth="1"/>
    <col min="5" max="5" width="16.6640625" bestFit="1" customWidth="1"/>
  </cols>
  <sheetData>
    <row r="1" spans="1:6" x14ac:dyDescent="0.3">
      <c r="A1" t="s">
        <v>23</v>
      </c>
      <c r="F1" s="2" t="s">
        <v>24</v>
      </c>
    </row>
    <row r="2" spans="1:6" x14ac:dyDescent="0.3">
      <c r="A2" t="s">
        <v>25</v>
      </c>
    </row>
    <row r="3" spans="1:6" x14ac:dyDescent="0.3">
      <c r="B3" s="16" t="s">
        <v>27</v>
      </c>
      <c r="C3" s="17" t="s">
        <v>28</v>
      </c>
      <c r="D3" s="14" t="s">
        <v>26</v>
      </c>
      <c r="E3" s="16" t="s">
        <v>29</v>
      </c>
      <c r="F3" s="17" t="s">
        <v>30</v>
      </c>
    </row>
    <row r="4" spans="1:6" x14ac:dyDescent="0.3">
      <c r="B4" s="21" t="s">
        <v>33</v>
      </c>
      <c r="C4" s="22">
        <v>0.3</v>
      </c>
      <c r="D4" s="23" t="s">
        <v>2</v>
      </c>
      <c r="E4" s="24">
        <v>0.7</v>
      </c>
      <c r="F4" s="10" t="s">
        <v>43</v>
      </c>
    </row>
    <row r="5" spans="1:6" x14ac:dyDescent="0.3">
      <c r="B5" s="15"/>
      <c r="C5" s="13"/>
      <c r="D5" s="12" t="s">
        <v>4</v>
      </c>
      <c r="E5" s="19">
        <v>0.3</v>
      </c>
      <c r="F5" s="13" t="s">
        <v>44</v>
      </c>
    </row>
    <row r="6" spans="1:6" x14ac:dyDescent="0.3">
      <c r="B6" s="21" t="s">
        <v>34</v>
      </c>
      <c r="C6" s="22">
        <v>0.4</v>
      </c>
      <c r="D6" s="23" t="s">
        <v>3</v>
      </c>
      <c r="E6" s="24">
        <v>0.4</v>
      </c>
      <c r="F6" s="10" t="s">
        <v>43</v>
      </c>
    </row>
    <row r="7" spans="1:6" x14ac:dyDescent="0.3">
      <c r="B7" s="15"/>
      <c r="C7" s="13"/>
      <c r="D7" s="12" t="s">
        <v>5</v>
      </c>
      <c r="E7" s="19">
        <v>0.6</v>
      </c>
      <c r="F7" s="13" t="s">
        <v>43</v>
      </c>
    </row>
    <row r="8" spans="1:6" x14ac:dyDescent="0.3">
      <c r="B8" s="15" t="s">
        <v>35</v>
      </c>
      <c r="C8" s="20">
        <v>0.3</v>
      </c>
      <c r="D8" s="12" t="s">
        <v>14</v>
      </c>
      <c r="E8" s="19">
        <v>1</v>
      </c>
      <c r="F8" s="13" t="s">
        <v>44</v>
      </c>
    </row>
    <row r="10" spans="1:6" x14ac:dyDescent="0.3">
      <c r="B10" s="2" t="s">
        <v>32</v>
      </c>
      <c r="D10" s="2" t="s">
        <v>31</v>
      </c>
    </row>
    <row r="11" spans="1:6" x14ac:dyDescent="0.3">
      <c r="D11" s="14" t="s">
        <v>26</v>
      </c>
      <c r="E11" s="16" t="s">
        <v>29</v>
      </c>
      <c r="F11" s="17" t="s">
        <v>30</v>
      </c>
    </row>
    <row r="12" spans="1:6" x14ac:dyDescent="0.3">
      <c r="D12" s="11" t="s">
        <v>2</v>
      </c>
      <c r="E12" s="28">
        <f t="shared" ref="E12:E13" si="0">SUM(C4*E4)</f>
        <v>0.21</v>
      </c>
      <c r="F12" s="10" t="s">
        <v>43</v>
      </c>
    </row>
    <row r="13" spans="1:6" x14ac:dyDescent="0.3">
      <c r="D13" s="12" t="s">
        <v>4</v>
      </c>
      <c r="E13" s="25">
        <f>SUM(C4*E5)</f>
        <v>0.09</v>
      </c>
      <c r="F13" s="13" t="s">
        <v>44</v>
      </c>
    </row>
    <row r="14" spans="1:6" x14ac:dyDescent="0.3">
      <c r="D14" s="23" t="s">
        <v>3</v>
      </c>
      <c r="E14" s="27">
        <f>SUM(C6*E6)</f>
        <v>0.16000000000000003</v>
      </c>
      <c r="F14" s="10" t="s">
        <v>43</v>
      </c>
    </row>
    <row r="15" spans="1:6" x14ac:dyDescent="0.3">
      <c r="D15" s="12" t="s">
        <v>5</v>
      </c>
      <c r="E15" s="25">
        <f>SUM(C6*E7)</f>
        <v>0.24</v>
      </c>
      <c r="F15" s="13" t="s">
        <v>43</v>
      </c>
    </row>
    <row r="16" spans="1:6" x14ac:dyDescent="0.3">
      <c r="D16" s="12" t="s">
        <v>14</v>
      </c>
      <c r="E16" s="26">
        <f>SUM(C8*E8)</f>
        <v>0.3</v>
      </c>
      <c r="F16" s="13" t="s">
        <v>44</v>
      </c>
    </row>
    <row r="17" spans="5:5" x14ac:dyDescent="0.3">
      <c r="E17" s="18">
        <f>SUM(E12:E16)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577F-7B56-43FB-9A06-AB7329F6E1EC}">
  <dimension ref="A1:P41"/>
  <sheetViews>
    <sheetView topLeftCell="K4" workbookViewId="0">
      <selection activeCell="P25" sqref="P25"/>
    </sheetView>
  </sheetViews>
  <sheetFormatPr defaultColWidth="9.109375" defaultRowHeight="14.4" x14ac:dyDescent="0.3"/>
  <cols>
    <col min="1" max="1" width="11" style="29" customWidth="1"/>
    <col min="2" max="2" width="15.88671875" style="30" bestFit="1" customWidth="1"/>
    <col min="3" max="3" width="10.5546875" style="30" customWidth="1"/>
    <col min="4" max="4" width="10.6640625" style="30" customWidth="1"/>
    <col min="5" max="5" width="9.5546875" style="30" bestFit="1" customWidth="1"/>
    <col min="6" max="6" width="12" style="30" customWidth="1"/>
    <col min="7" max="7" width="9.21875" style="30" bestFit="1" customWidth="1"/>
    <col min="8" max="9" width="6.44140625" style="30" bestFit="1" customWidth="1"/>
    <col min="10" max="10" width="9.21875" style="30" customWidth="1"/>
    <col min="11" max="11" width="5.77734375" style="30" customWidth="1"/>
    <col min="12" max="12" width="11.44140625" style="30" customWidth="1"/>
    <col min="13" max="13" width="12" style="30" bestFit="1" customWidth="1"/>
    <col min="14" max="14" width="10.77734375" style="30" customWidth="1"/>
    <col min="15" max="15" width="59.5546875" style="30" bestFit="1" customWidth="1"/>
    <col min="16" max="16" width="9.109375" style="30" customWidth="1"/>
    <col min="17" max="16384" width="9.109375" style="30"/>
  </cols>
  <sheetData>
    <row r="1" spans="1:15" x14ac:dyDescent="0.3">
      <c r="M1" s="29"/>
      <c r="N1" s="29"/>
    </row>
    <row r="2" spans="1:15" x14ac:dyDescent="0.3">
      <c r="M2" s="29"/>
      <c r="N2" s="29"/>
    </row>
    <row r="3" spans="1:15" s="32" customFormat="1" x14ac:dyDescent="0.3">
      <c r="A3" s="31"/>
      <c r="M3" s="29"/>
      <c r="N3" s="29"/>
    </row>
    <row r="4" spans="1:15" x14ac:dyDescent="0.3">
      <c r="M4" s="29"/>
      <c r="N4" s="29"/>
    </row>
    <row r="5" spans="1:15" x14ac:dyDescent="0.3">
      <c r="M5" s="29"/>
      <c r="N5" s="29"/>
    </row>
    <row r="6" spans="1:15" x14ac:dyDescent="0.3">
      <c r="B6" s="54" t="s">
        <v>45</v>
      </c>
      <c r="C6" s="34">
        <f>SUM('MCDM Sheet'!E12 *100)</f>
        <v>21</v>
      </c>
      <c r="D6" s="34">
        <f>SUM('MCDM Sheet'!E13 * 100)</f>
        <v>9</v>
      </c>
      <c r="E6" s="34">
        <f>SUM('MCDM Sheet'!E14 * 100)</f>
        <v>16.000000000000004</v>
      </c>
      <c r="F6" s="34">
        <f>SUM('MCDM Sheet'!E15 * 100)</f>
        <v>24</v>
      </c>
      <c r="G6" s="34">
        <f>SUM('MCDM Sheet'!E16 * 100)</f>
        <v>30</v>
      </c>
      <c r="H6" s="35"/>
      <c r="M6" s="29"/>
      <c r="N6" s="29"/>
    </row>
    <row r="7" spans="1:15" x14ac:dyDescent="0.3">
      <c r="B7" s="54" t="s">
        <v>41</v>
      </c>
      <c r="C7" s="36">
        <f>+C6/SUM($C$6:$G$6)</f>
        <v>0.21</v>
      </c>
      <c r="D7" s="36">
        <f>+D6/SUM($C$6:$G$6)</f>
        <v>0.09</v>
      </c>
      <c r="E7" s="36">
        <f>+E6/SUM($C$6:$G$6)</f>
        <v>0.16000000000000003</v>
      </c>
      <c r="F7" s="36">
        <f>+F6/SUM($C$6:$G$6)</f>
        <v>0.24</v>
      </c>
      <c r="G7" s="36">
        <f>+G6/SUM($C$6:$G$6)</f>
        <v>0.3</v>
      </c>
      <c r="M7" s="29"/>
      <c r="N7" s="29"/>
    </row>
    <row r="8" spans="1:15" s="32" customFormat="1" x14ac:dyDescent="0.3">
      <c r="A8" s="31"/>
      <c r="B8" s="37"/>
      <c r="C8" s="37" t="str">
        <f>'MCDM Sheet'!F12</f>
        <v>BENEFIT</v>
      </c>
      <c r="D8" s="37" t="str">
        <f>'MCDM Sheet'!F13</f>
        <v>COST</v>
      </c>
      <c r="E8" s="37" t="str">
        <f>'MCDM Sheet'!F14</f>
        <v>BENEFIT</v>
      </c>
      <c r="F8" s="37" t="str">
        <f>'MCDM Sheet'!F15</f>
        <v>BENEFIT</v>
      </c>
      <c r="G8" s="37" t="str">
        <f>'MCDM Sheet'!F16</f>
        <v>COST</v>
      </c>
      <c r="M8" s="29"/>
      <c r="N8" s="29"/>
    </row>
    <row r="9" spans="1:15" s="32" customFormat="1" ht="60" customHeight="1" x14ac:dyDescent="0.3">
      <c r="A9" s="31"/>
      <c r="B9" s="38" t="s">
        <v>46</v>
      </c>
      <c r="C9" s="39" t="s">
        <v>48</v>
      </c>
      <c r="D9" s="39" t="s">
        <v>49</v>
      </c>
      <c r="E9" s="40" t="s">
        <v>47</v>
      </c>
      <c r="F9" s="39" t="s">
        <v>50</v>
      </c>
      <c r="G9" s="39" t="s">
        <v>51</v>
      </c>
      <c r="M9" s="31"/>
      <c r="N9" s="31"/>
    </row>
    <row r="10" spans="1:15" x14ac:dyDescent="0.3">
      <c r="B10" s="41" t="str">
        <f>Data!B2</f>
        <v>B003B3OOPA</v>
      </c>
      <c r="C10" s="42">
        <f>Data!D2</f>
        <v>0.63579713832290097</v>
      </c>
      <c r="D10" s="42">
        <f>Data!F2</f>
        <v>0.55227490749462749</v>
      </c>
      <c r="E10" s="42">
        <f>Data!E2</f>
        <v>0.30088193358804011</v>
      </c>
      <c r="F10" s="42">
        <f>Data!G2</f>
        <v>4.739967897271268</v>
      </c>
      <c r="G10" s="43">
        <f>Data!H2</f>
        <v>12.59</v>
      </c>
    </row>
    <row r="11" spans="1:15" x14ac:dyDescent="0.3">
      <c r="A11" s="44"/>
      <c r="B11" s="41" t="str">
        <f>Data!B3</f>
        <v>B001EO5Q64</v>
      </c>
      <c r="C11" s="42">
        <f>Data!D3</f>
        <v>0.53862480821389602</v>
      </c>
      <c r="D11" s="42">
        <f>Data!F3</f>
        <v>0.55860594151298448</v>
      </c>
      <c r="E11" s="42">
        <f>Data!E3</f>
        <v>0.30492316280347959</v>
      </c>
      <c r="F11" s="42">
        <f>Data!G3</f>
        <v>4.746031746031746</v>
      </c>
      <c r="G11" s="43">
        <f>Data!H3</f>
        <v>16.059999999999999</v>
      </c>
      <c r="H11" s="45"/>
      <c r="L11" s="46" t="s">
        <v>38</v>
      </c>
      <c r="M11" s="47" t="s">
        <v>46</v>
      </c>
      <c r="N11" s="47" t="s">
        <v>14</v>
      </c>
      <c r="O11" s="48" t="s">
        <v>52</v>
      </c>
    </row>
    <row r="12" spans="1:15" x14ac:dyDescent="0.3">
      <c r="A12" s="44"/>
      <c r="B12" s="41" t="str">
        <f>Data!B4</f>
        <v>B000KV61FC</v>
      </c>
      <c r="C12" s="42">
        <f>Data!D4</f>
        <v>0.51074815002555163</v>
      </c>
      <c r="D12" s="42">
        <f>Data!F4</f>
        <v>0.49338713134453921</v>
      </c>
      <c r="E12" s="42">
        <f>Data!E4</f>
        <v>0.117900225892984</v>
      </c>
      <c r="F12" s="42">
        <f>Data!G4</f>
        <v>3.4118705035971222</v>
      </c>
      <c r="G12" s="43">
        <f>Data!H4</f>
        <v>9.9499999999999993</v>
      </c>
      <c r="H12" s="45"/>
      <c r="L12" s="33">
        <f>RANK(J29,J$29:J$36,0)</f>
        <v>2</v>
      </c>
      <c r="M12" s="41" t="str">
        <f>Data!B2</f>
        <v>B003B3OOPA</v>
      </c>
      <c r="N12" s="41">
        <f>Data!H2</f>
        <v>12.59</v>
      </c>
      <c r="O12" s="33" t="str">
        <f>Data!I2</f>
        <v xml:space="preserve">Nature's Way Organic Extra Virgin Coconut Oil, 16 Ounce </v>
      </c>
    </row>
    <row r="13" spans="1:15" x14ac:dyDescent="0.3">
      <c r="A13" s="44"/>
      <c r="B13" s="41" t="str">
        <f>Data!B5</f>
        <v>B000KV7ZGQ</v>
      </c>
      <c r="C13" s="42">
        <f>Data!D5</f>
        <v>0.51074815002555163</v>
      </c>
      <c r="D13" s="42">
        <f>Data!F5</f>
        <v>0.49338713134453921</v>
      </c>
      <c r="E13" s="42">
        <f>Data!E5</f>
        <v>0.117900225892984</v>
      </c>
      <c r="F13" s="42">
        <f>Data!G5</f>
        <v>3.4118705035971222</v>
      </c>
      <c r="G13" s="43">
        <f>Data!H5</f>
        <v>14.95</v>
      </c>
      <c r="H13" s="45"/>
      <c r="L13" s="33">
        <f t="shared" ref="L13:L19" si="0">RANK(J30,J$29:J$36,0)</f>
        <v>4</v>
      </c>
      <c r="M13" s="41" t="str">
        <f>Data!B3</f>
        <v>B001EO5Q64</v>
      </c>
      <c r="N13" s="41">
        <f>Data!H3</f>
        <v>16.059999999999999</v>
      </c>
      <c r="O13" s="33" t="str">
        <f>Data!I3</f>
        <v>Nutiva Organic Coconut Oil, Virgin, 15 Ounce (Pack of 2)</v>
      </c>
    </row>
    <row r="14" spans="1:15" x14ac:dyDescent="0.3">
      <c r="A14" s="44"/>
      <c r="B14" s="41" t="str">
        <f>Data!B6</f>
        <v>B001EO5U3I</v>
      </c>
      <c r="C14" s="42">
        <f>Data!D6</f>
        <v>0.57363520683100344</v>
      </c>
      <c r="D14" s="42">
        <f>Data!F6</f>
        <v>0.50443432724160719</v>
      </c>
      <c r="E14" s="42">
        <f>Data!E6</f>
        <v>0.25225741578604027</v>
      </c>
      <c r="F14" s="42">
        <f>Data!G6</f>
        <v>4.6825842696629216</v>
      </c>
      <c r="G14" s="43">
        <f>Data!H6</f>
        <v>33.49</v>
      </c>
      <c r="H14" s="45"/>
      <c r="L14" s="33">
        <f t="shared" si="0"/>
        <v>3</v>
      </c>
      <c r="M14" s="41" t="str">
        <f>Data!B4</f>
        <v>B000KV61FC</v>
      </c>
      <c r="N14" s="41">
        <f>Data!H4</f>
        <v>9.9499999999999993</v>
      </c>
      <c r="O14" s="33" t="str">
        <f>Data!I4</f>
        <v>PetSafe Busy Buddy Tug-A-Jug Meal Dispensing Dog Toy Small</v>
      </c>
    </row>
    <row r="15" spans="1:15" x14ac:dyDescent="0.3">
      <c r="A15" s="44"/>
      <c r="B15" s="41" t="str">
        <f>Data!B7</f>
        <v>B008J1HO4C</v>
      </c>
      <c r="C15" s="42">
        <f>Data!D7</f>
        <v>0.57363520683100344</v>
      </c>
      <c r="D15" s="42">
        <f>Data!F7</f>
        <v>0.50443432724160719</v>
      </c>
      <c r="E15" s="42">
        <f>Data!E7</f>
        <v>0.25225741578604027</v>
      </c>
      <c r="F15" s="42">
        <f>Data!G7</f>
        <v>4.6825842696629216</v>
      </c>
      <c r="G15" s="43">
        <f>Data!H7</f>
        <v>29.76</v>
      </c>
      <c r="H15" s="45"/>
      <c r="L15" s="33">
        <f t="shared" si="0"/>
        <v>5</v>
      </c>
      <c r="M15" s="41" t="str">
        <f>Data!B5</f>
        <v>B000KV7ZGQ</v>
      </c>
      <c r="N15" s="41">
        <f>Data!H5</f>
        <v>14.95</v>
      </c>
      <c r="O15" s="33" t="str">
        <f>Data!I5</f>
        <v>PetSafe Busy Buddy Tug-A-Jug Meal Dispensing Dog Toy Medium/Large</v>
      </c>
    </row>
    <row r="16" spans="1:15" x14ac:dyDescent="0.3">
      <c r="A16" s="44"/>
      <c r="B16" s="41" t="str">
        <f>Data!B8</f>
        <v>B004CLCEDE</v>
      </c>
      <c r="C16" s="42">
        <f>Data!D8</f>
        <v>0.62532732454557505</v>
      </c>
      <c r="D16" s="42">
        <f>Data!F8</f>
        <v>0.5459164805569332</v>
      </c>
      <c r="E16" s="42">
        <f>Data!E8</f>
        <v>0.11693037119810069</v>
      </c>
      <c r="F16" s="42">
        <f>Data!G8</f>
        <v>3.5092592592592591</v>
      </c>
      <c r="G16" s="43">
        <f>Data!H8</f>
        <v>21.83</v>
      </c>
      <c r="H16" s="45"/>
      <c r="L16" s="33">
        <f t="shared" si="0"/>
        <v>8</v>
      </c>
      <c r="M16" s="41" t="str">
        <f>Data!B6</f>
        <v>B001EO5U3I</v>
      </c>
      <c r="N16" s="41">
        <f>Data!H6</f>
        <v>33.49</v>
      </c>
      <c r="O16" s="33" t="str">
        <f>Data!I6</f>
        <v>Mccann's Steel Cut Oatmeal, 28-Ounce Tin (Pack of 4)</v>
      </c>
    </row>
    <row r="17" spans="1:16" x14ac:dyDescent="0.3">
      <c r="A17" s="44"/>
      <c r="B17" s="41" t="str">
        <f>Data!B9</f>
        <v>B002GJ9JWS</v>
      </c>
      <c r="C17" s="42">
        <f>Data!D9</f>
        <v>0.58316669055563053</v>
      </c>
      <c r="D17" s="42">
        <f>Data!F9</f>
        <v>0.54981877227769771</v>
      </c>
      <c r="E17" s="42">
        <f>Data!E9</f>
        <v>0.27197847895211907</v>
      </c>
      <c r="F17" s="42">
        <f>Data!G9</f>
        <v>4.467741935483871</v>
      </c>
      <c r="G17" s="43">
        <f>Data!H9</f>
        <v>4.21</v>
      </c>
      <c r="H17" s="45"/>
      <c r="L17" s="33">
        <f t="shared" si="0"/>
        <v>7</v>
      </c>
      <c r="M17" s="41" t="str">
        <f>Data!B7</f>
        <v>B008J1HO4C</v>
      </c>
      <c r="N17" s="41">
        <f>Data!H7</f>
        <v>29.76</v>
      </c>
      <c r="O17" s="33" t="str">
        <f>Data!I7</f>
        <v>Mccann's Steel Cut Oatmeal, 28-Ounce Tin (Pack of 4)</v>
      </c>
    </row>
    <row r="18" spans="1:16" x14ac:dyDescent="0.3">
      <c r="B18" s="49"/>
      <c r="C18" s="50"/>
      <c r="D18" s="50"/>
      <c r="E18" s="51"/>
      <c r="F18" s="51"/>
      <c r="G18" s="51"/>
      <c r="L18" s="33">
        <f t="shared" si="0"/>
        <v>6</v>
      </c>
      <c r="M18" s="41" t="str">
        <f>Data!B8</f>
        <v>B004CLCEDE</v>
      </c>
      <c r="N18" s="41">
        <f>Data!H8</f>
        <v>21.83</v>
      </c>
      <c r="O18" s="33" t="str">
        <f>Data!I8</f>
        <v>Miracle Noodle Shirataki Angel Hair Pasta, 7 Ounce (Pack of 6)</v>
      </c>
    </row>
    <row r="19" spans="1:16" x14ac:dyDescent="0.3">
      <c r="B19" s="49"/>
      <c r="C19" s="50"/>
      <c r="D19" s="50"/>
      <c r="E19" s="51"/>
      <c r="F19" s="51"/>
      <c r="G19" s="51"/>
      <c r="L19" s="33">
        <f t="shared" si="0"/>
        <v>1</v>
      </c>
      <c r="M19" s="41" t="str">
        <f>Data!B9</f>
        <v>B002GJ9JWS</v>
      </c>
      <c r="N19" s="41">
        <f>Data!H9</f>
        <v>4.21</v>
      </c>
      <c r="O19" s="33" t="str">
        <f>Data!I9</f>
        <v>PB2 Powdered Peanut Butter,6.5 oz</v>
      </c>
    </row>
    <row r="20" spans="1:16" ht="60" customHeight="1" x14ac:dyDescent="0.3">
      <c r="C20" s="39" t="str">
        <f>+C9</f>
        <v>Helpfulness of Reviews 
(0 - Low to 1 - High)</v>
      </c>
      <c r="D20" s="39" t="str">
        <f t="shared" ref="D20:G20" si="1">+D9</f>
        <v>Subjectivity of Reviews
(0 - Low to 1 - High)</v>
      </c>
      <c r="E20" s="39" t="str">
        <f t="shared" si="1"/>
        <v>Polarity of Reviews (-1 - Low to 1 - High)</v>
      </c>
      <c r="F20" s="39" t="str">
        <f t="shared" si="1"/>
        <v>Score/Rating
(1 - Low to 5 - High)</v>
      </c>
      <c r="G20" s="39" t="str">
        <f t="shared" si="1"/>
        <v>Cost
(USD $)</v>
      </c>
    </row>
    <row r="21" spans="1:16" x14ac:dyDescent="0.3">
      <c r="B21" s="33" t="s">
        <v>37</v>
      </c>
      <c r="C21" s="62">
        <f t="shared" ref="C21:F21" si="2">IF(C8="BENEFIT",MAX(C10:C17),IF(C8="COST",MIN(C10:C17)))</f>
        <v>0.63579713832290097</v>
      </c>
      <c r="D21" s="62">
        <f t="shared" si="2"/>
        <v>0.49338713134453921</v>
      </c>
      <c r="E21" s="62">
        <f t="shared" si="2"/>
        <v>0.30492316280347959</v>
      </c>
      <c r="F21" s="62">
        <f>IF(F8="BENEFIT",MAX(F10:F17),IF(F8="COST",MIN(F10:F17)))</f>
        <v>4.746031746031746</v>
      </c>
      <c r="G21" s="62">
        <f>IF(G8="BENEFIT",MAX(G10:G17),IF(G8="COST",MIN(G10:G17)))</f>
        <v>4.21</v>
      </c>
    </row>
    <row r="22" spans="1:16" x14ac:dyDescent="0.3">
      <c r="B22" s="33" t="s">
        <v>36</v>
      </c>
      <c r="C22" s="62">
        <f t="shared" ref="C22:F22" si="3">IF(C8="BENEFIT",MIN(C10:C17),MAX(C10:C17))</f>
        <v>0.51074815002555163</v>
      </c>
      <c r="D22" s="62">
        <f t="shared" si="3"/>
        <v>0.55860594151298448</v>
      </c>
      <c r="E22" s="62">
        <f t="shared" si="3"/>
        <v>0.11693037119810069</v>
      </c>
      <c r="F22" s="62">
        <f t="shared" si="3"/>
        <v>3.4118705035971222</v>
      </c>
      <c r="G22" s="62">
        <f>IF(G8="BENEFIT",MIN(G10:G17),MAX(G10:G17))</f>
        <v>33.49</v>
      </c>
      <c r="L22" s="61" t="s">
        <v>53</v>
      </c>
      <c r="P22" s="30" t="s">
        <v>53</v>
      </c>
    </row>
    <row r="23" spans="1:16" ht="21" x14ac:dyDescent="0.4">
      <c r="L23" s="59" t="str">
        <f>INDEX(O12:O19,MATCH(MIN(L12:L19),L12:L19,0))</f>
        <v>PB2 Powdered Peanut Butter,6.5 oz</v>
      </c>
      <c r="P23" s="30" t="s">
        <v>22</v>
      </c>
    </row>
    <row r="24" spans="1:16" x14ac:dyDescent="0.3">
      <c r="L24" s="61" t="s">
        <v>55</v>
      </c>
      <c r="P24" s="30" t="s">
        <v>55</v>
      </c>
    </row>
    <row r="25" spans="1:16" ht="21" x14ac:dyDescent="0.4">
      <c r="L25" s="60">
        <f>INDEX(N12:N19,MATCH(MIN(L12:L19),L12:L19,0))</f>
        <v>4.21</v>
      </c>
      <c r="P25" s="30">
        <v>4.21</v>
      </c>
    </row>
    <row r="26" spans="1:16" s="32" customFormat="1" ht="60" customHeight="1" x14ac:dyDescent="0.3">
      <c r="A26" s="31"/>
      <c r="B26" s="52" t="s">
        <v>42</v>
      </c>
      <c r="C26" s="53" t="str">
        <f>+C9</f>
        <v>Helpfulness of Reviews 
(0 - Low to 1 - High)</v>
      </c>
      <c r="D26" s="53" t="str">
        <f>+D9</f>
        <v>Subjectivity of Reviews
(0 - Low to 1 - High)</v>
      </c>
      <c r="E26" s="53" t="str">
        <f>+E9</f>
        <v>Polarity of Reviews (-1 - Low to 1 - High)</v>
      </c>
      <c r="F26" s="53" t="str">
        <f>+F9</f>
        <v>Score/Rating
(1 - Low to 5 - High)</v>
      </c>
      <c r="G26" s="53" t="str">
        <f>+G9</f>
        <v>Cost
(USD $)</v>
      </c>
    </row>
    <row r="27" spans="1:16" x14ac:dyDescent="0.3">
      <c r="B27" s="54" t="s">
        <v>41</v>
      </c>
      <c r="C27" s="36">
        <f>+C7</f>
        <v>0.21</v>
      </c>
      <c r="D27" s="36">
        <f>+D7</f>
        <v>0.09</v>
      </c>
      <c r="E27" s="36">
        <f>+E7</f>
        <v>0.16000000000000003</v>
      </c>
      <c r="F27" s="36">
        <f>+F7</f>
        <v>0.24</v>
      </c>
      <c r="G27" s="36">
        <f>+G7</f>
        <v>0.3</v>
      </c>
    </row>
    <row r="28" spans="1:16" ht="30" customHeight="1" x14ac:dyDescent="0.3">
      <c r="B28" s="37"/>
      <c r="C28" s="37" t="str">
        <f>+C8</f>
        <v>BENEFIT</v>
      </c>
      <c r="D28" s="37" t="str">
        <f>+D8</f>
        <v>COST</v>
      </c>
      <c r="E28" s="37" t="str">
        <f>+E8</f>
        <v>BENEFIT</v>
      </c>
      <c r="F28" s="37" t="str">
        <f>+F8</f>
        <v>BENEFIT</v>
      </c>
      <c r="G28" s="37" t="str">
        <f>+G8</f>
        <v>COST</v>
      </c>
      <c r="H28" s="55" t="s">
        <v>40</v>
      </c>
      <c r="I28" s="55" t="s">
        <v>54</v>
      </c>
      <c r="J28" s="55" t="s">
        <v>39</v>
      </c>
      <c r="K28" s="56" t="s">
        <v>38</v>
      </c>
    </row>
    <row r="29" spans="1:16" x14ac:dyDescent="0.3">
      <c r="B29" s="33" t="str">
        <f>+B10</f>
        <v>B003B3OOPA</v>
      </c>
      <c r="C29" s="57">
        <f>C10/SQRT(SUMSQ(C$10:C$17))*C$27</f>
        <v>8.2719479879563518E-2</v>
      </c>
      <c r="D29" s="57">
        <f>D10/SQRT(SUMSQ(D$10:D$17))*D$27</f>
        <v>3.3411274880940277E-2</v>
      </c>
      <c r="E29" s="57">
        <f>E10/SQRT(SUMSQ(E$10:E$17))*E$27</f>
        <v>7.3739189599024008E-2</v>
      </c>
      <c r="F29" s="57">
        <f>F10/SQRT(SUMSQ(F$10:F$17))*F$27</f>
        <v>9.4667099449380523E-2</v>
      </c>
      <c r="G29" s="57">
        <f>G10/SQRT(SUMSQ(G$10:G$17))*G$27</f>
        <v>6.6350545339373637E-2</v>
      </c>
      <c r="H29" s="57">
        <f>SQRT(SUMXMY2(C29:G29,C$40:G$40))</f>
        <v>4.4318121688040286E-2</v>
      </c>
      <c r="I29" s="57">
        <f>SQRT(SUMXMY2(C29:G29,C$41:G$41))</f>
        <v>0.1230152583031235</v>
      </c>
      <c r="J29" s="57">
        <f>+I29/(H29+I29)</f>
        <v>0.73515074105130396</v>
      </c>
      <c r="K29" s="33">
        <f>RANK(J29,J$29:J$36,0)</f>
        <v>2</v>
      </c>
    </row>
    <row r="30" spans="1:16" x14ac:dyDescent="0.3">
      <c r="B30" s="33" t="str">
        <f>+B11</f>
        <v>B001EO5Q64</v>
      </c>
      <c r="C30" s="57">
        <f>C11/SQRT(SUMSQ(C$10:C$17))*C$27</f>
        <v>7.0077012462197025E-2</v>
      </c>
      <c r="D30" s="57">
        <f t="shared" ref="D30:G36" si="4">D11/SQRT(SUMSQ(D$10:D$17))*D$27</f>
        <v>3.3794286882748388E-2</v>
      </c>
      <c r="E30" s="57">
        <f t="shared" si="4"/>
        <v>7.4729601232506868E-2</v>
      </c>
      <c r="F30" s="57">
        <f t="shared" si="4"/>
        <v>9.4788207226077628E-2</v>
      </c>
      <c r="G30" s="57">
        <f t="shared" si="4"/>
        <v>8.4637788574292341E-2</v>
      </c>
      <c r="H30" s="57">
        <f t="shared" ref="H30:H34" si="5">SQRT(SUMXMY2(C30:G30,C$40:G$40))</f>
        <v>6.3839533341860155E-2</v>
      </c>
      <c r="I30" s="57">
        <f t="shared" ref="I30:I34" si="6">SQRT(SUMXMY2(C30:G30,C$41:G$41))</f>
        <v>0.1062248307623882</v>
      </c>
      <c r="J30" s="57">
        <f>+I30/(H30+I30)</f>
        <v>0.62461545851706513</v>
      </c>
      <c r="K30" s="33">
        <f t="shared" ref="K30:K36" si="7">RANK(J30,J$29:J$36,0)</f>
        <v>4</v>
      </c>
    </row>
    <row r="31" spans="1:16" x14ac:dyDescent="0.3">
      <c r="B31" s="33" t="str">
        <f>+B12</f>
        <v>B000KV61FC</v>
      </c>
      <c r="C31" s="57">
        <f t="shared" ref="C30:C36" si="8">C12/SQRT(SUMSQ(C$10:C$17))*C$27</f>
        <v>6.6450159607522638E-2</v>
      </c>
      <c r="D31" s="57">
        <f t="shared" si="4"/>
        <v>2.9848709119979971E-2</v>
      </c>
      <c r="E31" s="57">
        <f t="shared" si="4"/>
        <v>2.889461326978153E-2</v>
      </c>
      <c r="F31" s="57">
        <f t="shared" si="4"/>
        <v>6.814220924542097E-2</v>
      </c>
      <c r="G31" s="57">
        <f t="shared" si="4"/>
        <v>5.2437484203873529E-2</v>
      </c>
      <c r="H31" s="57">
        <f t="shared" si="5"/>
        <v>6.3171440243014423E-2</v>
      </c>
      <c r="I31" s="57">
        <f t="shared" si="6"/>
        <v>0.1241210832874665</v>
      </c>
      <c r="J31" s="57">
        <f>+I31/(H31+I31)</f>
        <v>0.66271242945405884</v>
      </c>
      <c r="K31" s="33">
        <f t="shared" si="7"/>
        <v>3</v>
      </c>
    </row>
    <row r="32" spans="1:16" x14ac:dyDescent="0.3">
      <c r="B32" s="33" t="str">
        <f>+B13</f>
        <v>B000KV7ZGQ</v>
      </c>
      <c r="C32" s="57">
        <f t="shared" si="8"/>
        <v>6.6450159607522638E-2</v>
      </c>
      <c r="D32" s="57">
        <f t="shared" si="4"/>
        <v>2.9848709119979971E-2</v>
      </c>
      <c r="E32" s="57">
        <f t="shared" si="4"/>
        <v>2.889461326978153E-2</v>
      </c>
      <c r="F32" s="57">
        <f t="shared" si="4"/>
        <v>6.814220924542097E-2</v>
      </c>
      <c r="G32" s="57">
        <f t="shared" si="4"/>
        <v>7.8787978778684348E-2</v>
      </c>
      <c r="H32" s="57">
        <f t="shared" si="5"/>
        <v>7.9241426857622504E-2</v>
      </c>
      <c r="I32" s="57">
        <f t="shared" si="6"/>
        <v>9.7787554417690964E-2</v>
      </c>
      <c r="J32" s="57">
        <f>+I32/(H32+I32)</f>
        <v>0.55238161409070563</v>
      </c>
      <c r="K32" s="33">
        <f t="shared" si="7"/>
        <v>5</v>
      </c>
    </row>
    <row r="33" spans="2:11" x14ac:dyDescent="0.3">
      <c r="B33" s="33" t="str">
        <f>+B14</f>
        <v>B001EO5U3I</v>
      </c>
      <c r="C33" s="57">
        <f t="shared" si="8"/>
        <v>7.4631990440900214E-2</v>
      </c>
      <c r="D33" s="57">
        <f t="shared" si="4"/>
        <v>3.0517037327131274E-2</v>
      </c>
      <c r="E33" s="57">
        <f t="shared" si="4"/>
        <v>6.1822447059500178E-2</v>
      </c>
      <c r="F33" s="57">
        <f t="shared" si="4"/>
        <v>9.3521028062548375E-2</v>
      </c>
      <c r="G33" s="57">
        <f t="shared" si="4"/>
        <v>0.17649561266208291</v>
      </c>
      <c r="H33" s="57">
        <f t="shared" si="5"/>
        <v>0.15506503967265992</v>
      </c>
      <c r="I33" s="57">
        <f t="shared" si="6"/>
        <v>4.2681600966005172E-2</v>
      </c>
      <c r="J33" s="57">
        <f>+I33/(H33+I33)</f>
        <v>0.21583982831847767</v>
      </c>
      <c r="K33" s="33">
        <f t="shared" si="7"/>
        <v>8</v>
      </c>
    </row>
    <row r="34" spans="2:11" x14ac:dyDescent="0.3">
      <c r="B34" s="33" t="str">
        <f>+B15</f>
        <v>B008J1HO4C</v>
      </c>
      <c r="C34" s="57">
        <f t="shared" si="8"/>
        <v>7.4631990440900214E-2</v>
      </c>
      <c r="D34" s="57">
        <f t="shared" si="4"/>
        <v>3.0517037327131274E-2</v>
      </c>
      <c r="E34" s="57">
        <f t="shared" si="4"/>
        <v>6.1822447059500178E-2</v>
      </c>
      <c r="F34" s="57">
        <f t="shared" si="4"/>
        <v>9.3521028062548375E-2</v>
      </c>
      <c r="G34" s="57">
        <f t="shared" si="4"/>
        <v>0.15683814370927401</v>
      </c>
      <c r="H34" s="57">
        <f t="shared" si="5"/>
        <v>0.1355173555922595</v>
      </c>
      <c r="I34" s="57">
        <f t="shared" si="6"/>
        <v>4.6990798531754481E-2</v>
      </c>
      <c r="J34" s="57">
        <f>+I34/(H34+I34)</f>
        <v>0.25747232367395662</v>
      </c>
      <c r="K34" s="33">
        <f t="shared" si="7"/>
        <v>7</v>
      </c>
    </row>
    <row r="35" spans="2:11" x14ac:dyDescent="0.3">
      <c r="B35" s="33" t="str">
        <f>+B16</f>
        <v>B004CLCEDE</v>
      </c>
      <c r="C35" s="57">
        <f t="shared" si="8"/>
        <v>8.1357319690574997E-2</v>
      </c>
      <c r="D35" s="57">
        <f t="shared" si="4"/>
        <v>3.3026605674820776E-2</v>
      </c>
      <c r="E35" s="57">
        <f t="shared" si="4"/>
        <v>2.8656924358464498E-2</v>
      </c>
      <c r="F35" s="57">
        <f t="shared" si="4"/>
        <v>7.0087266937230761E-2</v>
      </c>
      <c r="G35" s="57">
        <f t="shared" si="4"/>
        <v>0.11504625931362403</v>
      </c>
      <c r="H35" s="57">
        <f t="shared" ref="H35:H36" si="9">SQRT(SUMXMY2(C35:G35,C$40:G$40))</f>
        <v>0.10661896139570308</v>
      </c>
      <c r="I35" s="57">
        <f t="shared" ref="I35:I36" si="10">SQRT(SUMXMY2(C35:G35,C$41:G$41))</f>
        <v>6.3266255085527065E-2</v>
      </c>
      <c r="J35" s="57">
        <f>+I35/(H35+I35)</f>
        <v>0.37240588908168515</v>
      </c>
      <c r="K35" s="33">
        <f t="shared" si="7"/>
        <v>6</v>
      </c>
    </row>
    <row r="36" spans="2:11" x14ac:dyDescent="0.3">
      <c r="B36" s="33" t="str">
        <f>+B17</f>
        <v>B002GJ9JWS</v>
      </c>
      <c r="C36" s="57">
        <f t="shared" si="8"/>
        <v>7.5872070536670083E-2</v>
      </c>
      <c r="D36" s="57">
        <f t="shared" si="4"/>
        <v>3.326268473540954E-2</v>
      </c>
      <c r="E36" s="57">
        <f t="shared" si="4"/>
        <v>6.6655622646203519E-2</v>
      </c>
      <c r="F36" s="57">
        <f t="shared" si="4"/>
        <v>8.923017608707956E-2</v>
      </c>
      <c r="G36" s="57">
        <f t="shared" si="4"/>
        <v>2.218711643199071E-2</v>
      </c>
      <c r="H36" s="57">
        <f t="shared" si="9"/>
        <v>1.2434753096304292E-2</v>
      </c>
      <c r="I36" s="57">
        <f t="shared" si="10"/>
        <v>0.16058882412007922</v>
      </c>
      <c r="J36" s="57">
        <f>+I36/(H36+I36)</f>
        <v>0.92813260888281501</v>
      </c>
      <c r="K36" s="33">
        <f t="shared" si="7"/>
        <v>1</v>
      </c>
    </row>
    <row r="37" spans="2:11" s="29" customFormat="1" x14ac:dyDescent="0.3">
      <c r="C37" s="58"/>
      <c r="D37" s="58"/>
      <c r="E37" s="58"/>
      <c r="F37" s="58"/>
      <c r="G37" s="58"/>
      <c r="H37" s="58"/>
      <c r="I37" s="58"/>
      <c r="J37" s="58"/>
    </row>
    <row r="38" spans="2:11" s="29" customFormat="1" x14ac:dyDescent="0.3">
      <c r="C38" s="58"/>
      <c r="D38" s="58"/>
      <c r="E38" s="58"/>
      <c r="F38" s="58"/>
      <c r="G38" s="58"/>
      <c r="H38" s="58"/>
      <c r="I38" s="58"/>
      <c r="J38" s="58"/>
    </row>
    <row r="39" spans="2:11" ht="60" customHeight="1" x14ac:dyDescent="0.3">
      <c r="B39" s="33"/>
      <c r="C39" s="39" t="str">
        <f>+C9</f>
        <v>Helpfulness of Reviews 
(0 - Low to 1 - High)</v>
      </c>
      <c r="D39" s="39" t="str">
        <f t="shared" ref="D39:G39" si="11">+D9</f>
        <v>Subjectivity of Reviews
(0 - Low to 1 - High)</v>
      </c>
      <c r="E39" s="39" t="str">
        <f t="shared" si="11"/>
        <v>Polarity of Reviews (-1 - Low to 1 - High)</v>
      </c>
      <c r="F39" s="39" t="str">
        <f t="shared" si="11"/>
        <v>Score/Rating
(1 - Low to 5 - High)</v>
      </c>
      <c r="G39" s="39" t="str">
        <f t="shared" si="11"/>
        <v>Cost
(USD $)</v>
      </c>
    </row>
    <row r="40" spans="2:11" x14ac:dyDescent="0.3">
      <c r="B40" s="33" t="s">
        <v>37</v>
      </c>
      <c r="C40" s="57">
        <f>IF(C28="BENEFIT",MAX(C29:C36),IF(C28="COST",MIN(C29:C36)))</f>
        <v>8.2719479879563518E-2</v>
      </c>
      <c r="D40" s="57">
        <f t="shared" ref="D40:G40" si="12">IF(D28="BENEFIT",MAX(D29:D36),IF(D28="COST",MIN(D29:D36)))</f>
        <v>2.9848709119979971E-2</v>
      </c>
      <c r="E40" s="57">
        <f t="shared" si="12"/>
        <v>7.4729601232506868E-2</v>
      </c>
      <c r="F40" s="57">
        <f t="shared" si="12"/>
        <v>9.4788207226077628E-2</v>
      </c>
      <c r="G40" s="57">
        <f t="shared" si="12"/>
        <v>2.218711643199071E-2</v>
      </c>
    </row>
    <row r="41" spans="2:11" x14ac:dyDescent="0.3">
      <c r="B41" s="33" t="s">
        <v>36</v>
      </c>
      <c r="C41" s="57">
        <f>IF(C28="BENEFIT",MIN(C29:C36),MAX(C29:C36))</f>
        <v>6.6450159607522638E-2</v>
      </c>
      <c r="D41" s="57">
        <f t="shared" ref="D41:G41" si="13">IF(D28="BENEFIT",MIN(D29:D36),MAX(D29:D36))</f>
        <v>3.3794286882748388E-2</v>
      </c>
      <c r="E41" s="57">
        <f t="shared" si="13"/>
        <v>2.8656924358464498E-2</v>
      </c>
      <c r="F41" s="57">
        <f t="shared" si="13"/>
        <v>6.814220924542097E-2</v>
      </c>
      <c r="G41" s="57">
        <f t="shared" si="13"/>
        <v>0.17649561266208291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07D0-28BE-441E-92BF-EC71DA6300EE}">
  <dimension ref="A1:I14"/>
  <sheetViews>
    <sheetView tabSelected="1" workbookViewId="0">
      <selection activeCell="K11" sqref="K11"/>
    </sheetView>
  </sheetViews>
  <sheetFormatPr defaultRowHeight="14.4" x14ac:dyDescent="0.3"/>
  <cols>
    <col min="2" max="2" width="10" bestFit="1" customWidth="1"/>
  </cols>
  <sheetData>
    <row r="1" spans="1:9" x14ac:dyDescent="0.3">
      <c r="A1" s="2" t="s">
        <v>56</v>
      </c>
      <c r="C1">
        <v>310</v>
      </c>
      <c r="E1" s="2" t="s">
        <v>60</v>
      </c>
      <c r="G1" s="63">
        <f>'MCDM - TOPSIS'!P25</f>
        <v>4.21</v>
      </c>
    </row>
    <row r="2" spans="1:9" x14ac:dyDescent="0.3">
      <c r="A2" s="2" t="s">
        <v>59</v>
      </c>
      <c r="C2">
        <v>13</v>
      </c>
      <c r="E2" s="2" t="s">
        <v>61</v>
      </c>
      <c r="G2" s="63">
        <f>SUM(4.21 - 4.21 * (2/3))</f>
        <v>1.4033333333333333</v>
      </c>
      <c r="I2" t="s">
        <v>63</v>
      </c>
    </row>
    <row r="3" spans="1:9" x14ac:dyDescent="0.3">
      <c r="A3" s="2" t="s">
        <v>57</v>
      </c>
      <c r="C3">
        <f>SUM(C1*C2)</f>
        <v>4030</v>
      </c>
      <c r="E3" s="2" t="s">
        <v>62</v>
      </c>
      <c r="G3" s="63">
        <f>SUM(4.21 * (2/3) - 4.21 * (1/2))</f>
        <v>0.70166666666666666</v>
      </c>
      <c r="I3" t="s">
        <v>64</v>
      </c>
    </row>
    <row r="4" spans="1:9" x14ac:dyDescent="0.3">
      <c r="A4" s="2" t="s">
        <v>58</v>
      </c>
      <c r="C4">
        <f>SUM(40*C2)</f>
        <v>520</v>
      </c>
    </row>
    <row r="5" spans="1:9" x14ac:dyDescent="0.3">
      <c r="A5" s="9"/>
    </row>
    <row r="6" spans="1:9" x14ac:dyDescent="0.3">
      <c r="A6" s="2" t="s">
        <v>65</v>
      </c>
      <c r="B6" s="64">
        <f>ROUND(SUM(G2 / (G3 + G2)),2)</f>
        <v>0.67</v>
      </c>
      <c r="E6" s="9" t="s">
        <v>68</v>
      </c>
    </row>
    <row r="7" spans="1:9" x14ac:dyDescent="0.3">
      <c r="A7" s="2" t="s">
        <v>66</v>
      </c>
      <c r="B7">
        <f>ROUND(NORMSINV(B6),2)</f>
        <v>0.44</v>
      </c>
      <c r="E7" t="s">
        <v>69</v>
      </c>
    </row>
    <row r="8" spans="1:9" x14ac:dyDescent="0.3">
      <c r="A8" s="2" t="s">
        <v>67</v>
      </c>
      <c r="B8">
        <f>_xlfn.CEILING.MATH(SUM(C3+ B7 * C4))</f>
        <v>4259</v>
      </c>
      <c r="E8" t="s">
        <v>70</v>
      </c>
    </row>
    <row r="9" spans="1:9" x14ac:dyDescent="0.3">
      <c r="A9" s="2" t="s">
        <v>71</v>
      </c>
      <c r="B9" s="65">
        <f>SUM(B8 * (4.21 * (2/3)))</f>
        <v>11953.593333333332</v>
      </c>
      <c r="E9" t="s">
        <v>72</v>
      </c>
    </row>
    <row r="10" spans="1:9" x14ac:dyDescent="0.3">
      <c r="A10" s="9"/>
    </row>
    <row r="11" spans="1:9" x14ac:dyDescent="0.3">
      <c r="A11" s="9"/>
    </row>
    <row r="12" spans="1:9" x14ac:dyDescent="0.3">
      <c r="A12" s="9"/>
    </row>
    <row r="13" spans="1:9" x14ac:dyDescent="0.3">
      <c r="A13" s="9"/>
    </row>
    <row r="14" spans="1:9" x14ac:dyDescent="0.3">
      <c r="A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MCDM Sheet</vt:lpstr>
      <vt:lpstr>MCDM - TOPSIS</vt:lpstr>
      <vt:lpstr>APIC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</cp:lastModifiedBy>
  <dcterms:created xsi:type="dcterms:W3CDTF">2017-11-05T22:25:22Z</dcterms:created>
  <dcterms:modified xsi:type="dcterms:W3CDTF">2017-11-07T01:19:30Z</dcterms:modified>
</cp:coreProperties>
</file>